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tcharaphan.k\Desktop\"/>
    </mc:Choice>
  </mc:AlternateContent>
  <xr:revisionPtr revIDLastSave="0" documentId="8_{B30F1C14-9FF2-417D-9B0A-FE7B8A6EF2EF}" xr6:coauthVersionLast="36" xr6:coauthVersionMax="36" xr10:uidLastSave="{00000000-0000-0000-0000-000000000000}"/>
  <bookViews>
    <workbookView xWindow="0" yWindow="0" windowWidth="17250" windowHeight="9690" tabRatio="699" xr2:uid="{00000000-000D-0000-FFFF-FFFF00000000}"/>
  </bookViews>
  <sheets>
    <sheet name="ปร.6" sheetId="29" r:id="rId1"/>
    <sheet name="ปร.5(ก)" sheetId="30" r:id="rId2"/>
    <sheet name="ปร.5(ข)" sheetId="31" r:id="rId3"/>
    <sheet name="ตารางแสดงวงเงิน" sheetId="28" r:id="rId4"/>
    <sheet name="สูตรการหา Factor F" sheetId="27" r:id="rId5"/>
    <sheet name="ใบสรุป ปร.4" sheetId="18" r:id="rId6"/>
    <sheet name="- งานรื้อถอน" sheetId="20" r:id="rId7"/>
    <sheet name="-งานโครงสร้าง" sheetId="17" r:id="rId8"/>
    <sheet name="1 งานสถาปัตยฯ" sheetId="21" r:id="rId9"/>
    <sheet name="2 งานไฟฟ้า" sheetId="19" r:id="rId10"/>
    <sheet name="3 งานภูมิทัศน์" sheetId="22" r:id="rId11"/>
    <sheet name="4 งานครุภัณฑ์" sheetId="23" r:id="rId12"/>
    <sheet name="5 ค่าใช้จ่ายพิเศษ" sheetId="25" r:id="rId13"/>
    <sheet name="6. ค่าใช้จ่ายที่เกิดจากบ.ไม่เสร" sheetId="26" r:id="rId14"/>
    <sheet name="Sheet1" sheetId="24" r:id="rId15"/>
  </sheets>
  <definedNames>
    <definedName name="_xlnm.Print_Area" localSheetId="13">'6. ค่าใช้จ่ายที่เกิดจากบ.ไม่เสร'!$A$1:$J$23</definedName>
    <definedName name="_xlnm.Print_Area" localSheetId="3">ตารางแสดงวงเงิน!$A$1:$I$24</definedName>
  </definedNames>
  <calcPr calcId="191029"/>
</workbook>
</file>

<file path=xl/calcChain.xml><?xml version="1.0" encoding="utf-8"?>
<calcChain xmlns="http://schemas.openxmlformats.org/spreadsheetml/2006/main">
  <c r="I35" i="18" l="1"/>
  <c r="I34" i="18"/>
  <c r="M8" i="18" l="1"/>
  <c r="E12" i="30"/>
  <c r="D13" i="30"/>
  <c r="D12" i="30"/>
  <c r="D11" i="30"/>
  <c r="C14" i="18"/>
  <c r="E18" i="27"/>
  <c r="P18" i="27"/>
  <c r="H14" i="23"/>
  <c r="I92" i="21"/>
  <c r="F83" i="21"/>
  <c r="I83" i="21" s="1"/>
  <c r="I40" i="21"/>
  <c r="I32" i="21"/>
  <c r="I86" i="21" l="1"/>
  <c r="L32" i="21"/>
  <c r="I33" i="21"/>
  <c r="I34" i="21"/>
  <c r="I35" i="21"/>
  <c r="I36" i="21"/>
  <c r="I37" i="21"/>
  <c r="I38" i="21"/>
  <c r="F13" i="23"/>
  <c r="G64" i="21"/>
  <c r="H15" i="29"/>
  <c r="I21" i="18"/>
  <c r="H21" i="23"/>
  <c r="F21" i="23"/>
  <c r="H13" i="23"/>
  <c r="H15" i="23"/>
  <c r="H16" i="23"/>
  <c r="H17" i="23"/>
  <c r="H18" i="23"/>
  <c r="F18" i="23"/>
  <c r="H88" i="21"/>
  <c r="F88" i="21"/>
  <c r="I88" i="21" s="1"/>
  <c r="I90" i="21" s="1"/>
  <c r="H84" i="21"/>
  <c r="F84" i="21"/>
  <c r="H81" i="21"/>
  <c r="F81" i="21"/>
  <c r="H58" i="21"/>
  <c r="I58" i="21" s="1"/>
  <c r="H47" i="21"/>
  <c r="F47" i="21"/>
  <c r="H38" i="21"/>
  <c r="F38" i="21"/>
  <c r="H14" i="21"/>
  <c r="F14" i="21"/>
  <c r="F11" i="22"/>
  <c r="I14" i="25"/>
  <c r="H21" i="25"/>
  <c r="F21" i="25"/>
  <c r="H20" i="25"/>
  <c r="F20" i="25"/>
  <c r="H19" i="25"/>
  <c r="F19" i="25"/>
  <c r="H18" i="25"/>
  <c r="F18" i="25"/>
  <c r="H17" i="25"/>
  <c r="F17" i="25"/>
  <c r="H16" i="25"/>
  <c r="F16" i="25"/>
  <c r="I21" i="23" l="1"/>
  <c r="I22" i="23" s="1"/>
  <c r="I18" i="23"/>
  <c r="I84" i="21"/>
  <c r="I81" i="21"/>
  <c r="I47" i="21"/>
  <c r="I14" i="21"/>
  <c r="I21" i="25"/>
  <c r="I18" i="25"/>
  <c r="I20" i="25"/>
  <c r="I19" i="25"/>
  <c r="I17" i="25"/>
  <c r="I16" i="25"/>
  <c r="K72" i="19"/>
  <c r="F62" i="21"/>
  <c r="H62" i="21"/>
  <c r="I62" i="21"/>
  <c r="I64" i="21" s="1"/>
  <c r="F33" i="21"/>
  <c r="H33" i="21" s="1"/>
  <c r="F34" i="21"/>
  <c r="H34" i="21" s="1"/>
  <c r="F35" i="21"/>
  <c r="H35" i="21" s="1"/>
  <c r="F36" i="21"/>
  <c r="F37" i="21"/>
  <c r="F11" i="21"/>
  <c r="H11" i="21"/>
  <c r="H64" i="21" l="1"/>
  <c r="I22" i="25"/>
  <c r="I24" i="25" s="1"/>
  <c r="I20" i="18" s="1"/>
  <c r="H37" i="21"/>
  <c r="H36" i="21"/>
  <c r="I11" i="21"/>
  <c r="F19" i="21"/>
  <c r="H19" i="21" s="1"/>
  <c r="I19" i="21" s="1"/>
  <c r="F23" i="21"/>
  <c r="H23" i="21" s="1"/>
  <c r="M20" i="18" l="1"/>
  <c r="H14" i="29"/>
  <c r="I23" i="21"/>
  <c r="H13" i="21"/>
  <c r="F13" i="21"/>
  <c r="F20" i="21"/>
  <c r="H20" i="21" s="1"/>
  <c r="F24" i="21"/>
  <c r="H24" i="21" s="1"/>
  <c r="H12" i="21"/>
  <c r="F12" i="21"/>
  <c r="I13" i="21" l="1"/>
  <c r="I20" i="21"/>
  <c r="I12" i="21"/>
  <c r="I24" i="21"/>
  <c r="F22" i="21"/>
  <c r="H22" i="21" s="1"/>
  <c r="I22" i="21" l="1"/>
  <c r="F13" i="28"/>
  <c r="H57" i="21" l="1"/>
  <c r="F57" i="21"/>
  <c r="I57" i="21" l="1"/>
  <c r="I60" i="21" s="1"/>
  <c r="R39" i="21" l="1"/>
  <c r="S39" i="21" l="1"/>
  <c r="T39" i="21" s="1"/>
  <c r="G70" i="21"/>
  <c r="C8" i="27" l="1"/>
  <c r="E8" i="27"/>
  <c r="E10" i="27" s="1"/>
  <c r="E12" i="27" s="1"/>
  <c r="G8" i="27"/>
  <c r="M8" i="27"/>
  <c r="E9" i="27"/>
  <c r="J9" i="27"/>
  <c r="C10" i="27"/>
  <c r="E11" i="27"/>
  <c r="C12" i="27"/>
  <c r="E13" i="27"/>
  <c r="E16" i="27" s="1"/>
  <c r="C15" i="27"/>
  <c r="C17" i="27"/>
  <c r="H16" i="22" l="1"/>
  <c r="F16" i="22"/>
  <c r="I44" i="21"/>
  <c r="F46" i="21"/>
  <c r="H46" i="21"/>
  <c r="I68" i="21"/>
  <c r="I9" i="26"/>
  <c r="I11" i="26"/>
  <c r="I12" i="26"/>
  <c r="H9" i="26"/>
  <c r="H10" i="26"/>
  <c r="H11" i="26"/>
  <c r="H12" i="26"/>
  <c r="H13" i="26"/>
  <c r="F9" i="26"/>
  <c r="F10" i="26"/>
  <c r="I10" i="26" s="1"/>
  <c r="F11" i="26"/>
  <c r="F12" i="26"/>
  <c r="F13" i="26"/>
  <c r="I13" i="26" s="1"/>
  <c r="I16" i="22" l="1"/>
  <c r="I46" i="21"/>
  <c r="I22" i="26"/>
  <c r="H82" i="21"/>
  <c r="F82" i="21"/>
  <c r="M21" i="18" l="1"/>
  <c r="F14" i="28"/>
  <c r="I82" i="21"/>
  <c r="S36" i="21"/>
  <c r="T36" i="21" s="1"/>
  <c r="I48" i="21" l="1"/>
  <c r="R33" i="21"/>
  <c r="R34" i="21"/>
  <c r="R35" i="21"/>
  <c r="R37" i="21"/>
  <c r="R38" i="21"/>
  <c r="H32" i="21"/>
  <c r="F32" i="21"/>
  <c r="F10" i="21"/>
  <c r="H10" i="21" s="1"/>
  <c r="R40" i="21" l="1"/>
  <c r="S33" i="21"/>
  <c r="T33" i="21" s="1"/>
  <c r="I10" i="21"/>
  <c r="I16" i="21" s="1"/>
  <c r="S38" i="21"/>
  <c r="T38" i="21" s="1"/>
  <c r="S34" i="21"/>
  <c r="T34" i="21" s="1"/>
  <c r="S37" i="21"/>
  <c r="T37" i="21" s="1"/>
  <c r="S35" i="21"/>
  <c r="T35" i="21" s="1"/>
  <c r="F63" i="21"/>
  <c r="I63" i="21" s="1"/>
  <c r="H83" i="21"/>
  <c r="T40" i="21" l="1"/>
  <c r="I66" i="21"/>
  <c r="H10" i="17" l="1"/>
  <c r="H11" i="17"/>
  <c r="H12" i="17"/>
  <c r="H13" i="17"/>
  <c r="H14" i="17"/>
  <c r="H15" i="17"/>
  <c r="H16" i="17"/>
  <c r="H17" i="17"/>
  <c r="H18" i="17"/>
  <c r="H19" i="17"/>
  <c r="H20" i="17"/>
  <c r="H21" i="17"/>
  <c r="H22" i="17"/>
  <c r="H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9" i="17"/>
  <c r="I10" i="17" l="1"/>
  <c r="I11" i="17"/>
  <c r="I18" i="17"/>
  <c r="I12" i="17"/>
  <c r="I13" i="17"/>
  <c r="I17" i="17"/>
  <c r="I19" i="17"/>
  <c r="I20" i="17"/>
  <c r="I21" i="17"/>
  <c r="I16" i="17"/>
  <c r="I14" i="17" l="1"/>
  <c r="I15" i="17"/>
  <c r="K44" i="19" l="1"/>
  <c r="F33" i="19" l="1"/>
  <c r="I13" i="23" l="1"/>
  <c r="F17" i="23" l="1"/>
  <c r="F16" i="23"/>
  <c r="I16" i="23" s="1"/>
  <c r="H71" i="19" l="1"/>
  <c r="F71" i="19"/>
  <c r="H68" i="19"/>
  <c r="F68" i="19"/>
  <c r="H80" i="19"/>
  <c r="I82" i="19"/>
  <c r="I83" i="19"/>
  <c r="I84" i="19"/>
  <c r="I85" i="19"/>
  <c r="I86" i="19"/>
  <c r="F80" i="19"/>
  <c r="F15" i="23"/>
  <c r="I15" i="23" s="1"/>
  <c r="H47" i="19"/>
  <c r="F47" i="19"/>
  <c r="H46" i="19"/>
  <c r="F46" i="19"/>
  <c r="I24" i="19"/>
  <c r="K24" i="19" s="1"/>
  <c r="F61" i="19"/>
  <c r="H57" i="19"/>
  <c r="F57" i="19"/>
  <c r="I68" i="19" l="1"/>
  <c r="I71" i="19"/>
  <c r="I57" i="19"/>
  <c r="I80" i="19"/>
  <c r="K86" i="19" s="1"/>
  <c r="I46" i="19"/>
  <c r="I47" i="19"/>
  <c r="I87" i="19" l="1"/>
  <c r="H70" i="21"/>
  <c r="I70" i="21" s="1"/>
  <c r="I72" i="21" s="1"/>
  <c r="L19" i="21" l="1"/>
  <c r="L18" i="21"/>
  <c r="F14" i="23" l="1"/>
  <c r="I14" i="23" s="1"/>
  <c r="F17" i="20" l="1"/>
  <c r="F20" i="20"/>
  <c r="H20" i="20"/>
  <c r="F22" i="20"/>
  <c r="H22" i="20"/>
  <c r="F23" i="20"/>
  <c r="H23" i="20"/>
  <c r="F24" i="20"/>
  <c r="H24" i="20"/>
  <c r="I22" i="20" l="1"/>
  <c r="I23" i="20"/>
  <c r="I24" i="20"/>
  <c r="I20" i="20"/>
  <c r="H12" i="23"/>
  <c r="F12" i="23"/>
  <c r="I12" i="23" s="1"/>
  <c r="H11" i="23"/>
  <c r="F11" i="23"/>
  <c r="I11" i="23" s="1"/>
  <c r="H10" i="23"/>
  <c r="F10" i="23"/>
  <c r="I10" i="23" s="1"/>
  <c r="H9" i="23"/>
  <c r="F9" i="23"/>
  <c r="I9" i="23" s="1"/>
  <c r="H15" i="22"/>
  <c r="F15" i="22"/>
  <c r="H14" i="22"/>
  <c r="F14" i="22"/>
  <c r="H13" i="22"/>
  <c r="F13" i="22"/>
  <c r="F12" i="22"/>
  <c r="H11" i="22"/>
  <c r="H10" i="22"/>
  <c r="F10" i="22"/>
  <c r="F21" i="21"/>
  <c r="H21" i="21" s="1"/>
  <c r="F18" i="21"/>
  <c r="H18" i="21" s="1"/>
  <c r="H39" i="20"/>
  <c r="F39" i="20"/>
  <c r="H38" i="20"/>
  <c r="F38" i="20"/>
  <c r="H36" i="20"/>
  <c r="F36" i="20"/>
  <c r="H35" i="20"/>
  <c r="F35" i="20"/>
  <c r="H34" i="20"/>
  <c r="F34" i="20"/>
  <c r="I32" i="20"/>
  <c r="H16" i="20"/>
  <c r="F16" i="20"/>
  <c r="H15" i="20"/>
  <c r="F15" i="20"/>
  <c r="H14" i="20"/>
  <c r="F14" i="20"/>
  <c r="H13" i="20"/>
  <c r="F13" i="20"/>
  <c r="H12" i="20"/>
  <c r="F12" i="20"/>
  <c r="H11" i="20"/>
  <c r="F11" i="20"/>
  <c r="H10" i="20"/>
  <c r="F10" i="20"/>
  <c r="H9" i="20"/>
  <c r="F9" i="20"/>
  <c r="H63" i="19"/>
  <c r="F63" i="19"/>
  <c r="H62" i="19"/>
  <c r="F62" i="19"/>
  <c r="H61" i="19"/>
  <c r="H60" i="19"/>
  <c r="F60" i="19"/>
  <c r="H59" i="19"/>
  <c r="F59" i="19"/>
  <c r="H58" i="19"/>
  <c r="F58" i="19"/>
  <c r="H56" i="19"/>
  <c r="F56" i="19"/>
  <c r="H45" i="19"/>
  <c r="F45" i="19"/>
  <c r="H44" i="19"/>
  <c r="F44" i="19"/>
  <c r="H43" i="19"/>
  <c r="F43" i="19"/>
  <c r="H42" i="19"/>
  <c r="F42" i="19"/>
  <c r="H41" i="19"/>
  <c r="F41" i="19"/>
  <c r="H40" i="19"/>
  <c r="F40" i="19"/>
  <c r="H39" i="19"/>
  <c r="F39" i="19"/>
  <c r="H38" i="19"/>
  <c r="F38" i="19"/>
  <c r="H37" i="19"/>
  <c r="F37" i="19"/>
  <c r="H36" i="19"/>
  <c r="F36" i="19"/>
  <c r="H35" i="19"/>
  <c r="F35" i="19"/>
  <c r="H34" i="19"/>
  <c r="F34" i="19"/>
  <c r="H33" i="19"/>
  <c r="H32" i="19"/>
  <c r="F32" i="19"/>
  <c r="I19" i="23" l="1"/>
  <c r="I24" i="23" s="1"/>
  <c r="I17" i="18" s="1"/>
  <c r="C11" i="31" s="1"/>
  <c r="E11" i="31" s="1"/>
  <c r="E16" i="31" s="1"/>
  <c r="I11" i="22"/>
  <c r="H12" i="22"/>
  <c r="I12" i="22" s="1"/>
  <c r="I18" i="21"/>
  <c r="I10" i="22"/>
  <c r="I35" i="20"/>
  <c r="I21" i="21"/>
  <c r="I10" i="20"/>
  <c r="I14" i="20"/>
  <c r="I38" i="20"/>
  <c r="I13" i="20"/>
  <c r="I34" i="20"/>
  <c r="I32" i="19"/>
  <c r="I11" i="20"/>
  <c r="I15" i="20"/>
  <c r="I39" i="20"/>
  <c r="I33" i="19"/>
  <c r="I37" i="19"/>
  <c r="I12" i="20"/>
  <c r="I16" i="20"/>
  <c r="I44" i="19"/>
  <c r="I45" i="19"/>
  <c r="I35" i="19"/>
  <c r="I39" i="19"/>
  <c r="I42" i="19"/>
  <c r="I36" i="19"/>
  <c r="I63" i="19"/>
  <c r="I56" i="19"/>
  <c r="I61" i="19"/>
  <c r="I40" i="19"/>
  <c r="I58" i="19"/>
  <c r="I62" i="19"/>
  <c r="I43" i="19"/>
  <c r="I59" i="19"/>
  <c r="I34" i="19"/>
  <c r="I38" i="19"/>
  <c r="I41" i="19"/>
  <c r="I60" i="19"/>
  <c r="I13" i="22"/>
  <c r="I14" i="22"/>
  <c r="I15" i="22"/>
  <c r="I9" i="20"/>
  <c r="I36" i="20"/>
  <c r="M22" i="21" l="1"/>
  <c r="I17" i="22"/>
  <c r="I19" i="22" s="1"/>
  <c r="I9" i="18" s="1"/>
  <c r="K65" i="19"/>
  <c r="K47" i="19"/>
  <c r="K24" i="20"/>
  <c r="K39" i="20"/>
  <c r="K99" i="19"/>
  <c r="I66" i="19" l="1"/>
  <c r="I40" i="20"/>
  <c r="L11" i="18"/>
  <c r="L10" i="18"/>
  <c r="L9" i="18"/>
  <c r="L8" i="18"/>
  <c r="L7" i="18"/>
  <c r="C13" i="30" l="1"/>
  <c r="E13" i="30" s="1"/>
  <c r="F11" i="28" s="1"/>
  <c r="I88" i="19"/>
  <c r="M16" i="18"/>
  <c r="M19" i="18" s="1"/>
  <c r="I18" i="18" s="1"/>
  <c r="I19" i="18" s="1"/>
  <c r="I9" i="17"/>
  <c r="M11" i="18"/>
  <c r="F12" i="28" l="1"/>
  <c r="H12" i="29"/>
  <c r="I8" i="18"/>
  <c r="C12" i="30"/>
  <c r="F10" i="28" s="1"/>
  <c r="M9" i="18"/>
  <c r="M10" i="18"/>
  <c r="I7" i="18"/>
  <c r="I13" i="18" l="1"/>
  <c r="N6" i="18"/>
  <c r="M7" i="18"/>
  <c r="M12" i="18" s="1"/>
  <c r="C11" i="30"/>
  <c r="E11" i="30" s="1"/>
  <c r="E20" i="30" l="1"/>
  <c r="F9" i="28"/>
  <c r="M13" i="18"/>
  <c r="I14" i="18" s="1"/>
  <c r="I15" i="18" s="1"/>
  <c r="G2" i="27"/>
  <c r="M14" i="18"/>
  <c r="M22" i="18" s="1"/>
  <c r="I22" i="18" s="1"/>
  <c r="G7" i="28" l="1"/>
  <c r="C23" i="18"/>
  <c r="H11" i="29"/>
  <c r="H19" i="29" s="1"/>
  <c r="B20" i="29" s="1"/>
  <c r="R19" i="18"/>
  <c r="R21" i="18" s="1"/>
  <c r="I33" i="18"/>
  <c r="T6" i="27"/>
  <c r="R3" i="27"/>
  <c r="R5" i="27"/>
  <c r="T5" i="27"/>
  <c r="K8" i="27"/>
  <c r="K10" i="27" s="1"/>
  <c r="G12" i="27" s="1"/>
  <c r="E15" i="27" s="1"/>
  <c r="E17" i="27" s="1"/>
  <c r="Q6" i="27"/>
  <c r="S6" i="27"/>
  <c r="R6" i="27"/>
  <c r="T4" i="27"/>
  <c r="S3" i="27"/>
  <c r="Q5" i="27"/>
  <c r="S4" i="27"/>
  <c r="S5" i="27"/>
  <c r="R4" i="27"/>
  <c r="Q4" i="27"/>
  <c r="Q3" i="27"/>
  <c r="T3" i="27"/>
  <c r="I36" i="18" l="1"/>
  <c r="I38" i="18" l="1"/>
</calcChain>
</file>

<file path=xl/sharedStrings.xml><?xml version="1.0" encoding="utf-8"?>
<sst xmlns="http://schemas.openxmlformats.org/spreadsheetml/2006/main" count="853" uniqueCount="354">
  <si>
    <t xml:space="preserve"> </t>
  </si>
  <si>
    <t>รายการ</t>
  </si>
  <si>
    <t>หน่วย</t>
  </si>
  <si>
    <t>ลบ.ม.</t>
  </si>
  <si>
    <t>จำนวน</t>
  </si>
  <si>
    <t>ค่าวัสดุ</t>
  </si>
  <si>
    <t>ค่าแรงงาน</t>
  </si>
  <si>
    <t xml:space="preserve">  มหาวิทยาลัยเทคโนโลยีราชมงคลพระนคร</t>
  </si>
  <si>
    <t>หมายเหตุ</t>
  </si>
  <si>
    <t>งานรื้อถอน</t>
  </si>
  <si>
    <t xml:space="preserve"> - คอนกรีตหยาบ</t>
  </si>
  <si>
    <t xml:space="preserve"> - ลวดผูกเหล็กเบอร์ 18</t>
  </si>
  <si>
    <t xml:space="preserve"> - RB 9 มม. ( SR 24)</t>
  </si>
  <si>
    <t>งานไฟฟ้า</t>
  </si>
  <si>
    <t>ลำดับที่</t>
  </si>
  <si>
    <t>งานโครงสร้างวิศวกรรม</t>
  </si>
  <si>
    <t>ราคาต่อหน่วย</t>
  </si>
  <si>
    <t>จำนวนเงิน</t>
  </si>
  <si>
    <t>รวม</t>
  </si>
  <si>
    <t>ค่าวัสดุและค่าแรง</t>
  </si>
  <si>
    <r>
      <t>สถานที่ก่อสร้าง</t>
    </r>
    <r>
      <rPr>
        <b/>
        <u/>
        <sz val="14"/>
        <rFont val="TH SarabunPSK"/>
        <family val="2"/>
      </rPr>
      <t xml:space="preserve">  มหาวิทยาลัยเทคโนโลยีราชมงคลพระนคร ศูนย์เทเวศร์                          </t>
    </r>
    <r>
      <rPr>
        <b/>
        <sz val="14"/>
        <rFont val="TH SarabunPSK"/>
        <family val="2"/>
      </rPr>
      <t>แบบเลขที่</t>
    </r>
    <r>
      <rPr>
        <b/>
        <u/>
        <sz val="14"/>
        <rFont val="TH SarabunPSK"/>
        <family val="2"/>
      </rPr>
      <t xml:space="preserve">                          </t>
    </r>
    <r>
      <rPr>
        <b/>
        <sz val="14"/>
        <rFont val="TH SarabunPSK"/>
        <family val="2"/>
      </rPr>
      <t xml:space="preserve"> รายการเลขที่</t>
    </r>
    <r>
      <rPr>
        <b/>
        <u/>
        <sz val="14"/>
        <rFont val="TH SarabunPSK"/>
        <family val="2"/>
      </rPr>
      <t xml:space="preserve">                                              .</t>
    </r>
  </si>
  <si>
    <t xml:space="preserve"> - เสาเข็มหกเหลี่ยมกลวง ขนาด Ø 0.15x5.00 ม.</t>
  </si>
  <si>
    <t>ต้น</t>
  </si>
  <si>
    <t xml:space="preserve"> - ขุดดินฐานรากและถมคืน</t>
  </si>
  <si>
    <t xml:space="preserve"> - ทรายหยาบ</t>
  </si>
  <si>
    <t xml:space="preserve"> - คอนกรีตโครงสร้าง 210 ksc.</t>
  </si>
  <si>
    <t>กก.</t>
  </si>
  <si>
    <t xml:space="preserve"> - RB 6 มม. ( SR 24)</t>
  </si>
  <si>
    <t xml:space="preserve"> - ตะปู</t>
  </si>
  <si>
    <t>ลบ.ฟ</t>
  </si>
  <si>
    <r>
      <t>สถานที่ก่อสร้าง</t>
    </r>
    <r>
      <rPr>
        <b/>
        <u/>
        <sz val="14"/>
        <rFont val="TH SarabunPSK"/>
        <family val="2"/>
      </rPr>
      <t xml:space="preserve">  มหาวิทยาลัยเทคโนโลยีราชมงคลพระนคร ศูนย์เทเวศร์                          </t>
    </r>
    <r>
      <rPr>
        <b/>
        <sz val="14"/>
        <rFont val="TH SarabunPSK"/>
        <family val="2"/>
      </rPr>
      <t>แบบเลขที่</t>
    </r>
    <r>
      <rPr>
        <b/>
        <u/>
        <sz val="14"/>
        <rFont val="TH SarabunPSK"/>
        <family val="2"/>
      </rPr>
      <t xml:space="preserve">                          </t>
    </r>
    <r>
      <rPr>
        <b/>
        <sz val="14"/>
        <rFont val="TH SarabunPSK"/>
        <family val="2"/>
      </rPr>
      <t xml:space="preserve"> รายการเลขที่</t>
    </r>
    <r>
      <rPr>
        <b/>
        <u/>
        <sz val="14"/>
        <rFont val="TH SarabunPSK"/>
        <family val="2"/>
      </rPr>
      <t xml:space="preserve">                                                              .</t>
    </r>
  </si>
  <si>
    <t xml:space="preserve"> - พลาสติกรองพื้น</t>
  </si>
  <si>
    <t>ตร.ม.</t>
  </si>
  <si>
    <t>ม.</t>
  </si>
  <si>
    <t xml:space="preserve"> - รื้อศาลพระภูมิ </t>
  </si>
  <si>
    <t>งานสถาปัตยกรรม</t>
  </si>
  <si>
    <t>รวมราคางานรื้อถอน</t>
  </si>
  <si>
    <t>รวมราคางานโครงสร้าง</t>
  </si>
  <si>
    <t>งานครุภัณฑ์</t>
  </si>
  <si>
    <t>ตัว</t>
  </si>
  <si>
    <t>งานผิวพื้น</t>
  </si>
  <si>
    <t>รวมราคางานผิวพื้น</t>
  </si>
  <si>
    <t>งาน</t>
  </si>
  <si>
    <t xml:space="preserve"> - DB 12 มม. ( SD 40)</t>
  </si>
  <si>
    <t xml:space="preserve"> - DB 16 มม. ( SD 40)</t>
  </si>
  <si>
    <t>เครื่อง</t>
  </si>
  <si>
    <t xml:space="preserve"> - ก๊อกสนาม</t>
  </si>
  <si>
    <t>อัน</t>
  </si>
  <si>
    <t xml:space="preserve"> - ปั๊มน้ำอัตโนมัติชนิดอินเวอร์เตอร์</t>
  </si>
  <si>
    <t>รวมราคางานครุภัณฑ์</t>
  </si>
  <si>
    <t xml:space="preserve"> - ตะแกรง FD ขนาด 3''</t>
  </si>
  <si>
    <t xml:space="preserve"> - ตะแกรง FD ขนาด 2''</t>
  </si>
  <si>
    <t>งานระบบไฟฟ้า</t>
  </si>
  <si>
    <t>ซีพียูโมดูล S7-1200.CPU 1214C, DC/DC</t>
  </si>
  <si>
    <t>โมดูล IOT Gateway IMS-01</t>
  </si>
  <si>
    <t xml:space="preserve">Power Supply SITOP PSU 100L 24 </t>
  </si>
  <si>
    <t>มิเตอร์วัดค่าพารามิเตอร์ ทางไฟฟ้า 5A/600V RS485</t>
  </si>
  <si>
    <t>ตัวแปลงกระแส 60/5A Class 1.0</t>
  </si>
  <si>
    <t>ตลับใส่ฟิวส์ฐานฟิวส์ 3P</t>
  </si>
  <si>
    <t xml:space="preserve">ฟิวส์/กระเบื้อง </t>
  </si>
  <si>
    <t>MCB Acti 9 iC60N-10A A9F74210 2P 10A 10kA</t>
  </si>
  <si>
    <t>Relay DC24 Plug-in 5A</t>
  </si>
  <si>
    <t>Socket Relay PYF-O8A</t>
  </si>
  <si>
    <t>พล็อทแลมป์ XB7-E V07MP</t>
  </si>
  <si>
    <t>DES-1005A 5 PORT 10/100</t>
  </si>
  <si>
    <t>ค่า Factor F</t>
  </si>
  <si>
    <t>Vat 7%</t>
  </si>
  <si>
    <t>ราคารวม</t>
  </si>
  <si>
    <t>ตู้</t>
  </si>
  <si>
    <t>ชุด</t>
  </si>
  <si>
    <t>รวมราคางานก่อสร้าง</t>
  </si>
  <si>
    <t xml:space="preserve"> - ย้ายป้ายสมาคมศิษย์เก่า</t>
  </si>
  <si>
    <t xml:space="preserve"> - รื้อตู้ ATM ของเดิม</t>
  </si>
  <si>
    <t xml:space="preserve"> - รื้อป้ายมหาวิทยาลัย</t>
  </si>
  <si>
    <t xml:space="preserve"> - รื้อรั้วด้านหน้า</t>
  </si>
  <si>
    <t xml:space="preserve"> - รื้อถอนตู้ LP</t>
  </si>
  <si>
    <t xml:space="preserve"> - เต้ารับ</t>
  </si>
  <si>
    <t>ระบบไฟฟ้าตู้ ATM</t>
  </si>
  <si>
    <t>ระบบสนาม</t>
  </si>
  <si>
    <t>ระบบลานกรมหลวง</t>
  </si>
  <si>
    <t>จุด</t>
  </si>
  <si>
    <t xml:space="preserve"> - รื้อแนวท่อ PVC ของเดิม</t>
  </si>
  <si>
    <t>รวมราคาค่างานก่อสร้างทั้งโครงการ</t>
  </si>
  <si>
    <t xml:space="preserve"> - ค่าแรงติดตั้งปั๊มน้ำ</t>
  </si>
  <si>
    <t>งานระบบรดน้ำต้นไม้</t>
  </si>
  <si>
    <t>รวมราคางานระบบรดน้ำต้นไม้</t>
  </si>
  <si>
    <t>งานภูมิทัศน์</t>
  </si>
  <si>
    <t xml:space="preserve"> - งานปลูกหญ้านวลน้อย</t>
  </si>
  <si>
    <t xml:space="preserve"> - ประตูเลื่อนอัตโนมัติ</t>
  </si>
  <si>
    <t>เหมา</t>
  </si>
  <si>
    <t>จัดสวน ปลูกหญ้าและต้นไม้</t>
  </si>
  <si>
    <t>รวมราคางานจัดสวน ปลูกหญ้าและต้นไม้</t>
  </si>
  <si>
    <t>รวมราคางานภูมิทัศน์</t>
  </si>
  <si>
    <t>งานซุ้มประตู, รั้วด้านหน้าและรั้วภายใน</t>
  </si>
  <si>
    <t xml:space="preserve"> - รื้องานภูมิทัศน์ ของเดิม (ยกเว้นงานย้ายและปลูกต้นไม้)</t>
  </si>
  <si>
    <t xml:space="preserve"> - ไม้แบบ</t>
  </si>
  <si>
    <t xml:space="preserve"> - รางประตูเลื่อน คสล. ขนาด 0.20x0.30 ม.</t>
  </si>
  <si>
    <t xml:space="preserve"> -    1    หินอ่อนขนาด 0.60x0.60 ม. หนาไม่น้อยกว่า 18 มม.</t>
  </si>
  <si>
    <t xml:space="preserve"> -    6    ผิวขัดมันเรียบ ผสมน้ำยากันซึม (รางระบายน้ำกว้าง 0.10 ม.)</t>
  </si>
  <si>
    <t xml:space="preserve"> - หินแกรนิตดำอินเดียผิวพ่นทราย</t>
  </si>
  <si>
    <t xml:space="preserve"> -    2    หินแกรนิตขาวจีนผิวพ่นทราย (ตามแบบรูป) หนาไม่น้อยกว่า 18 มม.</t>
  </si>
  <si>
    <t>งวดที่1</t>
  </si>
  <si>
    <t>Factor F</t>
  </si>
  <si>
    <t xml:space="preserve"> - โคมไฟสปอตไลท์</t>
  </si>
  <si>
    <t>ระบบไฟป้าย</t>
  </si>
  <si>
    <t xml:space="preserve"> - โคมไฟสปอตไลท์ 30 W</t>
  </si>
  <si>
    <t xml:space="preserve"> - โคมไฟสปอตไลท์ 50 W</t>
  </si>
  <si>
    <t>โคม</t>
  </si>
  <si>
    <t>หลอด</t>
  </si>
  <si>
    <t>-</t>
  </si>
  <si>
    <r>
      <t>รายการประมาณราคาค่าก่อสร้าง</t>
    </r>
    <r>
      <rPr>
        <b/>
        <u/>
        <sz val="14"/>
        <rFont val="TH SarabunPSK"/>
        <family val="2"/>
      </rPr>
      <t xml:space="preserve">            ปรับปรุงภูมิทัศน์ ณ บริเวณลานพระอนุสาวรีย์ พระองค์เจ้ารพีพัฒนศักดิ์                                                                                                              .</t>
    </r>
  </si>
  <si>
    <t xml:space="preserve"> - รื้อฐานอนุสาวรีย์ (ของเดิม) </t>
  </si>
  <si>
    <t>รวมราคางานผนัง</t>
  </si>
  <si>
    <t>งานประตู</t>
  </si>
  <si>
    <t>รวมราคางานประตู</t>
  </si>
  <si>
    <t>งานทาสี</t>
  </si>
  <si>
    <t>รวมราคางานทาสี</t>
  </si>
  <si>
    <t xml:space="preserve"> - อักษรสเตนเลสชุบทองภาษไทยและภาษาอังกฤษ</t>
  </si>
  <si>
    <t>รวมราคางานสถาปัตยกรรม</t>
  </si>
  <si>
    <t>ที่</t>
  </si>
  <si>
    <t>รวมเป็นเงิน</t>
  </si>
  <si>
    <t xml:space="preserve">ต่อหน่วย </t>
  </si>
  <si>
    <t>รวมเงิน</t>
  </si>
  <si>
    <t>MDB</t>
  </si>
  <si>
    <t xml:space="preserve">ตู้คอนโทรล/เหล็กกันน้ำมีหลังคา 2 ชั้น ฝากระจก </t>
  </si>
  <si>
    <t>Accessories และติดตั้งและทำ Support ติดตั้งตู้</t>
  </si>
  <si>
    <t>L/S</t>
  </si>
  <si>
    <t>เมตร</t>
  </si>
  <si>
    <t xml:space="preserve"> - เบ็ดเตล็ดสายไฟ 10%</t>
  </si>
  <si>
    <t xml:space="preserve"> - เบ็ดเตล็ดท่อคิด 30%</t>
  </si>
  <si>
    <t>รวมราคางานไฟฟ้า(ลานพระรูป)</t>
  </si>
  <si>
    <t>รวมราคางานระบบไฟฟ้า</t>
  </si>
  <si>
    <t>ค่าใช้จ่ายพิเศษ</t>
  </si>
  <si>
    <t xml:space="preserve"> -  ย้ายตู้ UBI</t>
  </si>
  <si>
    <t xml:space="preserve"> - สัญลักษณ์สเตนเลสแบบกัดกรด ขนาด 0.30x0.52 ม.</t>
  </si>
  <si>
    <t xml:space="preserve"> - สัญลักษณ์สเตนเลสแบบกัดกรด ขนาด 0.25x0.43 ม.</t>
  </si>
  <si>
    <t xml:space="preserve"> - ศาลพระภูมิและแท่นวางของสักการะหินแกรนิต</t>
  </si>
  <si>
    <t xml:space="preserve"> - ประตูบานเลื่อน ของเดิม</t>
  </si>
  <si>
    <t>หลัง</t>
  </si>
  <si>
    <t xml:space="preserve"> - ประตูเลื่อนสเตนเลสทางเข้า </t>
  </si>
  <si>
    <t xml:space="preserve"> - ประตูเลื่อนสเตนเลสทางออก</t>
  </si>
  <si>
    <t>ตู้ควบคุมระบบแสงว่าง  IOT 10 วงจร</t>
  </si>
  <si>
    <t xml:space="preserve">ตู้โหลดสวิทช์บอร์ด แบบกันน้ำมีหลังคา </t>
  </si>
  <si>
    <t>ตู้โหลดเซนเตอร์ 1เฟส 14 ช่อง</t>
  </si>
  <si>
    <t xml:space="preserve"> - เบรกเกรอร์เมน 63 A 1P 10kA</t>
  </si>
  <si>
    <t xml:space="preserve"> - เบรกเกรอร์ กันดูด (RCBO) ขนาด 16 A</t>
  </si>
  <si>
    <t xml:space="preserve"> - เบรกเกรอร์ กันดูด (RCBO) ขนาด 20 A</t>
  </si>
  <si>
    <t xml:space="preserve"> - เบรกเกรอร์ กันดูด (RCBO) ขนาด 32 A</t>
  </si>
  <si>
    <t xml:space="preserve"> - สาย CV 16</t>
  </si>
  <si>
    <t xml:space="preserve"> - สาย CV 10</t>
  </si>
  <si>
    <t xml:space="preserve"> - ท่อ RSC 1 1/2''</t>
  </si>
  <si>
    <t xml:space="preserve"> - ท่อ HDPE 1 1/2 " </t>
  </si>
  <si>
    <t xml:space="preserve"> - ท่อ HDPE 3/4 " </t>
  </si>
  <si>
    <t xml:space="preserve"> - โคมไฟหัวเสา</t>
  </si>
  <si>
    <t xml:space="preserve"> - ขาไฟสปอตไลท์</t>
  </si>
  <si>
    <t xml:space="preserve"> - โคมไฟสนามสูง 2.35 ม. ขั้ว E27x2</t>
  </si>
  <si>
    <t xml:space="preserve"> - โคมไฟสนามสูง 2.55 ม. ขั้ว E27x3</t>
  </si>
  <si>
    <t xml:space="preserve"> - หลอดไฟ MR16 4W 220V</t>
  </si>
  <si>
    <t xml:space="preserve"> - หลอดไฟ E27 9W 220V</t>
  </si>
  <si>
    <t xml:space="preserve"> - โคมไฟส่องต้นไม้</t>
  </si>
  <si>
    <t>งานระบบกล้องวงจรปิด</t>
  </si>
  <si>
    <t>รวมราคางานระบบกล้องวงจรปิด</t>
  </si>
  <si>
    <t xml:space="preserve"> - เครื่องปรับอากาศ</t>
  </si>
  <si>
    <t xml:space="preserve"> - กล้องโทรทัศน์วงจรปิดชนิดเครือข่าย</t>
  </si>
  <si>
    <t xml:space="preserve"> - โปรแกรมสำหรับบริหารจัดการระบบรักษาความปลอดภัยกล้องวงจรปิด</t>
  </si>
  <si>
    <t xml:space="preserve"> - หน่วยความจำ SATA ขนาด 6 TB สำหรับเครื่องแม่ข่าย</t>
  </si>
  <si>
    <t xml:space="preserve"> - ตู้เหล็กกันน้ำ สำหรับอุปกรณ์กล้องวงจรปิด</t>
  </si>
  <si>
    <t xml:space="preserve"> - ระบบป้องกันไฟฟ้าเกิน สำหรับกล้องวงจรปิด</t>
  </si>
  <si>
    <t xml:space="preserve"> - งานเดินสายร้อยท่อและติดตั้งกล้องวงจรปิด</t>
  </si>
  <si>
    <t xml:space="preserve">    - เสา CCTV 5 ต้น</t>
  </si>
  <si>
    <t xml:space="preserve">    - สาย LAN CAT6 OUTDOOR, ท่อ PE, ท่อ PVC</t>
  </si>
  <si>
    <t xml:space="preserve">    - ODF Rack Mouunt Drawer</t>
  </si>
  <si>
    <t xml:space="preserve">    - SFP 1.25G SM 10KM</t>
  </si>
  <si>
    <t xml:space="preserve"> - โคมไฟดาวไลท์</t>
  </si>
  <si>
    <t xml:space="preserve"> - โคมไฟสนามเปตอง</t>
  </si>
  <si>
    <t xml:space="preserve"> - โคมไฟสปอตไลท์พร้อมเสา</t>
  </si>
  <si>
    <t xml:space="preserve"> - โคมไฟสนามหรือไฟใต้น้ำ</t>
  </si>
  <si>
    <t xml:space="preserve"> - เบรกเกอร์ MCB 63 A 2P</t>
  </si>
  <si>
    <t xml:space="preserve"> - เต้ารับคู่มีกราวด์มีม่านนิรภัยพร้อมหน้ากากกันน้ำ 250V 16A</t>
  </si>
  <si>
    <t xml:space="preserve"> - โคมไฟบันได</t>
  </si>
  <si>
    <t xml:space="preserve"> - สาย NYY 3x2.5</t>
  </si>
  <si>
    <t>รวมราคาค่าใช้จ่ายพิเศษ</t>
  </si>
  <si>
    <t xml:space="preserve"> - อุปกรณ์สำหรับเชื่อมต่ออุปกรณ์ในระบบเครือข่าย แบบ POE</t>
  </si>
  <si>
    <r>
      <t>รายการประมาณราคาค่าก่อสร้าง</t>
    </r>
    <r>
      <rPr>
        <b/>
        <u/>
        <sz val="14"/>
        <color theme="1"/>
        <rFont val="TH SarabunPSK"/>
        <family val="2"/>
      </rPr>
      <t xml:space="preserve">            ปรับปรุงภูมิทัศน์ ณ บริเวณลานพระอนุสาวรีย์ พระองค์เจ้ารพีพัฒนศักดิ์            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</si>
  <si>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/>
        <sz val="14"/>
        <color theme="1"/>
        <rFont val="TH SarabunPSK"/>
        <family val="2"/>
      </rPr>
      <t xml:space="preserve">            ปรับปรุงภูมิทัศน์ ณ บริเวณลานพระอนุสาวรีย์ พระองค์เจ้ารพีพัฒนศักดิ์                                                                                                             .</t>
    </r>
  </si>
  <si>
    <r>
      <t>สถานที่ก่อสร้าง</t>
    </r>
    <r>
      <rPr>
        <b/>
        <u/>
        <sz val="14"/>
        <color theme="1"/>
        <rFont val="TH SarabunPSK"/>
        <family val="2"/>
      </rPr>
      <t xml:space="preserve">  มหาวิทยาลัยเทคโนโลยีราชมงคลพระนคร ศูนย์เทเวศร์                          </t>
    </r>
    <r>
      <rPr>
        <b/>
        <sz val="14"/>
        <color theme="1"/>
        <rFont val="TH SarabunPSK"/>
        <family val="2"/>
      </rPr>
      <t>แบบเลขที่</t>
    </r>
    <r>
      <rPr>
        <b/>
        <u/>
        <sz val="14"/>
        <color theme="1"/>
        <rFont val="TH SarabunPSK"/>
        <family val="2"/>
      </rPr>
      <t xml:space="preserve">                          </t>
    </r>
    <r>
      <rPr>
        <b/>
        <sz val="14"/>
        <color theme="1"/>
        <rFont val="TH SarabunPSK"/>
        <family val="2"/>
      </rPr>
      <t xml:space="preserve"> รายการเลขที่</t>
    </r>
    <r>
      <rPr>
        <b/>
        <u/>
        <sz val="14"/>
        <color theme="1"/>
        <rFont val="TH SarabunPSK"/>
        <family val="2"/>
      </rPr>
      <t xml:space="preserve">                                                              .</t>
    </r>
  </si>
  <si>
    <r>
      <t>ประมาณการโดย</t>
    </r>
    <r>
      <rPr>
        <b/>
        <u/>
        <sz val="14"/>
        <rFont val="TH SarabunPSK"/>
        <family val="2"/>
      </rPr>
      <t xml:space="preserve">     วัฒนา  เชิดชูพงษ์                                      </t>
    </r>
    <r>
      <rPr>
        <b/>
        <sz val="14"/>
        <rFont val="TH SarabunPSK"/>
        <family val="2"/>
      </rPr>
      <t>เมื่อวันที่</t>
    </r>
    <r>
      <rPr>
        <b/>
        <u/>
        <sz val="14"/>
        <rFont val="TH SarabunPSK"/>
        <family val="2"/>
      </rPr>
      <t xml:space="preserve">       27           </t>
    </r>
    <r>
      <rPr>
        <b/>
        <sz val="14"/>
        <rFont val="TH SarabunPSK"/>
        <family val="2"/>
      </rPr>
      <t xml:space="preserve"> เดือน</t>
    </r>
    <r>
      <rPr>
        <b/>
        <u/>
        <sz val="14"/>
        <rFont val="TH SarabunPSK"/>
        <family val="2"/>
      </rPr>
      <t xml:space="preserve">      มีนาคม    </t>
    </r>
    <r>
      <rPr>
        <b/>
        <sz val="14"/>
        <rFont val="TH SarabunPSK"/>
        <family val="2"/>
      </rPr>
      <t xml:space="preserve"> พ.ศ.</t>
    </r>
    <r>
      <rPr>
        <b/>
        <u/>
        <sz val="14"/>
        <rFont val="TH SarabunPSK"/>
        <family val="2"/>
      </rPr>
      <t xml:space="preserve">   2567                                                                      .</t>
    </r>
  </si>
  <si>
    <t>ตรม.</t>
  </si>
  <si>
    <t xml:space="preserve"> - ทาสีอะครีลิค 100% ผนังป้าย(ด้านหลัง)</t>
  </si>
  <si>
    <t>งานซ่อมแซมหินแกรนิตเสาธง</t>
  </si>
  <si>
    <t>รวมราคาป้ายแกะสลักหินแกรนิต ตราสัญษลักษณ์ และชื่อสถาบัน</t>
  </si>
  <si>
    <t xml:space="preserve"> - งานรื้อแผ่นแกรนิตเดิม ปรับผิวก่อนติดตั้งแผ่นใหม่</t>
  </si>
  <si>
    <t xml:space="preserve"> - ป้ายแกะสลักหินแกรนิต ตราสัญษลักษณ์ และชื่อสถาบัน ขนาด 1.20 x 2.67 ม.</t>
  </si>
  <si>
    <t xml:space="preserve"> - แกะสลักลายโลโก้และแกะลายตัวอักษรชื่อสถาบัน</t>
  </si>
  <si>
    <t>รวมราคาค่าใช้จ่ายเพิ่มเติม(เสียหายจากงานก่อสร้าง)</t>
  </si>
  <si>
    <t>ค่าใช้จ่ายเพิ่มเติม(เสียหายจากงานก่อสร้าง)</t>
  </si>
  <si>
    <t xml:space="preserve">        นายวัฒนา เชิดชูพงษ์ </t>
  </si>
  <si>
    <t>ปร. 4 แผ่นที่  4 / 18</t>
  </si>
  <si>
    <t>ปร. 4 แผ่นที่  3 / 18</t>
  </si>
  <si>
    <t>ปร. 4 แผ่นที่  2 / 18</t>
  </si>
  <si>
    <t>รวมข้อ 1- ข้อ 3</t>
  </si>
  <si>
    <r>
      <t>งาน</t>
    </r>
    <r>
      <rPr>
        <b/>
        <u/>
        <sz val="14"/>
        <rFont val="TH SarabunPSK"/>
        <family val="2"/>
      </rPr>
      <t xml:space="preserve">  กายภาพและสิ่งแวดล้อม                                  </t>
    </r>
    <r>
      <rPr>
        <b/>
        <sz val="14"/>
        <rFont val="TH SarabunPSK"/>
        <family val="2"/>
      </rPr>
      <t>กอง</t>
    </r>
    <r>
      <rPr>
        <b/>
        <u/>
        <sz val="14"/>
        <rFont val="TH SarabunPSK"/>
        <family val="2"/>
      </rPr>
      <t xml:space="preserve"> นโยบายและแผน                        </t>
    </r>
    <r>
      <rPr>
        <b/>
        <sz val="14"/>
        <rFont val="TH SarabunPSK"/>
        <family val="2"/>
      </rPr>
      <t>กรม</t>
    </r>
    <r>
      <rPr>
        <b/>
        <u/>
        <sz val="14"/>
        <rFont val="TH SarabunPSK"/>
        <family val="2"/>
      </rPr>
      <t xml:space="preserve">  มหาวิทยาลัยเทคโนโลยีราชมงคลพระนคร               .               </t>
    </r>
  </si>
  <si>
    <t xml:space="preserve"> - หินแกรนิตดำอินเดีย (ม้านั่ง คสล) ฐานต้นไม้เดิม*10%</t>
  </si>
  <si>
    <t>เสา</t>
  </si>
  <si>
    <t>พื้น</t>
  </si>
  <si>
    <t xml:space="preserve"> - เบรกเกรอร์เมน 40A 1P 10kA</t>
  </si>
  <si>
    <t>งานผนัง</t>
  </si>
  <si>
    <t xml:space="preserve"> - ต้นตะแบก ขนาด ɸ 8''</t>
  </si>
  <si>
    <t xml:space="preserve"> - ต้นแก้ว ขนาด ɸ 5''</t>
  </si>
  <si>
    <t xml:space="preserve"> - ต้นพิกุล ขนาด ɸ 13''</t>
  </si>
  <si>
    <t xml:space="preserve"> - ต้นอินทนิล ขนาด ɸ 6''</t>
  </si>
  <si>
    <t xml:space="preserve"> - ต้นอินทนิล ขนาด ɸ 4''</t>
  </si>
  <si>
    <t>=</t>
  </si>
  <si>
    <t>*</t>
  </si>
  <si>
    <t>)</t>
  </si>
  <si>
    <t>(</t>
  </si>
  <si>
    <t>)]</t>
  </si>
  <si>
    <t>[(</t>
  </si>
  <si>
    <t>แทนค่าสูตร</t>
  </si>
  <si>
    <t>Factor F ตัวสูงกว่า</t>
  </si>
  <si>
    <t>E</t>
  </si>
  <si>
    <t>Factor F ตัวต่ำกว่า</t>
  </si>
  <si>
    <t>D</t>
  </si>
  <si>
    <t>ค่างานตัวสูงกว่าต้นทุนงาน</t>
  </si>
  <si>
    <t>C</t>
  </si>
  <si>
    <t>ค่างานต่ำกว่าต้นทุนงาน</t>
  </si>
  <si>
    <t>B</t>
  </si>
  <si>
    <t>ค่าวัสดุแรงงานต้นทุน</t>
  </si>
  <si>
    <t>A</t>
  </si>
  <si>
    <t>หา Factor F</t>
  </si>
  <si>
    <t>ปร. 4 แผ่นที่  1 / 13</t>
  </si>
  <si>
    <t>ปร. 4 แผ่นที่  2 / 13</t>
  </si>
  <si>
    <t>ปร. 4 แผ่นที่  3 / 13</t>
  </si>
  <si>
    <t>ปร. 4 แผ่นที่  4 / 13</t>
  </si>
  <si>
    <t>ปร. 4 แผ่นที่  5 / 13</t>
  </si>
  <si>
    <t>ปร. 4 แผ่นที่  6 / 13</t>
  </si>
  <si>
    <t>ปร. 4 แผ่นที่  7 / 13</t>
  </si>
  <si>
    <t>ปร. 4 แผ่นที่  8 / 13</t>
  </si>
  <si>
    <t>ปร. 4 แผ่นที่  9 / 13</t>
  </si>
  <si>
    <t>ปร. 4 แผ่นที่  11 /13</t>
  </si>
  <si>
    <t>ปร. 4 แผ่นที่  12 /13</t>
  </si>
  <si>
    <t>ปร. 4 แผ่นที่  13 /13</t>
  </si>
  <si>
    <t>ผู้ประมาณราคา</t>
  </si>
  <si>
    <t xml:space="preserve">  - กระถางลายมังกรนูนไซส์ใหญ่ขนาด 75 Cm.(30นิ้ว)</t>
  </si>
  <si>
    <t xml:space="preserve">    - งานเดินสายระบบเน็ตเวิร์ค</t>
  </si>
  <si>
    <t xml:space="preserve"> - ข้อต่อและอุปกรณ์ท่อ (วัสดุ 50% ค่าแรง 30%)</t>
  </si>
  <si>
    <t>ปั้นตัวเลข</t>
  </si>
  <si>
    <r>
      <t>รายการประมาณราคาค่าก่อสร้าง</t>
    </r>
    <r>
      <rPr>
        <b/>
        <u/>
        <sz val="14"/>
        <rFont val="TH SarabunPSK"/>
        <family val="2"/>
      </rPr>
      <t xml:space="preserve">            ปรับปรุงภูมิทัศน์ ณ บริเวณลานพระอนุสาวรีย์ พระองค์เจ้ารพีพัฒนศักดิ์  (ส่วนที่เหลือ)                                                                                                            .</t>
    </r>
  </si>
  <si>
    <t>ขอบ/ผนัง</t>
  </si>
  <si>
    <t xml:space="preserve"> - หินแกรนิตดำอินเดีย</t>
  </si>
  <si>
    <t xml:space="preserve"> - ค่าแกะสลักหินแกรนิตดำอินเดีย แกะลายสัญลักษณ์มหาวิทยาลัย</t>
  </si>
  <si>
    <t xml:space="preserve"> - เปลี่ยนพื้นกระเบื้องยางตู้คอนเทรนเนอร์</t>
  </si>
  <si>
    <t xml:space="preserve"> - หินแกรนิตดำอินเดีย แกะลายสัญลักษณ์มหาวิทยาลัย </t>
  </si>
  <si>
    <t xml:space="preserve"> - หินแกรนิตเขาโทน</t>
  </si>
  <si>
    <t xml:space="preserve"> - ขัดแต่งผิวเหล็ก</t>
  </si>
  <si>
    <r>
      <t xml:space="preserve"> - ประตูน้ำทองเหลือง </t>
    </r>
    <r>
      <rPr>
        <sz val="12"/>
        <color theme="1"/>
        <rFont val="Calibri"/>
        <family val="2"/>
      </rPr>
      <t>ɸ</t>
    </r>
    <r>
      <rPr>
        <sz val="12"/>
        <color theme="1"/>
        <rFont val="TH SarabunPSK"/>
        <family val="2"/>
      </rPr>
      <t xml:space="preserve"> 1''</t>
    </r>
  </si>
  <si>
    <r>
      <t xml:space="preserve"> - ท่อ PVC </t>
    </r>
    <r>
      <rPr>
        <sz val="12"/>
        <color theme="1"/>
        <rFont val="Calibri"/>
        <family val="2"/>
      </rPr>
      <t>ɸ</t>
    </r>
    <r>
      <rPr>
        <sz val="12"/>
        <color theme="1"/>
        <rFont val="TH SarabunPSK"/>
        <family val="2"/>
      </rPr>
      <t xml:space="preserve"> 1/2'' class 13.5</t>
    </r>
  </si>
  <si>
    <t>กรรมการ</t>
  </si>
  <si>
    <t>นายไพศาล  สุขสม</t>
  </si>
  <si>
    <t>ประธาน</t>
  </si>
  <si>
    <t>รายชื่อเจ้าหน้าที่ผู้กำหนดราคากลาง (ราคาอ้างอิง)</t>
  </si>
  <si>
    <t>บาท</t>
  </si>
  <si>
    <t>บัญชีประมาณราคากลาง</t>
  </si>
  <si>
    <t xml:space="preserve"> บาท</t>
  </si>
  <si>
    <t>วงเงินงบประมาณที่ได้รับจัดสรร</t>
  </si>
  <si>
    <t>ตารางแสดงวงเงินงบประมาณที่ได้รับจัดสรรและราคาในการจ้างก่อสร้าง</t>
  </si>
  <si>
    <t>สรุป</t>
  </si>
  <si>
    <t>ค่างานส่วนที่ 3 ค่าใช้จ่ายพิเศษ</t>
  </si>
  <si>
    <t>ราคารวมค่าภาษีมูลค่าเพิ่ม 7 %</t>
  </si>
  <si>
    <t>ค่างานส่วนที่ 2 ค่าครุภัณฑ์สั่งซื้อหรือจัดซื้อ</t>
  </si>
  <si>
    <t>ค่างานส่วนที่ 1 ค่าวัสดุและค่าแรงงานหมวดงานก่อสร้าง (ทุน)</t>
  </si>
  <si>
    <t>ค่าก่อสร้าง</t>
  </si>
  <si>
    <t>ประมาณราคาเมื่อวันที่</t>
  </si>
  <si>
    <t>แผ่น</t>
  </si>
  <si>
    <t>จำนวน       17</t>
  </si>
  <si>
    <t>แบบ ปร.4 ปร.5 ปร.6  และ Factor F ทั้งหมด</t>
  </si>
  <si>
    <t>เขตดุสิต กรุงเทพฯ 10300</t>
  </si>
  <si>
    <t>มหาวิทยาลัยเทคโนโลยีราชมงคลพระนคร  399 ถ.สามเสน แขวงวชิรพยาบาล 
399 ถ.สามเสน แขวงวชิรพยาบาล เขตดุสิต กรุงเทพฯ 10300</t>
  </si>
  <si>
    <t>สถานที่ก่อสร้าง</t>
  </si>
  <si>
    <t>ปรับปรุงภูมิทัศน์ ณ บริเวณลานพระอนุสาวรีย์ พระองค์เจ้ารพีพัฒนศักดิ์  (ส่วนที่เหลือ) 1 รายการ</t>
  </si>
  <si>
    <t>งานก่อสร้าง</t>
  </si>
  <si>
    <t>แบบสรุปค่าก่อสร้างอาคาร</t>
  </si>
  <si>
    <t>แบบ ปร. 6</t>
  </si>
  <si>
    <t>รวมค่าก่อสร้าง</t>
  </si>
  <si>
    <t>ภาษีมูลค่าเพิ่ม..............7...........%</t>
  </si>
  <si>
    <t>ดอกเบี้ยเงินกู้............7.............%</t>
  </si>
  <si>
    <t>ค่างานต้นทุน</t>
  </si>
  <si>
    <t xml:space="preserve">ลำดับที่ </t>
  </si>
  <si>
    <t>หน่วย : บาท</t>
  </si>
  <si>
    <t xml:space="preserve">แบบเลขที่ </t>
  </si>
  <si>
    <t>แบบสรุปค่าก่อสร้าง</t>
  </si>
  <si>
    <t>แบบ ปร.5 (ก)</t>
  </si>
  <si>
    <t>แบบ ปร.5 (ข)</t>
  </si>
  <si>
    <t xml:space="preserve">รวมค่าก่อสร้างทั้งโครงการ (ราคากลาง) </t>
  </si>
  <si>
    <t>ชื่อโครงการ ปรับปรุงภูมิทัศน์ ณ บริเวณลานพระอนุสาวรีย์ พระองค์เจ้ารพีพัฒนศักดิ์  (ส่วนที่เหลือ) 1 รายการ</t>
  </si>
  <si>
    <t>สถานที่ก่อสร้าง มหาวิทยาลัยเทคโนโลยีราชมงคลพระนคร  399 ถ.สามเสน แขวงวชิรพยาบาล เขตดุสิต กรุงเทพฯ 10300</t>
  </si>
  <si>
    <t>หน่วยงาน  กองนโยบายและแผน</t>
  </si>
  <si>
    <t>แบบ ปร.4 ที่แนบ   มีจำนวน       13           หน้า</t>
  </si>
  <si>
    <t>เงินล่วงหน้าจ่าย...........0.............%</t>
  </si>
  <si>
    <t>เงื่อนไขการใช้ตาราง Factor F</t>
  </si>
  <si>
    <t>vat 7%</t>
  </si>
  <si>
    <t>7%</t>
  </si>
  <si>
    <t>หน่วยงาน : มหาวิทยาลัยเทคโนโลยีราชมงคลพระนคร (ศูนย์เทเวศร์)</t>
  </si>
  <si>
    <t>ลักษณะงานโดยสังเขป งานปรับปรุง</t>
  </si>
  <si>
    <t>นายธนันท์  ศัลยวุฒิ</t>
  </si>
  <si>
    <t>ชื่อโครงการ : ปรับปรุงภูมิทัศน์ ณ บริเวณลานพระอนุสาวรีย์พระองค์เจ้ารพีพัฒนศักดิ์  (ส่วนที่เหลือ) 1 รายการ</t>
  </si>
  <si>
    <t>ค่าใช้จ่ายเพิ่มเติม (เสียหายจากงานก่อสร้าง)</t>
  </si>
  <si>
    <t xml:space="preserve"> - ฉาบปูนเรียบ (ซุ้ม+ป้าย) 4.5+ 2.16</t>
  </si>
  <si>
    <t xml:space="preserve"> - ก่ออิฐมอญครึ่งแผ่น</t>
  </si>
  <si>
    <t xml:space="preserve"> - หินแกรนิตดำอินเดีย  ฐานต้นไม้เดิม</t>
  </si>
  <si>
    <t xml:space="preserve"> - บัวหินอ่อนสีเขียว(อิตาลี)สูง 4 "</t>
  </si>
  <si>
    <t xml:space="preserve"> - หินแกรนิตดำอินเดียพื้น(Border) พ่นทราย ข้างขอบรางน้ำ</t>
  </si>
  <si>
    <t xml:space="preserve"> - ปูนทรายปรับระดับ</t>
  </si>
  <si>
    <t xml:space="preserve"> ม.</t>
  </si>
  <si>
    <t xml:space="preserve"> - หินอ่อนเขียวอิตาลีส่วน(ขอบผนัง) ตัดโค้ง</t>
  </si>
  <si>
    <t xml:space="preserve"> - ค่าแรงติดตั้ง 35%</t>
  </si>
  <si>
    <t xml:space="preserve"> - ทาสีรั้วเหล็กและกันสนิม (ความยาว 57 ม.)</t>
  </si>
  <si>
    <t xml:space="preserve"> -    4'    หินแกรนิตเขาโทน</t>
  </si>
  <si>
    <t>รวมราคางานซุ้มประตู, รั้วด้านหน้าและรั้วภายใน</t>
  </si>
  <si>
    <t>รวมราคา'งานเพิ่มบัวและหินแกรนิตตราสัญลักษณ์แกะลายมหาวิทยาลัย บริเวณบนซุ้มประตู</t>
  </si>
  <si>
    <t>เงินประกันผลงานหัก........0.......%</t>
  </si>
  <si>
    <t xml:space="preserve"> -    1     หินอ่อนเขียว(อิตาลี) ขนาด 0.60x0.60 ม. หนาไม่น้อยกว่า 18 มม. (เต็มแผ่น)</t>
  </si>
  <si>
    <t>ค่าแรงงาน35%</t>
  </si>
  <si>
    <t xml:space="preserve"> - หินแกรนิตขาวจีนตัดขอบ พ่นทราย</t>
  </si>
  <si>
    <t>ป้ายสถาบันแกะสลักหินแกรนิต ตราสัญษลักษณ์ และชื่อสถาบัน</t>
  </si>
  <si>
    <t>หินแกรนิตตราสัญลักษณ์แกะลายมหาวิทยาลัย บริเวณบนซุ้มประตู</t>
  </si>
  <si>
    <t xml:space="preserve"> - บันไดลูกตั้งลูกนอน (หินอ่อนสีเขียวอิตาลี)</t>
  </si>
  <si>
    <t xml:space="preserve"> - ซ่อมแซมบัวปูนปั้นซุ้มประตูและรั้ว (ฉาบเรียบแต่งผิว) 60% จากงานเดิม</t>
  </si>
  <si>
    <t xml:space="preserve"> - ปรับเกลี่ยดิน-ค่าทราย-ค่าปุ๋ยเตรียมปลูกหญ้า</t>
  </si>
  <si>
    <t xml:space="preserve"> -  ย้ายพระอนุสาวรีย์และป้ายสมาคมศิษย์เก่า</t>
  </si>
  <si>
    <t>ขนย้ายตู้ UBI ,ย้ายพระอนุสาวรีย์และป้ายสมาคมศิษย์เก่า</t>
  </si>
  <si>
    <t>รวมราคาค่าขนย้าย</t>
  </si>
  <si>
    <r>
      <t>ประมาณการโดย</t>
    </r>
    <r>
      <rPr>
        <b/>
        <u/>
        <sz val="14"/>
        <rFont val="TH SarabunPSK"/>
        <family val="2"/>
      </rPr>
      <t xml:space="preserve">     วัฒนา  เชิดชูพงษ์                                      </t>
    </r>
    <r>
      <rPr>
        <b/>
        <sz val="14"/>
        <rFont val="TH SarabunPSK"/>
        <family val="2"/>
      </rPr>
      <t>เมื่อวันที่</t>
    </r>
    <r>
      <rPr>
        <b/>
        <u/>
        <sz val="14"/>
        <rFont val="TH SarabunPSK"/>
        <family val="2"/>
      </rPr>
      <t xml:space="preserve">       11           </t>
    </r>
    <r>
      <rPr>
        <b/>
        <sz val="14"/>
        <rFont val="TH SarabunPSK"/>
        <family val="2"/>
      </rPr>
      <t xml:space="preserve"> เดือน</t>
    </r>
    <r>
      <rPr>
        <b/>
        <u/>
        <sz val="14"/>
        <rFont val="TH SarabunPSK"/>
        <family val="2"/>
      </rPr>
      <t xml:space="preserve">      มิถุนายน    </t>
    </r>
    <r>
      <rPr>
        <b/>
        <sz val="14"/>
        <rFont val="TH SarabunPSK"/>
        <family val="2"/>
      </rPr>
      <t xml:space="preserve"> พ.ศ.</t>
    </r>
    <r>
      <rPr>
        <b/>
        <u/>
        <sz val="14"/>
        <rFont val="TH SarabunPSK"/>
        <family val="2"/>
      </rPr>
      <t xml:space="preserve">   2567                                                                      .</t>
    </r>
  </si>
  <si>
    <t>ปร. 4 แผ่นที่  10 / 13</t>
  </si>
  <si>
    <t>คำนวณราคากลาง เมื่อวันที่        11        เดือน     มิถุนายน       พ.ศ.  2567</t>
  </si>
  <si>
    <t xml:space="preserve">                     ...............................................</t>
  </si>
  <si>
    <t>รวมราคางานครุภัณฑ์ทั้งหมด</t>
  </si>
  <si>
    <t xml:space="preserve"> - เครื่องสำรองไฟฟ้า สำรองไฟสำหรับเน็ตเวิร์ค</t>
  </si>
  <si>
    <t xml:space="preserve"> -  1   หินอ่อนสีเขียว(อิตาลี)ขนาด0.60x0.60 ม.หนาไม่น้อยกว่า 18 มม.พ่นทรายตามลาย</t>
  </si>
  <si>
    <t xml:space="preserve"> - งานกระเบื้องส่วนขอบมุมโค้ง</t>
  </si>
  <si>
    <t xml:space="preserve"> - หินแกรนิตเขาโทน (พื้น) พ่นทราย</t>
  </si>
  <si>
    <t xml:space="preserve"> -  2    หินแกรนิตขาวจีนผิวพ่นทราย (ตามแบบรูป) หนาไม่น้อยกว่า 18 มม.</t>
  </si>
  <si>
    <t xml:space="preserve"> -   2'     หินแกรนิตเขาโทน (พื้นศาล+เสา+ขอบ) พ่นทราย</t>
  </si>
  <si>
    <t xml:space="preserve"> - เซาะร่องกันลื่น 3 เส้น และลบมุมขอบบันได</t>
  </si>
  <si>
    <t xml:space="preserve"> - ค่าแรงติดตั้งตัวอักษรสเตนเลส 30%</t>
  </si>
  <si>
    <t xml:space="preserve"> - สีอะครีลิค 100% </t>
  </si>
  <si>
    <t xml:space="preserve"> - ชาฮกเกี้ยน    ความสูง 40-50 ซม</t>
  </si>
  <si>
    <t xml:space="preserve"> - โมก              ความสูง 40-50 ซม</t>
  </si>
  <si>
    <t xml:space="preserve"> - พุดศุภโชค     ความสูง 40-50 ซม</t>
  </si>
  <si>
    <t xml:space="preserve"> - ไทรเกาหลี   1.00 - 1.20 ม</t>
  </si>
  <si>
    <t xml:space="preserve"> - ม้านั่งสนามอัลลอยด์</t>
  </si>
  <si>
    <t xml:space="preserve">ราคากลางคำนวณ ณ. วันที่  11  มิถุนายน พ.ศ 2567  เป็นจำนวนเงิน </t>
  </si>
  <si>
    <t>ขนาดเนื้อที่ส่วนปรับปรุง จำนวน ...............767.60............ ตร.ม.      เฉลี่ย...............5,042.06........บาท/ตร.ม.</t>
  </si>
  <si>
    <t>นางสาวสุธิดา  ถิ่นจันทร์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</si>
</sst>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00_-;\-* #,##0.0000_-;_-* &quot;-&quot;??_-;_-@_-"/>
    <numFmt numFmtId="190" formatCode="0.0000"/>
    <numFmt numFmtId="191" formatCode="_(* #,##0.000_);_(* \(#,##0.000\);_(* &quot;-&quot;??_);_(@_)"/>
    <numFmt numFmtId="192" formatCode="_-* #,##0.00_-;\-* #,##0.00_-;_-* &quot;-&quot;??_-;_-@"/>
    <numFmt numFmtId="193" formatCode="_-* #,##0.0_-;\-* #,##0.0_-;_-* &quot;-&quot;??_-;_-@_-"/>
    <numFmt numFmtId="194" formatCode="[&lt;=99999999][$-D000000]0\-####\-####;[$-D000000]#\-####\-####"/>
    <numFmt numFmtId="195" formatCode="[$-101041E]d\ mmmm\ yyyy;@"/>
    <numFmt numFmtId="196" formatCode="_-* #,##0.000_-;\-* #,##0.000_-;_-* &quot;-&quot;??_-;_-@_-"/>
    <numFmt numFmtId="197" formatCode="0.0000000"/>
    <numFmt numFmtId="198" formatCode="0.0000000000"/>
  </numFmts>
  <fonts count="65" x14ac:knownFonts="1">
    <font>
      <sz val="14"/>
      <name val="Cordia New"/>
      <charset val="222"/>
    </font>
    <font>
      <sz val="14"/>
      <name val="Cordia New"/>
      <family val="2"/>
    </font>
    <font>
      <sz val="16"/>
      <name val="Cordia New"/>
      <family val="2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6"/>
      <color indexed="8"/>
      <name val="AngsanaUPC"/>
      <family val="2"/>
      <charset val="22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u/>
      <sz val="10"/>
      <color indexed="12"/>
      <name val="Arial"/>
      <family val="2"/>
    </font>
    <font>
      <sz val="14"/>
      <name val="Cordia New"/>
      <family val="2"/>
    </font>
    <font>
      <b/>
      <sz val="13"/>
      <name val="TH SarabunPSK"/>
      <family val="2"/>
    </font>
    <font>
      <sz val="12"/>
      <name val="Cordia New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Cordia New"/>
      <family val="2"/>
    </font>
    <font>
      <sz val="14"/>
      <color rgb="FF0070C0"/>
      <name val="Cordia New"/>
      <family val="2"/>
    </font>
    <font>
      <b/>
      <sz val="16"/>
      <color rgb="FFFF0000"/>
      <name val="Cordia New"/>
      <family val="2"/>
    </font>
    <font>
      <b/>
      <sz val="14"/>
      <color theme="8" tint="-0.249977111117893"/>
      <name val="Cordia New"/>
      <family val="2"/>
    </font>
    <font>
      <sz val="12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B0F0"/>
      <name val="TH SarabunPSK"/>
      <family val="2"/>
    </font>
    <font>
      <sz val="11"/>
      <name val="Cordia New"/>
      <family val="2"/>
    </font>
    <font>
      <sz val="16"/>
      <color rgb="FFFF0000"/>
      <name val="TH SarabunPSK"/>
      <family val="2"/>
    </font>
    <font>
      <b/>
      <u/>
      <sz val="14"/>
      <name val="Cordia New"/>
      <family val="2"/>
    </font>
    <font>
      <sz val="14"/>
      <color theme="1"/>
      <name val="Cordia New"/>
      <family val="2"/>
      <charset val="222"/>
    </font>
    <font>
      <sz val="16"/>
      <color theme="1"/>
      <name val="Cordia New"/>
      <family val="2"/>
      <charset val="222"/>
    </font>
    <font>
      <b/>
      <sz val="18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b/>
      <u/>
      <sz val="14"/>
      <color theme="1"/>
      <name val="TH SarabunPSK"/>
      <family val="2"/>
    </font>
    <font>
      <b/>
      <sz val="13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trike/>
      <sz val="12"/>
      <color theme="1"/>
      <name val="TH SarabunPSK"/>
      <family val="2"/>
      <charset val="222"/>
    </font>
    <font>
      <b/>
      <strike/>
      <sz val="12"/>
      <color theme="1"/>
      <name val="TH SarabunPSK"/>
      <family val="2"/>
      <charset val="222"/>
    </font>
    <font>
      <strike/>
      <sz val="12"/>
      <color indexed="8"/>
      <name val="TH SarabunPSK"/>
      <family val="2"/>
    </font>
    <font>
      <strike/>
      <sz val="12"/>
      <name val="TH SarabunPSK"/>
      <family val="2"/>
    </font>
    <font>
      <b/>
      <strike/>
      <sz val="12"/>
      <color indexed="8"/>
      <name val="TH SarabunPSK"/>
      <family val="2"/>
    </font>
    <font>
      <sz val="12"/>
      <color rgb="FF00B050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Cordia New"/>
      <family val="2"/>
      <charset val="222"/>
    </font>
    <font>
      <sz val="12"/>
      <color theme="1"/>
      <name val="Cordia New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Cordia New"/>
      <family val="2"/>
    </font>
    <font>
      <sz val="12"/>
      <color theme="1"/>
      <name val="Calibri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7"/>
      <name val="TH SarabunPSK"/>
      <family val="2"/>
    </font>
    <font>
      <b/>
      <sz val="16"/>
      <color theme="1"/>
      <name val="TH SarabunPSK"/>
      <family val="2"/>
    </font>
    <font>
      <sz val="12"/>
      <name val="TH SarabunPSK"/>
      <family val="2"/>
      <charset val="222"/>
    </font>
    <font>
      <sz val="13"/>
      <color rgb="FF111111"/>
      <name val="TH SarabunPSK"/>
      <family val="2"/>
    </font>
    <font>
      <sz val="16"/>
      <color rgb="FF11111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hair">
        <color auto="1"/>
      </bottom>
      <diagonal/>
    </border>
    <border>
      <left style="thin">
        <color auto="1"/>
      </left>
      <right/>
      <top style="thin">
        <color theme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hair">
        <color auto="1"/>
      </top>
      <bottom/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 applyNumberFormat="0"/>
    <xf numFmtId="0" fontId="3" fillId="0" borderId="0" applyNumberFormat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3" fillId="0" borderId="0"/>
    <xf numFmtId="43" fontId="43" fillId="0" borderId="0" applyFont="0" applyFill="0" applyBorder="0" applyAlignment="0" applyProtection="0"/>
  </cellStyleXfs>
  <cellXfs count="769">
    <xf numFmtId="0" fontId="0" fillId="0" borderId="0" xfId="0"/>
    <xf numFmtId="0" fontId="11" fillId="0" borderId="1" xfId="0" applyFont="1" applyBorder="1" applyAlignment="1">
      <alignment horizontal="center"/>
    </xf>
    <xf numFmtId="43" fontId="11" fillId="0" borderId="1" xfId="1" applyFont="1" applyBorder="1" applyAlignment="1"/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2" fillId="0" borderId="0" xfId="0" applyFont="1" applyBorder="1"/>
    <xf numFmtId="43" fontId="11" fillId="0" borderId="3" xfId="1" applyFont="1" applyBorder="1" applyAlignment="1"/>
    <xf numFmtId="43" fontId="11" fillId="0" borderId="4" xfId="1" applyFont="1" applyFill="1" applyBorder="1" applyAlignment="1"/>
    <xf numFmtId="43" fontId="11" fillId="0" borderId="5" xfId="1" applyFont="1" applyFill="1" applyBorder="1" applyAlignment="1"/>
    <xf numFmtId="0" fontId="11" fillId="3" borderId="6" xfId="0" applyFont="1" applyFill="1" applyBorder="1" applyAlignment="1">
      <alignment horizontal="center"/>
    </xf>
    <xf numFmtId="43" fontId="10" fillId="3" borderId="6" xfId="1" applyFont="1" applyFill="1" applyBorder="1" applyAlignment="1">
      <alignment horizontal="center"/>
    </xf>
    <xf numFmtId="43" fontId="11" fillId="3" borderId="7" xfId="1" applyFont="1" applyFill="1" applyBorder="1" applyAlignment="1"/>
    <xf numFmtId="43" fontId="12" fillId="3" borderId="6" xfId="1" applyFont="1" applyFill="1" applyBorder="1" applyAlignment="1"/>
    <xf numFmtId="43" fontId="10" fillId="3" borderId="6" xfId="1" applyFont="1" applyFill="1" applyBorder="1" applyAlignment="1"/>
    <xf numFmtId="0" fontId="12" fillId="3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/>
    </xf>
    <xf numFmtId="43" fontId="11" fillId="0" borderId="4" xfId="1" quotePrefix="1" applyFont="1" applyFill="1" applyBorder="1" applyAlignment="1"/>
    <xf numFmtId="0" fontId="16" fillId="0" borderId="0" xfId="0" applyFont="1" applyAlignment="1">
      <alignment horizontal="center"/>
    </xf>
    <xf numFmtId="43" fontId="11" fillId="0" borderId="4" xfId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43" fontId="10" fillId="0" borderId="2" xfId="1" applyFont="1" applyBorder="1" applyAlignment="1"/>
    <xf numFmtId="43" fontId="10" fillId="0" borderId="11" xfId="1" applyFont="1" applyBorder="1" applyAlignment="1"/>
    <xf numFmtId="43" fontId="11" fillId="0" borderId="11" xfId="1" applyFont="1" applyFill="1" applyBorder="1" applyAlignment="1"/>
    <xf numFmtId="43" fontId="12" fillId="2" borderId="2" xfId="1" applyFont="1" applyFill="1" applyBorder="1" applyAlignment="1"/>
    <xf numFmtId="43" fontId="11" fillId="0" borderId="2" xfId="1" applyFont="1" applyBorder="1" applyAlignment="1"/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43" fontId="12" fillId="0" borderId="12" xfId="0" applyNumberFormat="1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43" fontId="11" fillId="0" borderId="0" xfId="1" applyFont="1" applyFill="1" applyBorder="1" applyAlignment="1"/>
    <xf numFmtId="43" fontId="12" fillId="0" borderId="0" xfId="1" applyFont="1" applyFill="1" applyBorder="1" applyAlignment="1"/>
    <xf numFmtId="43" fontId="10" fillId="0" borderId="0" xfId="1" applyFont="1" applyFill="1" applyBorder="1" applyAlignment="1"/>
    <xf numFmtId="0" fontId="0" fillId="0" borderId="0" xfId="0" applyFill="1"/>
    <xf numFmtId="43" fontId="11" fillId="0" borderId="16" xfId="1" applyFont="1" applyFill="1" applyBorder="1" applyAlignment="1"/>
    <xf numFmtId="0" fontId="12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43" fontId="12" fillId="0" borderId="4" xfId="1" applyFont="1" applyFill="1" applyBorder="1" applyAlignment="1"/>
    <xf numFmtId="43" fontId="12" fillId="0" borderId="5" xfId="1" applyFont="1" applyFill="1" applyBorder="1" applyAlignment="1"/>
    <xf numFmtId="0" fontId="10" fillId="0" borderId="15" xfId="0" applyFont="1" applyBorder="1" applyAlignment="1">
      <alignment horizontal="center"/>
    </xf>
    <xf numFmtId="188" fontId="11" fillId="0" borderId="4" xfId="1" applyNumberFormat="1" applyFont="1" applyBorder="1" applyAlignment="1"/>
    <xf numFmtId="43" fontId="12" fillId="2" borderId="3" xfId="1" applyFont="1" applyFill="1" applyBorder="1" applyAlignment="1"/>
    <xf numFmtId="43" fontId="11" fillId="0" borderId="1" xfId="1" applyFont="1" applyFill="1" applyBorder="1" applyAlignment="1"/>
    <xf numFmtId="43" fontId="10" fillId="0" borderId="4" xfId="1" applyFont="1" applyFill="1" applyBorder="1" applyAlignment="1">
      <alignment horizontal="center"/>
    </xf>
    <xf numFmtId="43" fontId="11" fillId="0" borderId="4" xfId="1" applyFont="1" applyFill="1" applyBorder="1" applyAlignment="1">
      <alignment horizontal="right"/>
    </xf>
    <xf numFmtId="0" fontId="0" fillId="0" borderId="0" xfId="0" applyBorder="1"/>
    <xf numFmtId="0" fontId="16" fillId="0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43" fontId="10" fillId="0" borderId="8" xfId="1" applyFont="1" applyFill="1" applyBorder="1" applyAlignment="1">
      <alignment horizontal="center"/>
    </xf>
    <xf numFmtId="43" fontId="11" fillId="0" borderId="8" xfId="1" applyFont="1" applyFill="1" applyBorder="1" applyAlignment="1"/>
    <xf numFmtId="43" fontId="12" fillId="0" borderId="8" xfId="1" applyFont="1" applyFill="1" applyBorder="1" applyAlignment="1"/>
    <xf numFmtId="43" fontId="10" fillId="0" borderId="8" xfId="1" applyFont="1" applyFill="1" applyBorder="1" applyAlignment="1"/>
    <xf numFmtId="43" fontId="10" fillId="0" borderId="4" xfId="1" applyFont="1" applyFill="1" applyBorder="1" applyAlignment="1"/>
    <xf numFmtId="43" fontId="11" fillId="0" borderId="21" xfId="1" applyFont="1" applyFill="1" applyBorder="1" applyAlignment="1"/>
    <xf numFmtId="43" fontId="11" fillId="0" borderId="12" xfId="1" applyFont="1" applyFill="1" applyBorder="1" applyAlignment="1"/>
    <xf numFmtId="43" fontId="10" fillId="0" borderId="21" xfId="1" applyFont="1" applyFill="1" applyBorder="1" applyAlignment="1"/>
    <xf numFmtId="43" fontId="11" fillId="0" borderId="21" xfId="1" quotePrefix="1" applyFont="1" applyFill="1" applyBorder="1" applyAlignment="1"/>
    <xf numFmtId="43" fontId="11" fillId="0" borderId="18" xfId="1" quotePrefix="1" applyFont="1" applyFill="1" applyBorder="1" applyAlignment="1"/>
    <xf numFmtId="43" fontId="11" fillId="0" borderId="22" xfId="1" quotePrefix="1" applyFont="1" applyFill="1" applyBorder="1" applyAlignment="1"/>
    <xf numFmtId="43" fontId="11" fillId="0" borderId="22" xfId="1" applyFont="1" applyFill="1" applyBorder="1" applyAlignment="1"/>
    <xf numFmtId="43" fontId="0" fillId="0" borderId="0" xfId="0" applyNumberFormat="1"/>
    <xf numFmtId="0" fontId="12" fillId="0" borderId="23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12" fillId="0" borderId="12" xfId="1" applyFont="1" applyFill="1" applyBorder="1" applyAlignment="1"/>
    <xf numFmtId="43" fontId="10" fillId="0" borderId="12" xfId="1" applyFont="1" applyFill="1" applyBorder="1" applyAlignment="1"/>
    <xf numFmtId="43" fontId="11" fillId="0" borderId="18" xfId="1" quotePrefix="1" applyFont="1" applyBorder="1" applyAlignment="1">
      <alignment horizontal="right"/>
    </xf>
    <xf numFmtId="43" fontId="11" fillId="0" borderId="17" xfId="1" applyFont="1" applyFill="1" applyBorder="1" applyAlignment="1"/>
    <xf numFmtId="43" fontId="10" fillId="0" borderId="4" xfId="1" quotePrefix="1" applyFont="1" applyFill="1" applyBorder="1" applyAlignment="1"/>
    <xf numFmtId="43" fontId="11" fillId="0" borderId="3" xfId="1" applyFont="1" applyFill="1" applyBorder="1" applyAlignment="1"/>
    <xf numFmtId="43" fontId="11" fillId="0" borderId="17" xfId="1" applyFont="1" applyBorder="1" applyAlignment="1"/>
    <xf numFmtId="43" fontId="11" fillId="0" borderId="17" xfId="1" quotePrefix="1" applyFont="1" applyBorder="1" applyAlignment="1"/>
    <xf numFmtId="187" fontId="0" fillId="0" borderId="0" xfId="0" applyNumberFormat="1"/>
    <xf numFmtId="43" fontId="0" fillId="0" borderId="0" xfId="1" applyFont="1"/>
    <xf numFmtId="189" fontId="20" fillId="0" borderId="0" xfId="0" applyNumberFormat="1" applyFont="1"/>
    <xf numFmtId="43" fontId="21" fillId="0" borderId="0" xfId="1" applyFont="1"/>
    <xf numFmtId="0" fontId="3" fillId="0" borderId="0" xfId="0" applyFont="1"/>
    <xf numFmtId="43" fontId="11" fillId="0" borderId="0" xfId="1" applyFont="1" applyFill="1" applyBorder="1" applyAlignment="1">
      <alignment horizontal="left"/>
    </xf>
    <xf numFmtId="43" fontId="11" fillId="0" borderId="0" xfId="1" applyFont="1" applyFill="1" applyBorder="1" applyAlignment="1">
      <alignment horizontal="center"/>
    </xf>
    <xf numFmtId="43" fontId="11" fillId="0" borderId="0" xfId="1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43" fontId="11" fillId="0" borderId="4" xfId="1" quotePrefix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43" fontId="10" fillId="0" borderId="8" xfId="1" applyFont="1" applyFill="1" applyBorder="1" applyAlignment="1">
      <alignment horizontal="left"/>
    </xf>
    <xf numFmtId="43" fontId="11" fillId="0" borderId="8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11" fillId="0" borderId="0" xfId="1" quotePrefix="1" applyFont="1" applyFill="1" applyBorder="1" applyAlignment="1"/>
    <xf numFmtId="43" fontId="11" fillId="0" borderId="0" xfId="1" quotePrefix="1" applyFont="1" applyFill="1" applyBorder="1" applyAlignment="1">
      <alignment horizontal="right"/>
    </xf>
    <xf numFmtId="43" fontId="17" fillId="0" borderId="0" xfId="0" applyNumberFormat="1" applyFont="1" applyFill="1" applyBorder="1"/>
    <xf numFmtId="188" fontId="11" fillId="0" borderId="0" xfId="1" quotePrefix="1" applyNumberFormat="1" applyFont="1" applyFill="1" applyBorder="1" applyAlignment="1"/>
    <xf numFmtId="43" fontId="11" fillId="0" borderId="5" xfId="1" quotePrefix="1" applyFont="1" applyFill="1" applyBorder="1" applyAlignment="1"/>
    <xf numFmtId="43" fontId="11" fillId="0" borderId="5" xfId="1" quotePrefix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43" fontId="11" fillId="0" borderId="18" xfId="1" applyFont="1" applyBorder="1" applyAlignment="1"/>
    <xf numFmtId="43" fontId="20" fillId="0" borderId="0" xfId="0" applyNumberFormat="1" applyFont="1"/>
    <xf numFmtId="43" fontId="12" fillId="0" borderId="4" xfId="1" quotePrefix="1" applyFont="1" applyFill="1" applyBorder="1" applyAlignment="1"/>
    <xf numFmtId="188" fontId="11" fillId="0" borderId="18" xfId="1" quotePrefix="1" applyNumberFormat="1" applyFont="1" applyBorder="1" applyAlignment="1"/>
    <xf numFmtId="0" fontId="22" fillId="0" borderId="0" xfId="0" applyFont="1" applyAlignment="1">
      <alignment horizontal="center"/>
    </xf>
    <xf numFmtId="190" fontId="0" fillId="0" borderId="0" xfId="0" applyNumberFormat="1"/>
    <xf numFmtId="43" fontId="12" fillId="3" borderId="6" xfId="0" applyNumberFormat="1" applyFont="1" applyFill="1" applyBorder="1" applyAlignment="1">
      <alignment vertical="center"/>
    </xf>
    <xf numFmtId="43" fontId="3" fillId="0" borderId="0" xfId="0" applyNumberFormat="1" applyFont="1" applyFill="1"/>
    <xf numFmtId="187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/>
    <xf numFmtId="3" fontId="13" fillId="0" borderId="0" xfId="0" applyNumberFormat="1" applyFont="1" applyFill="1" applyBorder="1" applyAlignment="1">
      <alignment horizontal="center"/>
    </xf>
    <xf numFmtId="43" fontId="0" fillId="0" borderId="0" xfId="0" applyNumberFormat="1" applyAlignment="1"/>
    <xf numFmtId="0" fontId="23" fillId="0" borderId="0" xfId="0" applyFont="1" applyFill="1" applyAlignment="1">
      <alignment horizontal="center"/>
    </xf>
    <xf numFmtId="43" fontId="23" fillId="0" borderId="0" xfId="1" applyFont="1" applyFill="1"/>
    <xf numFmtId="187" fontId="23" fillId="0" borderId="0" xfId="0" applyNumberFormat="1" applyFont="1" applyFill="1"/>
    <xf numFmtId="43" fontId="0" fillId="0" borderId="0" xfId="1" applyNumberFormat="1" applyFont="1" applyFill="1"/>
    <xf numFmtId="43" fontId="24" fillId="0" borderId="4" xfId="1" applyFont="1" applyFill="1" applyBorder="1" applyAlignment="1"/>
    <xf numFmtId="43" fontId="12" fillId="0" borderId="5" xfId="1" quotePrefix="1" applyFont="1" applyFill="1" applyBorder="1" applyAlignment="1"/>
    <xf numFmtId="43" fontId="11" fillId="0" borderId="9" xfId="1" applyFont="1" applyBorder="1" applyAlignment="1"/>
    <xf numFmtId="3" fontId="13" fillId="0" borderId="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1" fillId="0" borderId="15" xfId="1" applyFont="1" applyFill="1" applyBorder="1" applyAlignment="1"/>
    <xf numFmtId="43" fontId="12" fillId="0" borderId="15" xfId="1" applyFont="1" applyFill="1" applyBorder="1" applyAlignment="1"/>
    <xf numFmtId="43" fontId="12" fillId="0" borderId="18" xfId="1" quotePrefix="1" applyFont="1" applyBorder="1" applyAlignment="1"/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3" fontId="10" fillId="0" borderId="0" xfId="1" quotePrefix="1" applyFont="1" applyFill="1" applyBorder="1" applyAlignment="1">
      <alignment horizontal="left"/>
    </xf>
    <xf numFmtId="43" fontId="24" fillId="0" borderId="0" xfId="1" applyFont="1" applyFill="1" applyBorder="1" applyAlignment="1"/>
    <xf numFmtId="43" fontId="3" fillId="0" borderId="0" xfId="0" applyNumberFormat="1" applyFont="1" applyFill="1" applyAlignment="1">
      <alignment horizontal="center"/>
    </xf>
    <xf numFmtId="0" fontId="25" fillId="0" borderId="0" xfId="0" applyFont="1"/>
    <xf numFmtId="0" fontId="25" fillId="0" borderId="0" xfId="0" applyFont="1" applyFill="1" applyBorder="1"/>
    <xf numFmtId="0" fontId="24" fillId="0" borderId="1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43" fontId="28" fillId="3" borderId="6" xfId="3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43" fontId="29" fillId="0" borderId="0" xfId="3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0" xfId="0" applyFont="1" applyBorder="1"/>
    <xf numFmtId="0" fontId="1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25" fillId="0" borderId="20" xfId="0" applyFont="1" applyBorder="1"/>
    <xf numFmtId="0" fontId="25" fillId="0" borderId="0" xfId="0" applyFont="1" applyBorder="1"/>
    <xf numFmtId="0" fontId="29" fillId="4" borderId="0" xfId="0" applyFont="1" applyFill="1" applyBorder="1" applyAlignment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43" fontId="31" fillId="0" borderId="0" xfId="3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Fill="1"/>
    <xf numFmtId="0" fontId="25" fillId="0" borderId="1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/>
    <xf numFmtId="43" fontId="24" fillId="0" borderId="0" xfId="3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30" fillId="0" borderId="3" xfId="0" applyFont="1" applyFill="1" applyBorder="1" applyAlignment="1">
      <alignment horizontal="right" vertical="center"/>
    </xf>
    <xf numFmtId="0" fontId="24" fillId="3" borderId="19" xfId="0" applyFont="1" applyFill="1" applyBorder="1" applyAlignment="1">
      <alignment horizontal="center" vertical="center"/>
    </xf>
    <xf numFmtId="0" fontId="28" fillId="3" borderId="19" xfId="0" applyFont="1" applyFill="1" applyBorder="1"/>
    <xf numFmtId="0" fontId="28" fillId="3" borderId="19" xfId="0" applyFont="1" applyFill="1" applyBorder="1" applyAlignment="1">
      <alignment horizontal="center"/>
    </xf>
    <xf numFmtId="43" fontId="28" fillId="3" borderId="19" xfId="3" applyFont="1" applyFill="1" applyBorder="1" applyAlignment="1">
      <alignment horizontal="center" vertical="center"/>
    </xf>
    <xf numFmtId="0" fontId="24" fillId="0" borderId="8" xfId="0" applyFont="1" applyBorder="1" applyAlignment="1"/>
    <xf numFmtId="43" fontId="24" fillId="0" borderId="8" xfId="3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43" fontId="25" fillId="0" borderId="0" xfId="0" applyNumberFormat="1" applyFont="1"/>
    <xf numFmtId="43" fontId="10" fillId="0" borderId="0" xfId="1" applyFont="1" applyFill="1" applyBorder="1" applyAlignment="1">
      <alignment horizontal="left"/>
    </xf>
    <xf numFmtId="43" fontId="17" fillId="0" borderId="0" xfId="1" applyFont="1"/>
    <xf numFmtId="43" fontId="32" fillId="0" borderId="0" xfId="0" applyNumberFormat="1" applyFont="1"/>
    <xf numFmtId="43" fontId="10" fillId="3" borderId="7" xfId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21" xfId="0" applyBorder="1"/>
    <xf numFmtId="43" fontId="12" fillId="0" borderId="4" xfId="1" applyFont="1" applyBorder="1" applyAlignment="1">
      <alignment horizontal="right"/>
    </xf>
    <xf numFmtId="14" fontId="20" fillId="0" borderId="0" xfId="0" applyNumberFormat="1" applyFont="1"/>
    <xf numFmtId="0" fontId="30" fillId="0" borderId="17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24" fillId="0" borderId="3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/>
    </xf>
    <xf numFmtId="43" fontId="28" fillId="0" borderId="0" xfId="3" applyFont="1" applyFill="1" applyBorder="1" applyAlignment="1">
      <alignment horizontal="center" vertical="center"/>
    </xf>
    <xf numFmtId="0" fontId="24" fillId="0" borderId="8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3" borderId="6" xfId="0" applyFont="1" applyFill="1" applyBorder="1" applyAlignment="1"/>
    <xf numFmtId="0" fontId="24" fillId="3" borderId="6" xfId="0" applyFont="1" applyFill="1" applyBorder="1" applyAlignment="1">
      <alignment horizontal="right"/>
    </xf>
    <xf numFmtId="43" fontId="24" fillId="3" borderId="6" xfId="1" applyFont="1" applyFill="1" applyBorder="1"/>
    <xf numFmtId="43" fontId="24" fillId="3" borderId="6" xfId="3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9" fontId="24" fillId="0" borderId="0" xfId="0" applyNumberFormat="1" applyFont="1" applyBorder="1" applyAlignment="1"/>
    <xf numFmtId="43" fontId="24" fillId="0" borderId="0" xfId="3" applyFont="1" applyFill="1" applyBorder="1" applyAlignment="1">
      <alignment horizontal="right" vertical="center"/>
    </xf>
    <xf numFmtId="0" fontId="2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/>
    <xf numFmtId="0" fontId="24" fillId="0" borderId="8" xfId="0" applyFont="1" applyBorder="1"/>
    <xf numFmtId="9" fontId="24" fillId="0" borderId="8" xfId="0" applyNumberFormat="1" applyFont="1" applyBorder="1" applyAlignment="1"/>
    <xf numFmtId="43" fontId="24" fillId="0" borderId="8" xfId="3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3" fontId="24" fillId="0" borderId="1" xfId="3" applyFont="1" applyFill="1" applyBorder="1" applyAlignment="1">
      <alignment horizontal="center"/>
    </xf>
    <xf numFmtId="0" fontId="0" fillId="5" borderId="0" xfId="0" applyFill="1"/>
    <xf numFmtId="43" fontId="21" fillId="5" borderId="0" xfId="1" applyFont="1" applyFill="1"/>
    <xf numFmtId="43" fontId="13" fillId="3" borderId="6" xfId="1" applyFont="1" applyFill="1" applyBorder="1" applyAlignment="1"/>
    <xf numFmtId="189" fontId="12" fillId="0" borderId="21" xfId="1" applyNumberFormat="1" applyFont="1" applyFill="1" applyBorder="1" applyAlignment="1"/>
    <xf numFmtId="187" fontId="0" fillId="0" borderId="0" xfId="0" applyNumberFormat="1" applyBorder="1"/>
    <xf numFmtId="43" fontId="10" fillId="0" borderId="13" xfId="1" applyFont="1" applyFill="1" applyBorder="1" applyAlignment="1"/>
    <xf numFmtId="0" fontId="34" fillId="0" borderId="0" xfId="0" applyFont="1"/>
    <xf numFmtId="0" fontId="24" fillId="0" borderId="12" xfId="0" applyFont="1" applyBorder="1" applyAlignment="1"/>
    <xf numFmtId="43" fontId="12" fillId="0" borderId="8" xfId="0" applyNumberFormat="1" applyFont="1" applyFill="1" applyBorder="1" applyAlignment="1">
      <alignment vertical="center"/>
    </xf>
    <xf numFmtId="189" fontId="0" fillId="0" borderId="0" xfId="1" applyNumberFormat="1" applyFont="1" applyFill="1"/>
    <xf numFmtId="43" fontId="21" fillId="0" borderId="0" xfId="1" applyFont="1" applyFill="1"/>
    <xf numFmtId="191" fontId="0" fillId="0" borderId="0" xfId="0" applyNumberFormat="1" applyFill="1"/>
    <xf numFmtId="43" fontId="0" fillId="0" borderId="0" xfId="0" applyNumberFormat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10" fillId="3" borderId="7" xfId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35" fillId="0" borderId="0" xfId="0" applyFont="1" applyFill="1"/>
    <xf numFmtId="0" fontId="4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/>
    </xf>
    <xf numFmtId="43" fontId="41" fillId="0" borderId="2" xfId="1" applyFont="1" applyFill="1" applyBorder="1" applyAlignment="1"/>
    <xf numFmtId="43" fontId="41" fillId="0" borderId="11" xfId="1" applyFont="1" applyFill="1" applyBorder="1" applyAlignment="1"/>
    <xf numFmtId="43" fontId="42" fillId="0" borderId="11" xfId="1" applyFont="1" applyFill="1" applyBorder="1" applyAlignment="1"/>
    <xf numFmtId="43" fontId="42" fillId="0" borderId="2" xfId="1" applyFont="1" applyFill="1" applyBorder="1" applyAlignment="1"/>
    <xf numFmtId="0" fontId="42" fillId="0" borderId="2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/>
    </xf>
    <xf numFmtId="43" fontId="42" fillId="0" borderId="1" xfId="1" applyFont="1" applyFill="1" applyBorder="1" applyAlignment="1"/>
    <xf numFmtId="188" fontId="42" fillId="0" borderId="4" xfId="1" applyNumberFormat="1" applyFont="1" applyFill="1" applyBorder="1" applyAlignment="1"/>
    <xf numFmtId="43" fontId="42" fillId="0" borderId="4" xfId="1" applyFont="1" applyFill="1" applyBorder="1" applyAlignment="1">
      <alignment horizontal="right"/>
    </xf>
    <xf numFmtId="43" fontId="42" fillId="0" borderId="4" xfId="1" applyFont="1" applyFill="1" applyBorder="1" applyAlignment="1"/>
    <xf numFmtId="43" fontId="42" fillId="0" borderId="3" xfId="1" applyFont="1" applyFill="1" applyBorder="1" applyAlignment="1"/>
    <xf numFmtId="0" fontId="43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right"/>
    </xf>
    <xf numFmtId="43" fontId="42" fillId="0" borderId="1" xfId="1" quotePrefix="1" applyFont="1" applyFill="1" applyBorder="1" applyAlignment="1"/>
    <xf numFmtId="188" fontId="42" fillId="0" borderId="4" xfId="1" quotePrefix="1" applyNumberFormat="1" applyFont="1" applyFill="1" applyBorder="1" applyAlignment="1"/>
    <xf numFmtId="43" fontId="42" fillId="0" borderId="4" xfId="1" quotePrefix="1" applyFont="1" applyFill="1" applyBorder="1" applyAlignment="1">
      <alignment horizontal="right"/>
    </xf>
    <xf numFmtId="43" fontId="42" fillId="0" borderId="4" xfId="1" quotePrefix="1" applyFont="1" applyFill="1" applyBorder="1" applyAlignment="1"/>
    <xf numFmtId="0" fontId="42" fillId="0" borderId="1" xfId="0" applyFont="1" applyFill="1" applyBorder="1" applyAlignment="1">
      <alignment horizontal="center"/>
    </xf>
    <xf numFmtId="43" fontId="41" fillId="0" borderId="1" xfId="1" quotePrefix="1" applyFont="1" applyFill="1" applyBorder="1" applyAlignment="1"/>
    <xf numFmtId="3" fontId="41" fillId="0" borderId="1" xfId="0" applyNumberFormat="1" applyFont="1" applyFill="1" applyBorder="1" applyAlignment="1">
      <alignment horizontal="left"/>
    </xf>
    <xf numFmtId="188" fontId="42" fillId="0" borderId="1" xfId="1" quotePrefix="1" applyNumberFormat="1" applyFont="1" applyFill="1" applyBorder="1" applyAlignment="1"/>
    <xf numFmtId="43" fontId="42" fillId="0" borderId="1" xfId="1" quotePrefix="1" applyFont="1" applyFill="1" applyBorder="1" applyAlignment="1">
      <alignment horizontal="right"/>
    </xf>
    <xf numFmtId="43" fontId="42" fillId="0" borderId="1" xfId="1" applyFont="1" applyFill="1" applyBorder="1" applyAlignment="1">
      <alignment horizontal="right"/>
    </xf>
    <xf numFmtId="188" fontId="42" fillId="0" borderId="1" xfId="1" applyNumberFormat="1" applyFont="1" applyFill="1" applyBorder="1" applyAlignment="1"/>
    <xf numFmtId="0" fontId="42" fillId="0" borderId="17" xfId="0" applyFont="1" applyFill="1" applyBorder="1" applyAlignment="1">
      <alignment horizontal="center"/>
    </xf>
    <xf numFmtId="188" fontId="42" fillId="0" borderId="17" xfId="1" quotePrefix="1" applyNumberFormat="1" applyFont="1" applyFill="1" applyBorder="1" applyAlignment="1"/>
    <xf numFmtId="43" fontId="42" fillId="0" borderId="17" xfId="1" applyFont="1" applyFill="1" applyBorder="1" applyAlignment="1">
      <alignment horizontal="right"/>
    </xf>
    <xf numFmtId="43" fontId="42" fillId="0" borderId="17" xfId="1" quotePrefix="1" applyFont="1" applyFill="1" applyBorder="1" applyAlignment="1"/>
    <xf numFmtId="43" fontId="42" fillId="0" borderId="17" xfId="1" applyFont="1" applyFill="1" applyBorder="1" applyAlignment="1"/>
    <xf numFmtId="0" fontId="43" fillId="0" borderId="17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42" fillId="0" borderId="2" xfId="0" applyFont="1" applyFill="1" applyBorder="1" applyAlignment="1">
      <alignment horizontal="center"/>
    </xf>
    <xf numFmtId="188" fontId="42" fillId="0" borderId="11" xfId="1" applyNumberFormat="1" applyFont="1" applyFill="1" applyBorder="1" applyAlignment="1"/>
    <xf numFmtId="43" fontId="42" fillId="0" borderId="11" xfId="1" applyFont="1" applyFill="1" applyBorder="1" applyAlignment="1">
      <alignment horizontal="right"/>
    </xf>
    <xf numFmtId="0" fontId="43" fillId="0" borderId="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/>
    </xf>
    <xf numFmtId="188" fontId="42" fillId="0" borderId="1" xfId="1" applyNumberFormat="1" applyFont="1" applyFill="1" applyBorder="1" applyAlignment="1">
      <alignment horizontal="center"/>
    </xf>
    <xf numFmtId="43" fontId="41" fillId="0" borderId="1" xfId="1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6" xfId="0" applyFont="1" applyFill="1" applyBorder="1" applyAlignment="1">
      <alignment vertical="center"/>
    </xf>
    <xf numFmtId="43" fontId="44" fillId="0" borderId="1" xfId="1" applyFont="1" applyFill="1" applyBorder="1" applyAlignment="1"/>
    <xf numFmtId="43" fontId="44" fillId="0" borderId="1" xfId="1" quotePrefix="1" applyFont="1" applyFill="1" applyBorder="1" applyAlignment="1"/>
    <xf numFmtId="3" fontId="44" fillId="0" borderId="1" xfId="0" applyNumberFormat="1" applyFont="1" applyFill="1" applyBorder="1" applyAlignment="1">
      <alignment horizontal="left"/>
    </xf>
    <xf numFmtId="3" fontId="44" fillId="0" borderId="17" xfId="0" applyNumberFormat="1" applyFont="1" applyFill="1" applyBorder="1" applyAlignment="1">
      <alignment horizontal="left"/>
    </xf>
    <xf numFmtId="3" fontId="44" fillId="0" borderId="2" xfId="0" applyNumberFormat="1" applyFont="1" applyFill="1" applyBorder="1" applyAlignment="1">
      <alignment horizontal="left"/>
    </xf>
    <xf numFmtId="3" fontId="45" fillId="0" borderId="6" xfId="0" applyNumberFormat="1" applyFont="1" applyFill="1" applyBorder="1" applyAlignment="1">
      <alignment horizontal="center"/>
    </xf>
    <xf numFmtId="43" fontId="45" fillId="0" borderId="6" xfId="1" applyFont="1" applyFill="1" applyBorder="1" applyAlignment="1">
      <alignment horizontal="center"/>
    </xf>
    <xf numFmtId="43" fontId="44" fillId="0" borderId="6" xfId="1" applyFont="1" applyFill="1" applyBorder="1" applyAlignment="1"/>
    <xf numFmtId="43" fontId="45" fillId="0" borderId="6" xfId="1" applyFont="1" applyFill="1" applyBorder="1" applyAlignment="1"/>
    <xf numFmtId="0" fontId="16" fillId="0" borderId="0" xfId="0" applyFont="1" applyFill="1" applyAlignment="1">
      <alignment horizontal="center"/>
    </xf>
    <xf numFmtId="43" fontId="10" fillId="0" borderId="15" xfId="1" applyFont="1" applyFill="1" applyBorder="1" applyAlignment="1"/>
    <xf numFmtId="43" fontId="10" fillId="0" borderId="16" xfId="1" applyFont="1" applyFill="1" applyBorder="1" applyAlignment="1"/>
    <xf numFmtId="188" fontId="12" fillId="0" borderId="4" xfId="1" applyNumberFormat="1" applyFont="1" applyFill="1" applyBorder="1" applyAlignment="1"/>
    <xf numFmtId="192" fontId="24" fillId="0" borderId="27" xfId="0" applyNumberFormat="1" applyFont="1" applyFill="1" applyBorder="1"/>
    <xf numFmtId="16" fontId="33" fillId="0" borderId="1" xfId="0" applyNumberFormat="1" applyFont="1" applyFill="1" applyBorder="1" applyAlignment="1">
      <alignment vertical="center"/>
    </xf>
    <xf numFmtId="43" fontId="33" fillId="0" borderId="1" xfId="0" applyNumberFormat="1" applyFont="1" applyFill="1" applyBorder="1" applyAlignment="1">
      <alignment vertical="center"/>
    </xf>
    <xf numFmtId="43" fontId="24" fillId="0" borderId="4" xfId="1" quotePrefix="1" applyFont="1" applyFill="1" applyBorder="1" applyAlignment="1"/>
    <xf numFmtId="43" fontId="12" fillId="0" borderId="4" xfId="1" applyFont="1" applyFill="1" applyBorder="1" applyAlignment="1">
      <alignment horizontal="right"/>
    </xf>
    <xf numFmtId="43" fontId="12" fillId="0" borderId="4" xfId="1" quotePrefix="1" applyFont="1" applyFill="1" applyBorder="1" applyAlignment="1">
      <alignment horizontal="right"/>
    </xf>
    <xf numFmtId="43" fontId="24" fillId="0" borderId="5" xfId="1" quotePrefix="1" applyFont="1" applyFill="1" applyBorder="1" applyAlignment="1"/>
    <xf numFmtId="43" fontId="12" fillId="0" borderId="5" xfId="1" quotePrefix="1" applyFont="1" applyFill="1" applyBorder="1" applyAlignment="1">
      <alignment horizontal="right"/>
    </xf>
    <xf numFmtId="43" fontId="11" fillId="0" borderId="3" xfId="1" applyNumberFormat="1" applyFont="1" applyFill="1" applyBorder="1" applyAlignment="1"/>
    <xf numFmtId="0" fontId="11" fillId="0" borderId="6" xfId="0" applyFont="1" applyFill="1" applyBorder="1" applyAlignment="1">
      <alignment horizontal="center"/>
    </xf>
    <xf numFmtId="43" fontId="46" fillId="0" borderId="1" xfId="1" applyFont="1" applyFill="1" applyBorder="1" applyAlignment="1"/>
    <xf numFmtId="43" fontId="47" fillId="0" borderId="1" xfId="1" quotePrefix="1" applyFont="1" applyFill="1" applyBorder="1" applyAlignment="1"/>
    <xf numFmtId="43" fontId="46" fillId="0" borderId="1" xfId="1" quotePrefix="1" applyFont="1" applyFill="1" applyBorder="1" applyAlignment="1"/>
    <xf numFmtId="43" fontId="47" fillId="0" borderId="5" xfId="1" quotePrefix="1" applyFont="1" applyFill="1" applyBorder="1" applyAlignment="1"/>
    <xf numFmtId="43" fontId="46" fillId="0" borderId="5" xfId="1" quotePrefix="1" applyFont="1" applyFill="1" applyBorder="1" applyAlignment="1"/>
    <xf numFmtId="43" fontId="46" fillId="0" borderId="4" xfId="1" quotePrefix="1" applyFont="1" applyFill="1" applyBorder="1" applyAlignment="1"/>
    <xf numFmtId="43" fontId="48" fillId="0" borderId="6" xfId="1" applyFont="1" applyFill="1" applyBorder="1" applyAlignment="1">
      <alignment horizontal="center"/>
    </xf>
    <xf numFmtId="43" fontId="48" fillId="0" borderId="7" xfId="1" applyFont="1" applyFill="1" applyBorder="1" applyAlignment="1">
      <alignment horizontal="center"/>
    </xf>
    <xf numFmtId="43" fontId="46" fillId="0" borderId="7" xfId="1" applyFont="1" applyFill="1" applyBorder="1" applyAlignment="1"/>
    <xf numFmtId="43" fontId="47" fillId="0" borderId="6" xfId="1" applyFont="1" applyFill="1" applyBorder="1" applyAlignment="1"/>
    <xf numFmtId="43" fontId="48" fillId="0" borderId="6" xfId="1" applyFont="1" applyFill="1" applyBorder="1" applyAlignment="1"/>
    <xf numFmtId="0" fontId="47" fillId="0" borderId="6" xfId="0" applyFont="1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43" fontId="10" fillId="0" borderId="15" xfId="1" applyFont="1" applyBorder="1" applyAlignment="1"/>
    <xf numFmtId="43" fontId="11" fillId="0" borderId="15" xfId="1" applyFont="1" applyBorder="1" applyAlignment="1"/>
    <xf numFmtId="43" fontId="11" fillId="0" borderId="35" xfId="1" quotePrefix="1" applyFont="1" applyFill="1" applyBorder="1" applyAlignment="1"/>
    <xf numFmtId="43" fontId="11" fillId="0" borderId="35" xfId="1" applyFont="1" applyFill="1" applyBorder="1" applyAlignment="1"/>
    <xf numFmtId="43" fontId="11" fillId="0" borderId="20" xfId="1" quotePrefix="1" applyFont="1" applyFill="1" applyBorder="1" applyAlignment="1"/>
    <xf numFmtId="43" fontId="12" fillId="0" borderId="36" xfId="1" applyFont="1" applyFill="1" applyBorder="1" applyAlignment="1"/>
    <xf numFmtId="43" fontId="3" fillId="0" borderId="0" xfId="0" applyNumberFormat="1" applyFont="1" applyFill="1" applyAlignment="1"/>
    <xf numFmtId="43" fontId="0" fillId="0" borderId="0" xfId="1" applyFont="1" applyFill="1" applyAlignment="1"/>
    <xf numFmtId="43" fontId="3" fillId="0" borderId="0" xfId="1" applyFont="1" applyFill="1" applyAlignment="1"/>
    <xf numFmtId="9" fontId="0" fillId="0" borderId="0" xfId="0" applyNumberFormat="1"/>
    <xf numFmtId="43" fontId="10" fillId="0" borderId="26" xfId="1" applyFont="1" applyBorder="1" applyAlignment="1"/>
    <xf numFmtId="43" fontId="10" fillId="0" borderId="16" xfId="1" applyFont="1" applyBorder="1" applyAlignment="1"/>
    <xf numFmtId="43" fontId="11" fillId="0" borderId="26" xfId="1" applyFont="1" applyFill="1" applyBorder="1" applyAlignment="1"/>
    <xf numFmtId="43" fontId="12" fillId="2" borderId="15" xfId="1" applyFont="1" applyFill="1" applyBorder="1" applyAlignment="1"/>
    <xf numFmtId="0" fontId="50" fillId="0" borderId="1" xfId="0" applyFont="1" applyFill="1" applyBorder="1" applyAlignment="1">
      <alignment horizontal="center" vertical="center"/>
    </xf>
    <xf numFmtId="0" fontId="43" fillId="0" borderId="0" xfId="15"/>
    <xf numFmtId="0" fontId="3" fillId="0" borderId="0" xfId="15" applyFont="1"/>
    <xf numFmtId="190" fontId="43" fillId="0" borderId="0" xfId="15" applyNumberFormat="1"/>
    <xf numFmtId="0" fontId="43" fillId="0" borderId="0" xfId="15" applyBorder="1" applyAlignment="1">
      <alignment horizontal="center"/>
    </xf>
    <xf numFmtId="3" fontId="43" fillId="0" borderId="0" xfId="15" applyNumberFormat="1" applyBorder="1" applyAlignment="1">
      <alignment horizontal="center"/>
    </xf>
    <xf numFmtId="43" fontId="43" fillId="0" borderId="20" xfId="15" applyNumberFormat="1" applyBorder="1"/>
    <xf numFmtId="0" fontId="3" fillId="0" borderId="20" xfId="15" applyFont="1" applyBorder="1"/>
    <xf numFmtId="189" fontId="43" fillId="0" borderId="20" xfId="15" applyNumberFormat="1" applyBorder="1"/>
    <xf numFmtId="0" fontId="43" fillId="0" borderId="20" xfId="15" applyBorder="1" applyAlignment="1"/>
    <xf numFmtId="189" fontId="43" fillId="0" borderId="0" xfId="15" applyNumberFormat="1"/>
    <xf numFmtId="43" fontId="43" fillId="0" borderId="8" xfId="15" applyNumberFormat="1" applyBorder="1" applyAlignment="1"/>
    <xf numFmtId="194" fontId="43" fillId="0" borderId="8" xfId="15" applyNumberFormat="1" applyBorder="1" applyAlignment="1"/>
    <xf numFmtId="0" fontId="43" fillId="0" borderId="20" xfId="15" applyBorder="1"/>
    <xf numFmtId="190" fontId="43" fillId="0" borderId="20" xfId="15" applyNumberFormat="1" applyBorder="1"/>
    <xf numFmtId="4" fontId="43" fillId="0" borderId="0" xfId="15" applyNumberFormat="1"/>
    <xf numFmtId="189" fontId="43" fillId="0" borderId="0" xfId="16" applyNumberFormat="1" applyFont="1" applyAlignment="1">
      <alignment horizontal="left"/>
    </xf>
    <xf numFmtId="189" fontId="43" fillId="0" borderId="0" xfId="16" applyNumberFormat="1" applyFont="1"/>
    <xf numFmtId="43" fontId="43" fillId="0" borderId="0" xfId="16" applyFont="1"/>
    <xf numFmtId="43" fontId="43" fillId="0" borderId="0" xfId="15" applyNumberFormat="1"/>
    <xf numFmtId="43" fontId="11" fillId="0" borderId="8" xfId="1" quotePrefix="1" applyFont="1" applyBorder="1" applyAlignment="1">
      <alignment horizontal="right"/>
    </xf>
    <xf numFmtId="43" fontId="13" fillId="0" borderId="8" xfId="1" quotePrefix="1" applyFont="1" applyBorder="1" applyAlignment="1">
      <alignment horizontal="left"/>
    </xf>
    <xf numFmtId="43" fontId="13" fillId="0" borderId="8" xfId="1" quotePrefix="1" applyFont="1" applyBorder="1" applyAlignment="1"/>
    <xf numFmtId="43" fontId="11" fillId="0" borderId="16" xfId="1" applyFont="1" applyBorder="1" applyAlignment="1"/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43" fontId="42" fillId="0" borderId="1" xfId="1" applyFont="1" applyBorder="1" applyAlignment="1"/>
    <xf numFmtId="43" fontId="42" fillId="0" borderId="5" xfId="1" quotePrefix="1" applyFont="1" applyFill="1" applyBorder="1" applyAlignment="1"/>
    <xf numFmtId="43" fontId="42" fillId="0" borderId="5" xfId="1" applyFont="1" applyFill="1" applyBorder="1" applyAlignment="1"/>
    <xf numFmtId="43" fontId="42" fillId="0" borderId="1" xfId="1" applyFont="1" applyFill="1" applyBorder="1" applyAlignment="1">
      <alignment horizontal="left"/>
    </xf>
    <xf numFmtId="43" fontId="42" fillId="0" borderId="1" xfId="1" applyFont="1" applyFill="1" applyBorder="1" applyAlignment="1">
      <alignment horizontal="center"/>
    </xf>
    <xf numFmtId="0" fontId="42" fillId="3" borderId="6" xfId="0" applyFont="1" applyFill="1" applyBorder="1" applyAlignment="1">
      <alignment horizontal="center"/>
    </xf>
    <xf numFmtId="43" fontId="41" fillId="3" borderId="6" xfId="1" applyFont="1" applyFill="1" applyBorder="1" applyAlignment="1">
      <alignment horizontal="center"/>
    </xf>
    <xf numFmtId="43" fontId="41" fillId="3" borderId="7" xfId="1" applyFont="1" applyFill="1" applyBorder="1" applyAlignment="1">
      <alignment horizontal="center"/>
    </xf>
    <xf numFmtId="43" fontId="42" fillId="3" borderId="7" xfId="1" applyFont="1" applyFill="1" applyBorder="1" applyAlignment="1"/>
    <xf numFmtId="43" fontId="42" fillId="3" borderId="6" xfId="1" applyFont="1" applyFill="1" applyBorder="1" applyAlignment="1"/>
    <xf numFmtId="43" fontId="41" fillId="3" borderId="6" xfId="1" applyFont="1" applyFill="1" applyBorder="1" applyAlignment="1"/>
    <xf numFmtId="0" fontId="41" fillId="0" borderId="2" xfId="0" applyFont="1" applyBorder="1" applyAlignment="1">
      <alignment horizontal="center"/>
    </xf>
    <xf numFmtId="43" fontId="41" fillId="0" borderId="2" xfId="1" applyFont="1" applyBorder="1" applyAlignment="1"/>
    <xf numFmtId="43" fontId="41" fillId="0" borderId="11" xfId="1" applyFont="1" applyBorder="1" applyAlignment="1"/>
    <xf numFmtId="43" fontId="42" fillId="2" borderId="2" xfId="1" applyFont="1" applyFill="1" applyBorder="1" applyAlignment="1"/>
    <xf numFmtId="43" fontId="42" fillId="0" borderId="9" xfId="1" applyFont="1" applyBorder="1" applyAlignment="1"/>
    <xf numFmtId="0" fontId="42" fillId="0" borderId="1" xfId="0" applyFont="1" applyBorder="1" applyAlignment="1">
      <alignment horizontal="center"/>
    </xf>
    <xf numFmtId="43" fontId="41" fillId="0" borderId="2" xfId="1" quotePrefix="1" applyFont="1" applyFill="1" applyBorder="1" applyAlignment="1"/>
    <xf numFmtId="43" fontId="42" fillId="0" borderId="2" xfId="1" quotePrefix="1" applyFont="1" applyFill="1" applyBorder="1" applyAlignment="1"/>
    <xf numFmtId="43" fontId="42" fillId="0" borderId="2" xfId="1" quotePrefix="1" applyFont="1" applyFill="1" applyBorder="1" applyAlignment="1">
      <alignment horizontal="right"/>
    </xf>
    <xf numFmtId="0" fontId="42" fillId="0" borderId="17" xfId="0" applyFont="1" applyBorder="1" applyAlignment="1">
      <alignment horizontal="center"/>
    </xf>
    <xf numFmtId="0" fontId="36" fillId="0" borderId="0" xfId="0" applyFont="1" applyBorder="1"/>
    <xf numFmtId="0" fontId="40" fillId="0" borderId="10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right"/>
    </xf>
    <xf numFmtId="43" fontId="42" fillId="0" borderId="1" xfId="5" quotePrefix="1" applyFont="1" applyFill="1" applyBorder="1" applyAlignment="1"/>
    <xf numFmtId="43" fontId="42" fillId="0" borderId="4" xfId="5" applyFont="1" applyFill="1" applyBorder="1" applyAlignment="1"/>
    <xf numFmtId="43" fontId="42" fillId="0" borderId="4" xfId="5" quotePrefix="1" applyFont="1" applyFill="1" applyBorder="1" applyAlignment="1">
      <alignment horizontal="right"/>
    </xf>
    <xf numFmtId="43" fontId="42" fillId="2" borderId="1" xfId="5" applyFont="1" applyFill="1" applyBorder="1" applyAlignment="1"/>
    <xf numFmtId="43" fontId="42" fillId="0" borderId="3" xfId="5" applyFont="1" applyFill="1" applyBorder="1" applyAlignment="1"/>
    <xf numFmtId="43" fontId="42" fillId="0" borderId="4" xfId="5" applyFont="1" applyFill="1" applyBorder="1" applyAlignment="1">
      <alignment horizontal="right"/>
    </xf>
    <xf numFmtId="43" fontId="42" fillId="0" borderId="5" xfId="5" quotePrefix="1" applyFont="1" applyFill="1" applyBorder="1" applyAlignment="1"/>
    <xf numFmtId="43" fontId="42" fillId="0" borderId="5" xfId="5" applyFont="1" applyFill="1" applyBorder="1" applyAlignment="1"/>
    <xf numFmtId="43" fontId="42" fillId="0" borderId="5" xfId="5" quotePrefix="1" applyFont="1" applyFill="1" applyBorder="1" applyAlignment="1">
      <alignment horizontal="right"/>
    </xf>
    <xf numFmtId="43" fontId="42" fillId="0" borderId="5" xfId="5" applyFont="1" applyFill="1" applyBorder="1" applyAlignment="1">
      <alignment horizontal="right"/>
    </xf>
    <xf numFmtId="0" fontId="42" fillId="4" borderId="1" xfId="0" applyFont="1" applyFill="1" applyBorder="1" applyAlignment="1">
      <alignment horizontal="right"/>
    </xf>
    <xf numFmtId="43" fontId="41" fillId="0" borderId="28" xfId="5" quotePrefix="1" applyFont="1" applyFill="1" applyBorder="1" applyAlignment="1"/>
    <xf numFmtId="43" fontId="42" fillId="0" borderId="29" xfId="5" applyFont="1" applyFill="1" applyBorder="1" applyAlignment="1"/>
    <xf numFmtId="43" fontId="42" fillId="0" borderId="29" xfId="5" quotePrefix="1" applyFont="1" applyFill="1" applyBorder="1" applyAlignment="1">
      <alignment horizontal="right"/>
    </xf>
    <xf numFmtId="43" fontId="42" fillId="0" borderId="29" xfId="5" applyFont="1" applyFill="1" applyBorder="1" applyAlignment="1">
      <alignment horizontal="right"/>
    </xf>
    <xf numFmtId="43" fontId="42" fillId="2" borderId="28" xfId="5" applyFont="1" applyFill="1" applyBorder="1" applyAlignment="1"/>
    <xf numFmtId="43" fontId="42" fillId="0" borderId="30" xfId="5" applyFont="1" applyFill="1" applyBorder="1" applyAlignment="1"/>
    <xf numFmtId="43" fontId="42" fillId="0" borderId="1" xfId="5" applyFont="1" applyFill="1" applyBorder="1" applyAlignment="1">
      <alignment horizontal="center"/>
    </xf>
    <xf numFmtId="43" fontId="42" fillId="0" borderId="1" xfId="5" applyFont="1" applyFill="1" applyBorder="1" applyAlignment="1"/>
    <xf numFmtId="193" fontId="42" fillId="0" borderId="32" xfId="5" applyNumberFormat="1" applyFont="1" applyBorder="1" applyAlignment="1">
      <alignment horizontal="right" vertical="center"/>
    </xf>
    <xf numFmtId="188" fontId="42" fillId="0" borderId="1" xfId="5" applyNumberFormat="1" applyFont="1" applyFill="1" applyBorder="1" applyAlignment="1"/>
    <xf numFmtId="43" fontId="42" fillId="0" borderId="1" xfId="5" quotePrefix="1" applyFont="1" applyFill="1" applyBorder="1" applyAlignment="1">
      <alignment horizontal="right"/>
    </xf>
    <xf numFmtId="0" fontId="41" fillId="0" borderId="1" xfId="0" applyFont="1" applyFill="1" applyBorder="1" applyAlignment="1">
      <alignment horizontal="center"/>
    </xf>
    <xf numFmtId="0" fontId="51" fillId="0" borderId="1" xfId="0" applyFont="1" applyBorder="1"/>
    <xf numFmtId="0" fontId="52" fillId="0" borderId="1" xfId="0" applyFont="1" applyBorder="1"/>
    <xf numFmtId="43" fontId="42" fillId="0" borderId="1" xfId="1" quotePrefix="1" applyFont="1" applyBorder="1" applyAlignment="1"/>
    <xf numFmtId="43" fontId="42" fillId="2" borderId="1" xfId="1" applyFont="1" applyFill="1" applyBorder="1" applyAlignment="1"/>
    <xf numFmtId="43" fontId="42" fillId="0" borderId="8" xfId="1" applyFont="1" applyFill="1" applyBorder="1" applyAlignment="1"/>
    <xf numFmtId="0" fontId="40" fillId="0" borderId="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center" vertical="center"/>
    </xf>
    <xf numFmtId="43" fontId="53" fillId="0" borderId="15" xfId="3" applyFont="1" applyFill="1" applyBorder="1" applyAlignment="1">
      <alignment horizontal="center"/>
    </xf>
    <xf numFmtId="43" fontId="53" fillId="0" borderId="15" xfId="3" applyFont="1" applyFill="1" applyBorder="1" applyAlignment="1">
      <alignment horizontal="center" vertical="center"/>
    </xf>
    <xf numFmtId="187" fontId="53" fillId="0" borderId="15" xfId="2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41" fillId="0" borderId="1" xfId="0" applyFont="1" applyFill="1" applyBorder="1"/>
    <xf numFmtId="43" fontId="53" fillId="0" borderId="1" xfId="3" applyNumberFormat="1" applyFont="1" applyFill="1" applyBorder="1" applyAlignment="1">
      <alignment horizontal="right"/>
    </xf>
    <xf numFmtId="43" fontId="53" fillId="0" borderId="1" xfId="3" applyFont="1" applyFill="1" applyBorder="1" applyAlignment="1">
      <alignment horizontal="center"/>
    </xf>
    <xf numFmtId="43" fontId="53" fillId="0" borderId="1" xfId="3" applyFont="1" applyFill="1" applyBorder="1" applyAlignment="1">
      <alignment horizontal="center" vertical="center"/>
    </xf>
    <xf numFmtId="187" fontId="53" fillId="0" borderId="1" xfId="2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2" fillId="0" borderId="1" xfId="0" applyFont="1" applyBorder="1"/>
    <xf numFmtId="0" fontId="53" fillId="0" borderId="1" xfId="0" applyFont="1" applyBorder="1"/>
    <xf numFmtId="0" fontId="53" fillId="0" borderId="1" xfId="0" applyFont="1" applyBorder="1" applyAlignment="1">
      <alignment horizontal="center"/>
    </xf>
    <xf numFmtId="0" fontId="42" fillId="0" borderId="1" xfId="0" applyFont="1" applyBorder="1" applyAlignment="1">
      <alignment vertical="center"/>
    </xf>
    <xf numFmtId="0" fontId="53" fillId="0" borderId="3" xfId="0" applyFont="1" applyBorder="1"/>
    <xf numFmtId="0" fontId="42" fillId="0" borderId="3" xfId="0" applyFont="1" applyBorder="1" applyAlignment="1">
      <alignment vertical="center"/>
    </xf>
    <xf numFmtId="0" fontId="53" fillId="0" borderId="3" xfId="0" applyFont="1" applyBorder="1" applyAlignment="1">
      <alignment horizontal="center"/>
    </xf>
    <xf numFmtId="43" fontId="53" fillId="0" borderId="3" xfId="3" applyFont="1" applyFill="1" applyBorder="1" applyAlignment="1">
      <alignment horizontal="center" vertical="center"/>
    </xf>
    <xf numFmtId="0" fontId="53" fillId="0" borderId="17" xfId="0" applyFont="1" applyBorder="1"/>
    <xf numFmtId="0" fontId="42" fillId="0" borderId="17" xfId="0" applyFont="1" applyBorder="1"/>
    <xf numFmtId="0" fontId="42" fillId="0" borderId="17" xfId="0" applyFont="1" applyBorder="1" applyAlignment="1">
      <alignment horizontal="right"/>
    </xf>
    <xf numFmtId="43" fontId="42" fillId="0" borderId="17" xfId="1" applyFont="1" applyBorder="1" applyAlignment="1">
      <alignment horizontal="right"/>
    </xf>
    <xf numFmtId="43" fontId="42" fillId="0" borderId="17" xfId="1" applyFont="1" applyBorder="1" applyAlignment="1">
      <alignment horizontal="center"/>
    </xf>
    <xf numFmtId="43" fontId="42" fillId="0" borderId="17" xfId="3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3" fontId="42" fillId="0" borderId="1" xfId="1" applyFont="1" applyBorder="1"/>
    <xf numFmtId="43" fontId="42" fillId="0" borderId="1" xfId="3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43" fontId="42" fillId="0" borderId="1" xfId="1" applyFont="1" applyFill="1" applyBorder="1"/>
    <xf numFmtId="3" fontId="42" fillId="0" borderId="1" xfId="0" applyNumberFormat="1" applyFont="1" applyBorder="1"/>
    <xf numFmtId="0" fontId="41" fillId="0" borderId="3" xfId="0" applyFont="1" applyFill="1" applyBorder="1" applyAlignment="1">
      <alignment horizontal="center" vertical="center"/>
    </xf>
    <xf numFmtId="0" fontId="42" fillId="0" borderId="3" xfId="0" applyFont="1" applyBorder="1" applyAlignment="1"/>
    <xf numFmtId="0" fontId="42" fillId="0" borderId="3" xfId="0" applyFont="1" applyBorder="1"/>
    <xf numFmtId="0" fontId="42" fillId="0" borderId="3" xfId="0" applyFont="1" applyBorder="1" applyAlignment="1">
      <alignment horizontal="right"/>
    </xf>
    <xf numFmtId="43" fontId="42" fillId="0" borderId="3" xfId="1" applyFont="1" applyBorder="1"/>
    <xf numFmtId="43" fontId="42" fillId="0" borderId="3" xfId="3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42" fillId="0" borderId="17" xfId="0" applyFont="1" applyBorder="1" applyAlignment="1"/>
    <xf numFmtId="43" fontId="42" fillId="0" borderId="17" xfId="1" applyFont="1" applyBorder="1"/>
    <xf numFmtId="43" fontId="42" fillId="0" borderId="17" xfId="3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/>
    <xf numFmtId="0" fontId="42" fillId="0" borderId="0" xfId="0" applyFont="1" applyBorder="1"/>
    <xf numFmtId="0" fontId="42" fillId="0" borderId="0" xfId="0" applyFont="1" applyBorder="1" applyAlignment="1">
      <alignment horizontal="right"/>
    </xf>
    <xf numFmtId="43" fontId="42" fillId="0" borderId="0" xfId="1" applyFont="1" applyBorder="1"/>
    <xf numFmtId="43" fontId="42" fillId="0" borderId="0" xfId="3" applyFont="1" applyFill="1" applyBorder="1" applyAlignment="1">
      <alignment horizontal="center"/>
    </xf>
    <xf numFmtId="0" fontId="42" fillId="0" borderId="1" xfId="0" applyFont="1" applyBorder="1" applyAlignment="1">
      <alignment wrapText="1"/>
    </xf>
    <xf numFmtId="43" fontId="42" fillId="0" borderId="1" xfId="3" applyFont="1" applyFill="1" applyBorder="1" applyAlignment="1">
      <alignment horizontal="center" vertical="center"/>
    </xf>
    <xf numFmtId="9" fontId="42" fillId="0" borderId="1" xfId="0" applyNumberFormat="1" applyFont="1" applyBorder="1" applyAlignment="1"/>
    <xf numFmtId="0" fontId="38" fillId="3" borderId="6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/>
    </xf>
    <xf numFmtId="0" fontId="41" fillId="3" borderId="6" xfId="0" applyFont="1" applyFill="1" applyBorder="1" applyAlignment="1">
      <alignment horizontal="right"/>
    </xf>
    <xf numFmtId="43" fontId="41" fillId="3" borderId="6" xfId="3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/>
    </xf>
    <xf numFmtId="0" fontId="42" fillId="0" borderId="2" xfId="0" applyFont="1" applyFill="1" applyBorder="1" applyAlignment="1">
      <alignment horizontal="center" vertical="center"/>
    </xf>
    <xf numFmtId="43" fontId="42" fillId="0" borderId="2" xfId="3" applyFont="1" applyFill="1" applyBorder="1" applyAlignment="1">
      <alignment horizontal="center"/>
    </xf>
    <xf numFmtId="43" fontId="42" fillId="0" borderId="2" xfId="3" applyFont="1" applyFill="1" applyBorder="1" applyAlignment="1">
      <alignment horizontal="center" vertical="center"/>
    </xf>
    <xf numFmtId="187" fontId="42" fillId="0" borderId="2" xfId="2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43" fontId="42" fillId="0" borderId="1" xfId="1" applyFont="1" applyBorder="1" applyAlignment="1">
      <alignment horizontal="center"/>
    </xf>
    <xf numFmtId="0" fontId="54" fillId="0" borderId="0" xfId="0" applyFont="1" applyBorder="1"/>
    <xf numFmtId="0" fontId="40" fillId="0" borderId="0" xfId="0" applyFont="1" applyBorder="1" applyAlignment="1">
      <alignment horizontal="center"/>
    </xf>
    <xf numFmtId="43" fontId="41" fillId="0" borderId="2" xfId="1" applyFont="1" applyFill="1" applyBorder="1" applyAlignment="1">
      <alignment horizontal="left"/>
    </xf>
    <xf numFmtId="43" fontId="42" fillId="0" borderId="2" xfId="1" applyFont="1" applyFill="1" applyBorder="1" applyAlignment="1">
      <alignment horizontal="center"/>
    </xf>
    <xf numFmtId="43" fontId="41" fillId="0" borderId="1" xfId="1" applyFont="1" applyFill="1" applyBorder="1" applyAlignment="1">
      <alignment horizontal="left"/>
    </xf>
    <xf numFmtId="43" fontId="42" fillId="0" borderId="4" xfId="1" applyFont="1" applyFill="1" applyBorder="1" applyAlignment="1">
      <alignment horizontal="center"/>
    </xf>
    <xf numFmtId="0" fontId="42" fillId="0" borderId="1" xfId="0" applyFont="1" applyFill="1" applyBorder="1" applyAlignment="1">
      <alignment vertical="center"/>
    </xf>
    <xf numFmtId="188" fontId="42" fillId="0" borderId="4" xfId="1" quotePrefix="1" applyNumberFormat="1" applyFont="1" applyBorder="1" applyAlignment="1"/>
    <xf numFmtId="43" fontId="42" fillId="0" borderId="4" xfId="1" quotePrefix="1" applyFont="1" applyBorder="1" applyAlignment="1">
      <alignment horizontal="right"/>
    </xf>
    <xf numFmtId="43" fontId="42" fillId="0" borderId="5" xfId="1" quotePrefix="1" applyFont="1" applyBorder="1" applyAlignment="1"/>
    <xf numFmtId="188" fontId="42" fillId="0" borderId="5" xfId="1" quotePrefix="1" applyNumberFormat="1" applyFont="1" applyBorder="1" applyAlignment="1"/>
    <xf numFmtId="43" fontId="42" fillId="0" borderId="5" xfId="1" quotePrefix="1" applyFont="1" applyBorder="1" applyAlignment="1">
      <alignment horizontal="right"/>
    </xf>
    <xf numFmtId="0" fontId="42" fillId="0" borderId="3" xfId="0" applyFont="1" applyFill="1" applyBorder="1" applyAlignment="1">
      <alignment vertical="center"/>
    </xf>
    <xf numFmtId="43" fontId="42" fillId="0" borderId="4" xfId="1" quotePrefix="1" applyFont="1" applyBorder="1" applyAlignment="1"/>
    <xf numFmtId="0" fontId="42" fillId="3" borderId="6" xfId="0" applyFont="1" applyFill="1" applyBorder="1" applyAlignment="1">
      <alignment vertical="center"/>
    </xf>
    <xf numFmtId="43" fontId="42" fillId="0" borderId="2" xfId="1" applyFont="1" applyBorder="1" applyAlignment="1"/>
    <xf numFmtId="0" fontId="41" fillId="0" borderId="15" xfId="0" applyFont="1" applyBorder="1" applyAlignment="1">
      <alignment horizontal="center"/>
    </xf>
    <xf numFmtId="43" fontId="42" fillId="0" borderId="15" xfId="1" applyFont="1" applyFill="1" applyBorder="1" applyAlignment="1"/>
    <xf numFmtId="188" fontId="42" fillId="0" borderId="16" xfId="1" applyNumberFormat="1" applyFont="1" applyFill="1" applyBorder="1" applyAlignment="1"/>
    <xf numFmtId="43" fontId="42" fillId="0" borderId="16" xfId="1" applyFont="1" applyFill="1" applyBorder="1" applyAlignment="1">
      <alignment horizontal="right"/>
    </xf>
    <xf numFmtId="43" fontId="42" fillId="0" borderId="16" xfId="1" applyFont="1" applyFill="1" applyBorder="1" applyAlignment="1"/>
    <xf numFmtId="0" fontId="42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188" fontId="42" fillId="0" borderId="15" xfId="1" applyNumberFormat="1" applyFont="1" applyFill="1" applyBorder="1" applyAlignment="1"/>
    <xf numFmtId="43" fontId="42" fillId="0" borderId="15" xfId="1" applyFont="1" applyFill="1" applyBorder="1" applyAlignment="1">
      <alignment horizontal="right"/>
    </xf>
    <xf numFmtId="43" fontId="42" fillId="0" borderId="15" xfId="0" applyNumberFormat="1" applyFont="1" applyFill="1" applyBorder="1" applyAlignment="1">
      <alignment vertical="center"/>
    </xf>
    <xf numFmtId="0" fontId="42" fillId="0" borderId="15" xfId="0" applyFont="1" applyBorder="1" applyAlignment="1">
      <alignment horizontal="center"/>
    </xf>
    <xf numFmtId="43" fontId="42" fillId="0" borderId="15" xfId="1" quotePrefix="1" applyFont="1" applyFill="1" applyBorder="1" applyAlignment="1"/>
    <xf numFmtId="188" fontId="42" fillId="0" borderId="16" xfId="1" quotePrefix="1" applyNumberFormat="1" applyFont="1" applyFill="1" applyBorder="1" applyAlignment="1"/>
    <xf numFmtId="43" fontId="42" fillId="0" borderId="16" xfId="1" quotePrefix="1" applyFont="1" applyFill="1" applyBorder="1" applyAlignment="1"/>
    <xf numFmtId="188" fontId="42" fillId="0" borderId="5" xfId="1" quotePrefix="1" applyNumberFormat="1" applyFont="1" applyFill="1" applyBorder="1" applyAlignment="1"/>
    <xf numFmtId="43" fontId="42" fillId="0" borderId="5" xfId="1" quotePrefix="1" applyFont="1" applyFill="1" applyBorder="1" applyAlignment="1">
      <alignment horizontal="right"/>
    </xf>
    <xf numFmtId="43" fontId="42" fillId="0" borderId="5" xfId="1" quotePrefix="1" applyFont="1" applyBorder="1" applyAlignment="1">
      <alignment horizontal="center"/>
    </xf>
    <xf numFmtId="43" fontId="42" fillId="0" borderId="4" xfId="1" applyFont="1" applyBorder="1" applyAlignment="1">
      <alignment horizontal="right"/>
    </xf>
    <xf numFmtId="43" fontId="42" fillId="0" borderId="5" xfId="1" applyFont="1" applyFill="1" applyBorder="1" applyAlignment="1">
      <alignment horizontal="right"/>
    </xf>
    <xf numFmtId="43" fontId="42" fillId="2" borderId="15" xfId="1" applyFont="1" applyFill="1" applyBorder="1" applyAlignment="1">
      <alignment horizontal="right"/>
    </xf>
    <xf numFmtId="43" fontId="42" fillId="0" borderId="1" xfId="1" applyFont="1" applyBorder="1" applyAlignment="1">
      <alignment horizontal="right"/>
    </xf>
    <xf numFmtId="0" fontId="42" fillId="0" borderId="8" xfId="0" applyFont="1" applyBorder="1" applyAlignment="1">
      <alignment horizontal="center"/>
    </xf>
    <xf numFmtId="43" fontId="42" fillId="0" borderId="8" xfId="1" applyFont="1" applyBorder="1" applyAlignment="1"/>
    <xf numFmtId="43" fontId="42" fillId="0" borderId="8" xfId="1" applyFont="1" applyBorder="1" applyAlignment="1">
      <alignment horizontal="right"/>
    </xf>
    <xf numFmtId="43" fontId="42" fillId="2" borderId="8" xfId="1" applyFont="1" applyFill="1" applyBorder="1" applyAlignment="1"/>
    <xf numFmtId="0" fontId="42" fillId="0" borderId="8" xfId="0" applyFont="1" applyFill="1" applyBorder="1" applyAlignment="1">
      <alignment vertical="center"/>
    </xf>
    <xf numFmtId="43" fontId="42" fillId="0" borderId="1" xfId="0" applyNumberFormat="1" applyFont="1" applyFill="1" applyBorder="1" applyAlignment="1">
      <alignment vertical="center"/>
    </xf>
    <xf numFmtId="43" fontId="42" fillId="0" borderId="4" xfId="1" applyFont="1" applyBorder="1" applyAlignment="1"/>
    <xf numFmtId="0" fontId="43" fillId="0" borderId="0" xfId="15" applyAlignment="1">
      <alignment horizontal="center"/>
    </xf>
    <xf numFmtId="4" fontId="43" fillId="0" borderId="0" xfId="16" applyNumberFormat="1" applyFont="1" applyAlignment="1">
      <alignment horizontal="center"/>
    </xf>
    <xf numFmtId="3" fontId="43" fillId="0" borderId="0" xfId="15" applyNumberFormat="1" applyAlignment="1">
      <alignment horizontal="left"/>
    </xf>
    <xf numFmtId="0" fontId="43" fillId="0" borderId="0" xfId="15" applyAlignment="1">
      <alignment horizontal="left"/>
    </xf>
    <xf numFmtId="0" fontId="57" fillId="0" borderId="0" xfId="15" applyFont="1"/>
    <xf numFmtId="188" fontId="57" fillId="0" borderId="0" xfId="16" applyNumberFormat="1" applyFont="1"/>
    <xf numFmtId="0" fontId="57" fillId="0" borderId="0" xfId="15" applyFont="1" applyAlignment="1">
      <alignment vertical="center"/>
    </xf>
    <xf numFmtId="0" fontId="25" fillId="0" borderId="0" xfId="15" applyFont="1"/>
    <xf numFmtId="0" fontId="25" fillId="0" borderId="0" xfId="15" applyFont="1" applyAlignment="1">
      <alignment horizontal="center"/>
    </xf>
    <xf numFmtId="0" fontId="57" fillId="0" borderId="37" xfId="15" applyFont="1" applyBorder="1"/>
    <xf numFmtId="0" fontId="12" fillId="0" borderId="10" xfId="15" applyFont="1" applyBorder="1"/>
    <xf numFmtId="0" fontId="57" fillId="4" borderId="47" xfId="15" applyFont="1" applyFill="1" applyBorder="1"/>
    <xf numFmtId="0" fontId="57" fillId="4" borderId="47" xfId="15" applyFont="1" applyFill="1" applyBorder="1" applyAlignment="1">
      <alignment horizontal="center"/>
    </xf>
    <xf numFmtId="0" fontId="57" fillId="4" borderId="1" xfId="15" applyFont="1" applyFill="1" applyBorder="1"/>
    <xf numFmtId="0" fontId="57" fillId="4" borderId="1" xfId="15" applyFont="1" applyFill="1" applyBorder="1" applyAlignment="1">
      <alignment horizontal="center"/>
    </xf>
    <xf numFmtId="0" fontId="59" fillId="4" borderId="1" xfId="15" applyFont="1" applyFill="1" applyBorder="1" applyAlignment="1">
      <alignment horizontal="center"/>
    </xf>
    <xf numFmtId="0" fontId="57" fillId="4" borderId="12" xfId="15" applyFont="1" applyFill="1" applyBorder="1"/>
    <xf numFmtId="0" fontId="57" fillId="4" borderId="21" xfId="15" applyFont="1" applyFill="1" applyBorder="1" applyAlignment="1">
      <alignment horizontal="left"/>
    </xf>
    <xf numFmtId="0" fontId="57" fillId="4" borderId="4" xfId="15" applyFont="1" applyFill="1" applyBorder="1" applyAlignment="1">
      <alignment horizontal="left"/>
    </xf>
    <xf numFmtId="0" fontId="57" fillId="4" borderId="12" xfId="15" applyFont="1" applyFill="1" applyBorder="1" applyAlignment="1">
      <alignment horizontal="left"/>
    </xf>
    <xf numFmtId="0" fontId="57" fillId="4" borderId="23" xfId="15" applyFont="1" applyFill="1" applyBorder="1" applyAlignment="1">
      <alignment horizontal="left"/>
    </xf>
    <xf numFmtId="0" fontId="57" fillId="4" borderId="51" xfId="15" applyFont="1" applyFill="1" applyBorder="1" applyAlignment="1">
      <alignment horizontal="left"/>
    </xf>
    <xf numFmtId="0" fontId="57" fillId="4" borderId="16" xfId="15" applyFont="1" applyFill="1" applyBorder="1" applyAlignment="1">
      <alignment horizontal="left"/>
    </xf>
    <xf numFmtId="0" fontId="57" fillId="4" borderId="13" xfId="15" applyFont="1" applyFill="1" applyBorder="1" applyAlignment="1">
      <alignment horizontal="left"/>
    </xf>
    <xf numFmtId="0" fontId="57" fillId="4" borderId="35" xfId="15" applyFont="1" applyFill="1" applyBorder="1" applyAlignment="1">
      <alignment horizontal="left"/>
    </xf>
    <xf numFmtId="0" fontId="57" fillId="4" borderId="5" xfId="15" applyFont="1" applyFill="1" applyBorder="1" applyAlignment="1">
      <alignment horizontal="left"/>
    </xf>
    <xf numFmtId="0" fontId="57" fillId="4" borderId="52" xfId="15" applyFont="1" applyFill="1" applyBorder="1"/>
    <xf numFmtId="0" fontId="57" fillId="4" borderId="55" xfId="15" applyFont="1" applyFill="1" applyBorder="1" applyAlignment="1">
      <alignment horizontal="center"/>
    </xf>
    <xf numFmtId="0" fontId="57" fillId="0" borderId="35" xfId="15" applyFont="1" applyBorder="1" applyAlignment="1">
      <alignment horizontal="left"/>
    </xf>
    <xf numFmtId="195" fontId="57" fillId="4" borderId="35" xfId="15" applyNumberFormat="1" applyFont="1" applyFill="1" applyBorder="1" applyAlignment="1">
      <alignment horizontal="left"/>
    </xf>
    <xf numFmtId="0" fontId="57" fillId="0" borderId="35" xfId="15" applyFont="1" applyBorder="1" applyAlignment="1">
      <alignment horizontal="right"/>
    </xf>
    <xf numFmtId="188" fontId="58" fillId="0" borderId="21" xfId="16" applyNumberFormat="1" applyFont="1" applyBorder="1" applyAlignment="1">
      <alignment horizontal="left"/>
    </xf>
    <xf numFmtId="0" fontId="58" fillId="0" borderId="21" xfId="15" applyFont="1" applyBorder="1" applyAlignment="1"/>
    <xf numFmtId="0" fontId="60" fillId="0" borderId="0" xfId="15" applyFont="1" applyAlignment="1">
      <alignment horizontal="center"/>
    </xf>
    <xf numFmtId="0" fontId="53" fillId="0" borderId="0" xfId="15" applyFont="1"/>
    <xf numFmtId="0" fontId="26" fillId="0" borderId="0" xfId="15" applyFont="1"/>
    <xf numFmtId="4" fontId="43" fillId="0" borderId="57" xfId="15" applyNumberFormat="1" applyBorder="1"/>
    <xf numFmtId="0" fontId="43" fillId="0" borderId="47" xfId="15" applyBorder="1"/>
    <xf numFmtId="0" fontId="43" fillId="0" borderId="1" xfId="15" applyBorder="1"/>
    <xf numFmtId="4" fontId="43" fillId="0" borderId="1" xfId="15" applyNumberFormat="1" applyBorder="1"/>
    <xf numFmtId="190" fontId="43" fillId="0" borderId="1" xfId="15" applyNumberFormat="1" applyBorder="1"/>
    <xf numFmtId="0" fontId="43" fillId="0" borderId="55" xfId="15" applyBorder="1"/>
    <xf numFmtId="4" fontId="43" fillId="0" borderId="55" xfId="15" applyNumberFormat="1" applyBorder="1"/>
    <xf numFmtId="0" fontId="61" fillId="0" borderId="0" xfId="15" applyFont="1" applyAlignment="1">
      <alignment horizontal="center"/>
    </xf>
    <xf numFmtId="0" fontId="61" fillId="0" borderId="57" xfId="15" applyFont="1" applyBorder="1" applyAlignment="1">
      <alignment horizontal="center"/>
    </xf>
    <xf numFmtId="0" fontId="43" fillId="0" borderId="0" xfId="15" applyAlignment="1">
      <alignment horizontal="right"/>
    </xf>
    <xf numFmtId="0" fontId="43" fillId="0" borderId="25" xfId="15" applyBorder="1"/>
    <xf numFmtId="0" fontId="29" fillId="0" borderId="25" xfId="15" applyFont="1" applyBorder="1"/>
    <xf numFmtId="0" fontId="57" fillId="4" borderId="23" xfId="15" applyFont="1" applyFill="1" applyBorder="1"/>
    <xf numFmtId="0" fontId="57" fillId="4" borderId="3" xfId="15" applyFont="1" applyFill="1" applyBorder="1"/>
    <xf numFmtId="49" fontId="43" fillId="0" borderId="55" xfId="15" applyNumberFormat="1" applyBorder="1" applyAlignment="1">
      <alignment horizontal="right"/>
    </xf>
    <xf numFmtId="43" fontId="42" fillId="0" borderId="26" xfId="1" quotePrefix="1" applyFont="1" applyFill="1" applyBorder="1" applyAlignment="1"/>
    <xf numFmtId="0" fontId="0" fillId="0" borderId="16" xfId="0" applyBorder="1"/>
    <xf numFmtId="0" fontId="42" fillId="0" borderId="10" xfId="0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3" fontId="42" fillId="0" borderId="15" xfId="1" applyFont="1" applyFill="1" applyBorder="1" applyAlignment="1">
      <alignment horizontal="left"/>
    </xf>
    <xf numFmtId="43" fontId="42" fillId="0" borderId="15" xfId="1" applyNumberFormat="1" applyFont="1" applyFill="1" applyBorder="1" applyAlignment="1">
      <alignment horizontal="center"/>
    </xf>
    <xf numFmtId="43" fontId="42" fillId="0" borderId="16" xfId="1" quotePrefix="1" applyFont="1" applyFill="1" applyBorder="1" applyAlignment="1">
      <alignment horizontal="right"/>
    </xf>
    <xf numFmtId="43" fontId="42" fillId="0" borderId="15" xfId="1" applyFont="1" applyFill="1" applyBorder="1" applyAlignment="1">
      <alignment horizontal="center"/>
    </xf>
    <xf numFmtId="43" fontId="42" fillId="0" borderId="10" xfId="1" applyFont="1" applyFill="1" applyBorder="1" applyAlignment="1"/>
    <xf numFmtId="43" fontId="42" fillId="0" borderId="1" xfId="1" applyNumberFormat="1" applyFont="1" applyFill="1" applyBorder="1" applyAlignment="1">
      <alignment horizontal="center"/>
    </xf>
    <xf numFmtId="43" fontId="62" fillId="0" borderId="1" xfId="1" quotePrefix="1" applyFont="1" applyFill="1" applyBorder="1" applyAlignment="1"/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24" fillId="0" borderId="15" xfId="0" applyFont="1" applyBorder="1"/>
    <xf numFmtId="0" fontId="24" fillId="0" borderId="15" xfId="0" applyFont="1" applyBorder="1" applyAlignment="1">
      <alignment horizontal="right"/>
    </xf>
    <xf numFmtId="43" fontId="49" fillId="0" borderId="2" xfId="1" applyFont="1" applyBorder="1"/>
    <xf numFmtId="43" fontId="24" fillId="0" borderId="2" xfId="3" applyFont="1" applyFill="1" applyBorder="1" applyAlignment="1">
      <alignment horizontal="center"/>
    </xf>
    <xf numFmtId="43" fontId="24" fillId="0" borderId="15" xfId="3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0" fillId="0" borderId="26" xfId="0" applyBorder="1"/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3" fontId="42" fillId="0" borderId="5" xfId="1" applyFont="1" applyFill="1" applyBorder="1" applyAlignment="1">
      <alignment horizontal="center"/>
    </xf>
    <xf numFmtId="43" fontId="42" fillId="0" borderId="1" xfId="1" quotePrefix="1" applyFont="1" applyBorder="1" applyAlignment="1">
      <alignment horizontal="right"/>
    </xf>
    <xf numFmtId="43" fontId="42" fillId="0" borderId="3" xfId="1" applyFont="1" applyFill="1" applyBorder="1" applyAlignment="1">
      <alignment horizontal="center"/>
    </xf>
    <xf numFmtId="43" fontId="12" fillId="2" borderId="16" xfId="1" applyFont="1" applyFill="1" applyBorder="1" applyAlignment="1"/>
    <xf numFmtId="43" fontId="11" fillId="0" borderId="10" xfId="1" applyFont="1" applyBorder="1" applyAlignment="1"/>
    <xf numFmtId="0" fontId="4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3" fontId="42" fillId="0" borderId="10" xfId="1" applyFont="1" applyFill="1" applyBorder="1" applyAlignment="1">
      <alignment horizontal="left"/>
    </xf>
    <xf numFmtId="188" fontId="42" fillId="0" borderId="26" xfId="1" applyNumberFormat="1" applyFont="1" applyFill="1" applyBorder="1" applyAlignment="1">
      <alignment horizontal="center"/>
    </xf>
    <xf numFmtId="43" fontId="42" fillId="0" borderId="26" xfId="1" applyFont="1" applyFill="1" applyBorder="1" applyAlignment="1">
      <alignment horizontal="right"/>
    </xf>
    <xf numFmtId="43" fontId="42" fillId="0" borderId="26" xfId="1" applyFont="1" applyFill="1" applyBorder="1" applyAlignment="1">
      <alignment horizontal="center"/>
    </xf>
    <xf numFmtId="43" fontId="42" fillId="0" borderId="26" xfId="1" applyFont="1" applyFill="1" applyBorder="1" applyAlignment="1"/>
    <xf numFmtId="0" fontId="5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51" xfId="0" applyBorder="1"/>
    <xf numFmtId="43" fontId="41" fillId="0" borderId="15" xfId="5" quotePrefix="1" applyFont="1" applyFill="1" applyBorder="1" applyAlignment="1"/>
    <xf numFmtId="43" fontId="42" fillId="0" borderId="16" xfId="5" applyFont="1" applyFill="1" applyBorder="1" applyAlignment="1">
      <alignment horizontal="right"/>
    </xf>
    <xf numFmtId="43" fontId="42" fillId="2" borderId="15" xfId="5" applyFont="1" applyFill="1" applyBorder="1" applyAlignment="1"/>
    <xf numFmtId="43" fontId="42" fillId="0" borderId="2" xfId="5" applyFont="1" applyFill="1" applyBorder="1" applyAlignment="1"/>
    <xf numFmtId="43" fontId="42" fillId="0" borderId="2" xfId="5" quotePrefix="1" applyFont="1" applyFill="1" applyBorder="1" applyAlignment="1">
      <alignment horizontal="right"/>
    </xf>
    <xf numFmtId="43" fontId="42" fillId="0" borderId="2" xfId="5" applyFont="1" applyFill="1" applyBorder="1" applyAlignment="1">
      <alignment horizontal="right"/>
    </xf>
    <xf numFmtId="43" fontId="42" fillId="2" borderId="2" xfId="5" applyFont="1" applyFill="1" applyBorder="1" applyAlignment="1"/>
    <xf numFmtId="188" fontId="42" fillId="0" borderId="2" xfId="1" applyNumberFormat="1" applyFont="1" applyFill="1" applyBorder="1" applyAlignment="1">
      <alignment horizontal="center"/>
    </xf>
    <xf numFmtId="43" fontId="42" fillId="0" borderId="2" xfId="1" applyFont="1" applyFill="1" applyBorder="1" applyAlignment="1">
      <alignment horizontal="right"/>
    </xf>
    <xf numFmtId="43" fontId="42" fillId="0" borderId="15" xfId="1" applyFont="1" applyBorder="1" applyAlignment="1"/>
    <xf numFmtId="0" fontId="42" fillId="0" borderId="2" xfId="0" applyFont="1" applyBorder="1" applyAlignment="1">
      <alignment horizontal="center"/>
    </xf>
    <xf numFmtId="43" fontId="28" fillId="0" borderId="15" xfId="1" applyFont="1" applyFill="1" applyBorder="1" applyAlignment="1">
      <alignment horizontal="left"/>
    </xf>
    <xf numFmtId="196" fontId="12" fillId="0" borderId="2" xfId="0" applyNumberFormat="1" applyFont="1" applyFill="1" applyBorder="1" applyAlignment="1">
      <alignment vertical="center"/>
    </xf>
    <xf numFmtId="196" fontId="42" fillId="0" borderId="15" xfId="1" applyNumberFormat="1" applyFont="1" applyFill="1" applyBorder="1" applyAlignment="1"/>
    <xf numFmtId="196" fontId="42" fillId="0" borderId="2" xfId="1" applyNumberFormat="1" applyFont="1" applyFill="1" applyBorder="1" applyAlignment="1"/>
    <xf numFmtId="196" fontId="24" fillId="0" borderId="1" xfId="3" applyNumberFormat="1" applyFont="1" applyFill="1" applyBorder="1" applyAlignment="1">
      <alignment horizontal="center"/>
    </xf>
    <xf numFmtId="43" fontId="11" fillId="0" borderId="16" xfId="1" applyNumberFormat="1" applyFont="1" applyBorder="1" applyAlignment="1"/>
    <xf numFmtId="2" fontId="11" fillId="0" borderId="4" xfId="1" applyNumberFormat="1" applyFont="1" applyBorder="1" applyAlignment="1"/>
    <xf numFmtId="43" fontId="42" fillId="0" borderId="3" xfId="1" quotePrefix="1" applyNumberFormat="1" applyFont="1" applyBorder="1" applyAlignment="1"/>
    <xf numFmtId="43" fontId="42" fillId="0" borderId="4" xfId="1" applyNumberFormat="1" applyFont="1" applyFill="1" applyBorder="1" applyAlignment="1">
      <alignment horizontal="center"/>
    </xf>
    <xf numFmtId="43" fontId="42" fillId="0" borderId="4" xfId="1" quotePrefix="1" applyNumberFormat="1" applyFont="1" applyBorder="1" applyAlignment="1"/>
    <xf numFmtId="43" fontId="42" fillId="0" borderId="5" xfId="1" quotePrefix="1" applyNumberFormat="1" applyFont="1" applyBorder="1" applyAlignment="1"/>
    <xf numFmtId="43" fontId="41" fillId="3" borderId="6" xfId="1" applyNumberFormat="1" applyFont="1" applyFill="1" applyBorder="1" applyAlignment="1"/>
    <xf numFmtId="43" fontId="63" fillId="0" borderId="1" xfId="0" applyNumberFormat="1" applyFont="1" applyBorder="1"/>
    <xf numFmtId="43" fontId="42" fillId="0" borderId="1" xfId="1" applyNumberFormat="1" applyFont="1" applyFill="1" applyBorder="1" applyAlignment="1"/>
    <xf numFmtId="43" fontId="42" fillId="0" borderId="3" xfId="1" applyNumberFormat="1" applyFont="1" applyFill="1" applyBorder="1" applyAlignment="1"/>
    <xf numFmtId="43" fontId="42" fillId="0" borderId="15" xfId="1" applyNumberFormat="1" applyFont="1" applyFill="1" applyBorder="1" applyAlignment="1"/>
    <xf numFmtId="43" fontId="42" fillId="0" borderId="10" xfId="1" applyNumberFormat="1" applyFont="1" applyFill="1" applyBorder="1" applyAlignment="1"/>
    <xf numFmtId="197" fontId="43" fillId="0" borderId="0" xfId="15" applyNumberFormat="1"/>
    <xf numFmtId="198" fontId="43" fillId="0" borderId="0" xfId="15" applyNumberFormat="1"/>
    <xf numFmtId="190" fontId="64" fillId="0" borderId="0" xfId="0" applyNumberFormat="1" applyFont="1"/>
    <xf numFmtId="43" fontId="42" fillId="5" borderId="1" xfId="1" applyNumberFormat="1" applyFont="1" applyFill="1" applyBorder="1" applyAlignment="1"/>
    <xf numFmtId="43" fontId="41" fillId="5" borderId="6" xfId="1" applyFont="1" applyFill="1" applyBorder="1" applyAlignment="1"/>
    <xf numFmtId="43" fontId="42" fillId="5" borderId="3" xfId="1" applyNumberFormat="1" applyFont="1" applyFill="1" applyBorder="1" applyAlignment="1"/>
    <xf numFmtId="0" fontId="58" fillId="4" borderId="10" xfId="15" applyFont="1" applyFill="1" applyBorder="1" applyAlignment="1">
      <alignment horizontal="center" vertical="center"/>
    </xf>
    <xf numFmtId="0" fontId="58" fillId="4" borderId="40" xfId="15" applyFont="1" applyFill="1" applyBorder="1" applyAlignment="1">
      <alignment horizontal="center" vertical="center"/>
    </xf>
    <xf numFmtId="0" fontId="57" fillId="4" borderId="46" xfId="15" applyFont="1" applyFill="1" applyBorder="1" applyAlignment="1">
      <alignment horizontal="right"/>
    </xf>
    <xf numFmtId="0" fontId="57" fillId="4" borderId="45" xfId="15" applyFont="1" applyFill="1" applyBorder="1" applyAlignment="1">
      <alignment horizontal="right"/>
    </xf>
    <xf numFmtId="0" fontId="57" fillId="4" borderId="44" xfId="15" applyFont="1" applyFill="1" applyBorder="1" applyAlignment="1">
      <alignment horizontal="right"/>
    </xf>
    <xf numFmtId="43" fontId="57" fillId="4" borderId="43" xfId="16" applyFont="1" applyFill="1" applyBorder="1" applyAlignment="1">
      <alignment horizontal="center"/>
    </xf>
    <xf numFmtId="43" fontId="57" fillId="4" borderId="42" xfId="16" applyFont="1" applyFill="1" applyBorder="1" applyAlignment="1">
      <alignment horizontal="center"/>
    </xf>
    <xf numFmtId="43" fontId="57" fillId="4" borderId="41" xfId="16" applyFont="1" applyFill="1" applyBorder="1" applyAlignment="1">
      <alignment horizontal="center"/>
    </xf>
    <xf numFmtId="0" fontId="57" fillId="4" borderId="39" xfId="15" applyFont="1" applyFill="1" applyBorder="1" applyAlignment="1">
      <alignment horizontal="center"/>
    </xf>
    <xf numFmtId="0" fontId="57" fillId="4" borderId="38" xfId="15" applyFont="1" applyFill="1" applyBorder="1" applyAlignment="1">
      <alignment horizontal="center"/>
    </xf>
    <xf numFmtId="0" fontId="57" fillId="0" borderId="0" xfId="15" applyFont="1" applyAlignment="1">
      <alignment horizontal="center" vertical="center"/>
    </xf>
    <xf numFmtId="0" fontId="25" fillId="0" borderId="0" xfId="15" applyFont="1" applyAlignment="1">
      <alignment horizontal="center"/>
    </xf>
    <xf numFmtId="0" fontId="57" fillId="4" borderId="4" xfId="15" applyFont="1" applyFill="1" applyBorder="1" applyAlignment="1">
      <alignment horizontal="center"/>
    </xf>
    <xf numFmtId="0" fontId="57" fillId="4" borderId="21" xfId="15" applyFont="1" applyFill="1" applyBorder="1" applyAlignment="1">
      <alignment horizontal="center"/>
    </xf>
    <xf numFmtId="0" fontId="57" fillId="4" borderId="12" xfId="15" applyFont="1" applyFill="1" applyBorder="1" applyAlignment="1">
      <alignment horizontal="center"/>
    </xf>
    <xf numFmtId="43" fontId="57" fillId="4" borderId="4" xfId="16" applyFont="1" applyFill="1" applyBorder="1" applyAlignment="1">
      <alignment horizontal="center"/>
    </xf>
    <xf numFmtId="43" fontId="57" fillId="4" borderId="21" xfId="16" applyFont="1" applyFill="1" applyBorder="1" applyAlignment="1">
      <alignment horizontal="center"/>
    </xf>
    <xf numFmtId="43" fontId="57" fillId="4" borderId="12" xfId="16" applyFont="1" applyFill="1" applyBorder="1" applyAlignment="1">
      <alignment horizontal="center"/>
    </xf>
    <xf numFmtId="0" fontId="57" fillId="4" borderId="50" xfId="15" applyFont="1" applyFill="1" applyBorder="1" applyAlignment="1">
      <alignment horizontal="center"/>
    </xf>
    <xf numFmtId="0" fontId="57" fillId="4" borderId="49" xfId="15" applyFont="1" applyFill="1" applyBorder="1" applyAlignment="1">
      <alignment horizontal="center"/>
    </xf>
    <xf numFmtId="0" fontId="57" fillId="4" borderId="48" xfId="15" applyFont="1" applyFill="1" applyBorder="1" applyAlignment="1">
      <alignment horizontal="center"/>
    </xf>
    <xf numFmtId="43" fontId="57" fillId="4" borderId="50" xfId="16" applyFont="1" applyFill="1" applyBorder="1" applyAlignment="1">
      <alignment horizontal="center"/>
    </xf>
    <xf numFmtId="43" fontId="57" fillId="4" borderId="49" xfId="16" applyFont="1" applyFill="1" applyBorder="1" applyAlignment="1">
      <alignment horizontal="center"/>
    </xf>
    <xf numFmtId="43" fontId="57" fillId="4" borderId="48" xfId="16" applyFont="1" applyFill="1" applyBorder="1" applyAlignment="1">
      <alignment horizontal="center"/>
    </xf>
    <xf numFmtId="0" fontId="57" fillId="4" borderId="54" xfId="15" applyFont="1" applyFill="1" applyBorder="1" applyAlignment="1">
      <alignment horizontal="left"/>
    </xf>
    <xf numFmtId="0" fontId="57" fillId="4" borderId="53" xfId="15" applyFont="1" applyFill="1" applyBorder="1" applyAlignment="1">
      <alignment horizontal="left"/>
    </xf>
    <xf numFmtId="0" fontId="57" fillId="4" borderId="52" xfId="15" applyFont="1" applyFill="1" applyBorder="1" applyAlignment="1">
      <alignment horizontal="left"/>
    </xf>
    <xf numFmtId="43" fontId="57" fillId="4" borderId="54" xfId="16" applyFont="1" applyFill="1" applyBorder="1" applyAlignment="1">
      <alignment horizontal="center"/>
    </xf>
    <xf numFmtId="43" fontId="57" fillId="4" borderId="53" xfId="16" applyFont="1" applyFill="1" applyBorder="1" applyAlignment="1">
      <alignment horizontal="center"/>
    </xf>
    <xf numFmtId="43" fontId="57" fillId="4" borderId="52" xfId="16" applyFont="1" applyFill="1" applyBorder="1" applyAlignment="1">
      <alignment horizontal="center"/>
    </xf>
    <xf numFmtId="0" fontId="58" fillId="0" borderId="49" xfId="15" applyFont="1" applyBorder="1" applyAlignment="1">
      <alignment horizontal="left"/>
    </xf>
    <xf numFmtId="0" fontId="58" fillId="0" borderId="19" xfId="15" applyFont="1" applyBorder="1" applyAlignment="1">
      <alignment horizontal="center" vertical="center"/>
    </xf>
    <xf numFmtId="0" fontId="58" fillId="0" borderId="56" xfId="15" applyFont="1" applyBorder="1" applyAlignment="1">
      <alignment horizontal="center" vertical="center"/>
    </xf>
    <xf numFmtId="0" fontId="58" fillId="0" borderId="26" xfId="15" applyFont="1" applyBorder="1" applyAlignment="1">
      <alignment horizontal="center" vertical="center"/>
    </xf>
    <xf numFmtId="0" fontId="58" fillId="0" borderId="0" xfId="15" applyFont="1" applyAlignment="1">
      <alignment horizontal="center" vertical="center"/>
    </xf>
    <xf numFmtId="0" fontId="58" fillId="0" borderId="39" xfId="15" applyFont="1" applyBorder="1" applyAlignment="1">
      <alignment horizontal="center" vertical="center"/>
    </xf>
    <xf numFmtId="0" fontId="58" fillId="0" borderId="38" xfId="15" applyFont="1" applyBorder="1" applyAlignment="1">
      <alignment horizontal="center" vertical="center"/>
    </xf>
    <xf numFmtId="0" fontId="58" fillId="0" borderId="37" xfId="15" applyFont="1" applyBorder="1" applyAlignment="1">
      <alignment horizontal="center" vertical="center"/>
    </xf>
    <xf numFmtId="188" fontId="58" fillId="0" borderId="46" xfId="16" applyNumberFormat="1" applyFont="1" applyBorder="1" applyAlignment="1">
      <alignment horizontal="center" vertical="center" wrapText="1"/>
    </xf>
    <xf numFmtId="188" fontId="58" fillId="0" borderId="45" xfId="16" applyNumberFormat="1" applyFont="1" applyBorder="1" applyAlignment="1">
      <alignment horizontal="center" vertical="center" wrapText="1"/>
    </xf>
    <xf numFmtId="188" fontId="58" fillId="0" borderId="44" xfId="16" applyNumberFormat="1" applyFont="1" applyBorder="1" applyAlignment="1">
      <alignment horizontal="center" vertical="center" wrapText="1"/>
    </xf>
    <xf numFmtId="0" fontId="58" fillId="0" borderId="36" xfId="15" applyFont="1" applyBorder="1" applyAlignment="1">
      <alignment horizontal="center" vertical="center"/>
    </xf>
    <xf numFmtId="188" fontId="58" fillId="0" borderId="39" xfId="16" applyNumberFormat="1" applyFont="1" applyBorder="1" applyAlignment="1">
      <alignment horizontal="center" vertical="center" wrapText="1"/>
    </xf>
    <xf numFmtId="188" fontId="58" fillId="0" borderId="38" xfId="16" applyNumberFormat="1" applyFont="1" applyBorder="1" applyAlignment="1">
      <alignment horizontal="center" vertical="center" wrapText="1"/>
    </xf>
    <xf numFmtId="188" fontId="58" fillId="0" borderId="37" xfId="16" applyNumberFormat="1" applyFont="1" applyBorder="1" applyAlignment="1">
      <alignment horizontal="center" vertical="center" wrapText="1"/>
    </xf>
    <xf numFmtId="0" fontId="59" fillId="4" borderId="3" xfId="15" applyFont="1" applyFill="1" applyBorder="1" applyAlignment="1">
      <alignment horizontal="center" vertical="center"/>
    </xf>
    <xf numFmtId="0" fontId="59" fillId="4" borderId="15" xfId="15" applyFont="1" applyFill="1" applyBorder="1" applyAlignment="1">
      <alignment horizontal="center" vertical="center"/>
    </xf>
    <xf numFmtId="43" fontId="57" fillId="4" borderId="5" xfId="16" applyFont="1" applyFill="1" applyBorder="1" applyAlignment="1">
      <alignment horizontal="center" vertical="center"/>
    </xf>
    <xf numFmtId="43" fontId="57" fillId="4" borderId="35" xfId="16" applyFont="1" applyFill="1" applyBorder="1" applyAlignment="1">
      <alignment horizontal="center" vertical="center"/>
    </xf>
    <xf numFmtId="43" fontId="57" fillId="4" borderId="13" xfId="16" applyFont="1" applyFill="1" applyBorder="1" applyAlignment="1">
      <alignment horizontal="center" vertical="center"/>
    </xf>
    <xf numFmtId="43" fontId="57" fillId="4" borderId="16" xfId="16" applyFont="1" applyFill="1" applyBorder="1" applyAlignment="1">
      <alignment horizontal="center" vertical="center"/>
    </xf>
    <xf numFmtId="43" fontId="57" fillId="4" borderId="51" xfId="16" applyFont="1" applyFill="1" applyBorder="1" applyAlignment="1">
      <alignment horizontal="center" vertical="center"/>
    </xf>
    <xf numFmtId="43" fontId="57" fillId="4" borderId="23" xfId="16" applyFont="1" applyFill="1" applyBorder="1" applyAlignment="1">
      <alignment horizontal="center" vertical="center"/>
    </xf>
    <xf numFmtId="0" fontId="57" fillId="0" borderId="21" xfId="15" applyFont="1" applyBorder="1" applyAlignment="1">
      <alignment horizontal="left"/>
    </xf>
    <xf numFmtId="195" fontId="57" fillId="0" borderId="21" xfId="15" applyNumberFormat="1" applyFont="1" applyBorder="1" applyAlignment="1">
      <alignment horizontal="left"/>
    </xf>
    <xf numFmtId="0" fontId="57" fillId="4" borderId="21" xfId="15" applyFont="1" applyFill="1" applyBorder="1" applyAlignment="1">
      <alignment horizontal="left" wrapText="1"/>
    </xf>
    <xf numFmtId="0" fontId="60" fillId="0" borderId="0" xfId="15" applyFont="1" applyAlignment="1">
      <alignment horizontal="center"/>
    </xf>
    <xf numFmtId="0" fontId="58" fillId="0" borderId="51" xfId="15" applyFont="1" applyBorder="1" applyAlignment="1">
      <alignment horizontal="left"/>
    </xf>
    <xf numFmtId="0" fontId="57" fillId="4" borderId="51" xfId="15" applyFont="1" applyFill="1" applyBorder="1" applyAlignment="1">
      <alignment horizontal="left"/>
    </xf>
    <xf numFmtId="0" fontId="56" fillId="0" borderId="0" xfId="15" applyFont="1" applyAlignment="1">
      <alignment horizontal="right"/>
    </xf>
    <xf numFmtId="0" fontId="56" fillId="0" borderId="0" xfId="15" applyFont="1" applyAlignment="1">
      <alignment horizontal="center"/>
    </xf>
    <xf numFmtId="0" fontId="43" fillId="0" borderId="45" xfId="15" applyBorder="1" applyAlignment="1">
      <alignment horizontal="right"/>
    </xf>
    <xf numFmtId="0" fontId="43" fillId="0" borderId="44" xfId="15" applyBorder="1" applyAlignment="1">
      <alignment horizontal="right"/>
    </xf>
    <xf numFmtId="0" fontId="43" fillId="0" borderId="0" xfId="15"/>
    <xf numFmtId="0" fontId="43" fillId="0" borderId="0" xfId="15" applyAlignment="1">
      <alignment horizontal="center"/>
    </xf>
    <xf numFmtId="0" fontId="29" fillId="0" borderId="25" xfId="15" applyFont="1" applyBorder="1" applyAlignment="1">
      <alignment horizontal="left"/>
    </xf>
    <xf numFmtId="0" fontId="43" fillId="0" borderId="0" xfId="15" applyAlignment="1">
      <alignment horizontal="left"/>
    </xf>
    <xf numFmtId="0" fontId="43" fillId="0" borderId="20" xfId="15" applyBorder="1" applyAlignment="1">
      <alignment horizontal="center"/>
    </xf>
    <xf numFmtId="3" fontId="43" fillId="0" borderId="8" xfId="15" applyNumberFormat="1" applyBorder="1" applyAlignment="1">
      <alignment horizontal="center"/>
    </xf>
    <xf numFmtId="0" fontId="43" fillId="0" borderId="8" xfId="15" applyBorder="1" applyAlignment="1">
      <alignment horizontal="center"/>
    </xf>
    <xf numFmtId="43" fontId="3" fillId="0" borderId="8" xfId="15" applyNumberFormat="1" applyFont="1" applyBorder="1" applyAlignment="1">
      <alignment horizontal="center"/>
    </xf>
    <xf numFmtId="43" fontId="43" fillId="0" borderId="8" xfId="15" applyNumberFormat="1" applyBorder="1" applyAlignment="1">
      <alignment horizontal="center"/>
    </xf>
    <xf numFmtId="189" fontId="43" fillId="0" borderId="20" xfId="15" applyNumberFormat="1" applyBorder="1" applyAlignment="1">
      <alignment horizontal="center"/>
    </xf>
    <xf numFmtId="43" fontId="43" fillId="0" borderId="20" xfId="15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43" fontId="13" fillId="0" borderId="0" xfId="1" quotePrefix="1" applyFont="1" applyBorder="1" applyAlignment="1">
      <alignment horizontal="center"/>
    </xf>
    <xf numFmtId="43" fontId="0" fillId="0" borderId="0" xfId="0" applyNumberFormat="1" applyFill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3" fontId="10" fillId="3" borderId="7" xfId="1" applyFont="1" applyFill="1" applyBorder="1" applyAlignment="1">
      <alignment horizontal="center"/>
    </xf>
    <xf numFmtId="43" fontId="10" fillId="3" borderId="25" xfId="1" applyFont="1" applyFill="1" applyBorder="1" applyAlignment="1">
      <alignment horizontal="center"/>
    </xf>
    <xf numFmtId="43" fontId="10" fillId="3" borderId="14" xfId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4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17">
    <cellStyle name="Comma" xfId="1" builtinId="3"/>
    <cellStyle name="Comma 2" xfId="2" xr:uid="{00000000-0005-0000-0000-000001000000}"/>
    <cellStyle name="Comma 3" xfId="3" xr:uid="{00000000-0005-0000-0000-000002000000}"/>
    <cellStyle name="Comma 4" xfId="16" xr:uid="{43CC4A74-35AD-47F9-81D7-77BDEA2E8CF1}"/>
    <cellStyle name="Comma 5" xfId="4" xr:uid="{00000000-0005-0000-0000-000003000000}"/>
    <cellStyle name="Comma 5 2" xfId="5" xr:uid="{00000000-0005-0000-0000-000004000000}"/>
    <cellStyle name="Comma 6" xfId="6" xr:uid="{00000000-0005-0000-0000-000005000000}"/>
    <cellStyle name="Comma 6 2" xfId="7" xr:uid="{00000000-0005-0000-0000-000006000000}"/>
    <cellStyle name="Hyperlink 2" xfId="8" xr:uid="{00000000-0005-0000-0000-000007000000}"/>
    <cellStyle name="Normal" xfId="0" builtinId="0"/>
    <cellStyle name="Normal 2" xfId="9" xr:uid="{00000000-0005-0000-0000-000009000000}"/>
    <cellStyle name="Normal 3" xfId="15" xr:uid="{191E4B9E-CEE3-4FB3-9D2D-74ED9BFBFDB0}"/>
    <cellStyle name="Normal 5" xfId="10" xr:uid="{00000000-0005-0000-0000-00000A000000}"/>
    <cellStyle name="Normal 5 2" xfId="11" xr:uid="{00000000-0005-0000-0000-00000B000000}"/>
    <cellStyle name="Percent 2" xfId="12" xr:uid="{00000000-0005-0000-0000-00000C000000}"/>
    <cellStyle name="ปกติ 2" xfId="13" xr:uid="{00000000-0005-0000-0000-00000D000000}"/>
    <cellStyle name="ปกติ_BANK BOQ_TOTO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22</xdr:row>
      <xdr:rowOff>95250</xdr:rowOff>
    </xdr:from>
    <xdr:to>
      <xdr:col>7</xdr:col>
      <xdr:colOff>203200</xdr:colOff>
      <xdr:row>25</xdr:row>
      <xdr:rowOff>161440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9C0AE2-B1A9-4874-8D85-7A98B42FF041}"/>
            </a:ext>
          </a:extLst>
        </xdr:cNvPr>
        <xdr:cNvSpPr txBox="1"/>
      </xdr:nvSpPr>
      <xdr:spPr>
        <a:xfrm>
          <a:off x="2290736" y="6956479"/>
          <a:ext cx="2198714" cy="986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นายธนันท์  ศัลยวุฒิ)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ประธานกรรมการกำหนดราคากลาง</a:t>
          </a:r>
        </a:p>
      </xdr:txBody>
    </xdr:sp>
    <xdr:clientData/>
  </xdr:twoCellAnchor>
  <xdr:twoCellAnchor>
    <xdr:from>
      <xdr:col>0</xdr:col>
      <xdr:colOff>454025</xdr:colOff>
      <xdr:row>25</xdr:row>
      <xdr:rowOff>123825</xdr:rowOff>
    </xdr:from>
    <xdr:to>
      <xdr:col>4</xdr:col>
      <xdr:colOff>844550</xdr:colOff>
      <xdr:row>28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6AD36B-78A2-449E-A7DB-8B495F31D0F3}"/>
            </a:ext>
          </a:extLst>
        </xdr:cNvPr>
        <xdr:cNvSpPr txBox="1"/>
      </xdr:nvSpPr>
      <xdr:spPr>
        <a:xfrm>
          <a:off x="454025" y="7823200"/>
          <a:ext cx="2200275" cy="94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นางสาวสุธิดา  ถิ่นจันทร์)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กรรมการกำหนดราคากลาง</a:t>
          </a:r>
        </a:p>
      </xdr:txBody>
    </xdr:sp>
    <xdr:clientData/>
  </xdr:twoCellAnchor>
  <xdr:twoCellAnchor>
    <xdr:from>
      <xdr:col>5</xdr:col>
      <xdr:colOff>923925</xdr:colOff>
      <xdr:row>25</xdr:row>
      <xdr:rowOff>107950</xdr:rowOff>
    </xdr:from>
    <xdr:to>
      <xdr:col>10</xdr:col>
      <xdr:colOff>847725</xdr:colOff>
      <xdr:row>28</xdr:row>
      <xdr:rowOff>69850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B1C033-AD47-4736-B5DD-AA3FF8A36269}"/>
            </a:ext>
          </a:extLst>
        </xdr:cNvPr>
        <xdr:cNvSpPr txBox="1"/>
      </xdr:nvSpPr>
      <xdr:spPr>
        <a:xfrm>
          <a:off x="4003675" y="7807325"/>
          <a:ext cx="2924175" cy="94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นายไพศาล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สุขสม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กรรมการกำหนดราคากลาง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9" name="Picture 314" descr="PRANAKORNbw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53873400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2" name="Picture 314" descr="PRANAKORNbw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57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2" name="Picture 314" descr="PRANAKORNbw">
          <a:extLst>
            <a:ext uri="{FF2B5EF4-FFF2-40B4-BE49-F238E27FC236}">
              <a16:creationId xmlns:a16="http://schemas.microsoft.com/office/drawing/2014/main" id="{46A00168-8CD7-4794-A8B5-ABC5EA52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5725"/>
          <a:ext cx="5334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23</xdr:row>
      <xdr:rowOff>276225</xdr:rowOff>
    </xdr:from>
    <xdr:to>
      <xdr:col>4</xdr:col>
      <xdr:colOff>0</xdr:colOff>
      <xdr:row>27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BD07F8-12B0-4A6D-8FB1-382AD36CE25E}"/>
            </a:ext>
          </a:extLst>
        </xdr:cNvPr>
        <xdr:cNvSpPr txBox="1"/>
      </xdr:nvSpPr>
      <xdr:spPr>
        <a:xfrm>
          <a:off x="2155825" y="7404100"/>
          <a:ext cx="2209800" cy="93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นายธนันท์  ศัลยวุฒิ)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ประธานกรรมการกำหนดราคากลาง</a:t>
          </a:r>
        </a:p>
      </xdr:txBody>
    </xdr:sp>
    <xdr:clientData/>
  </xdr:twoCellAnchor>
  <xdr:twoCellAnchor>
    <xdr:from>
      <xdr:col>0</xdr:col>
      <xdr:colOff>306917</xdr:colOff>
      <xdr:row>28</xdr:row>
      <xdr:rowOff>120650</xdr:rowOff>
    </xdr:from>
    <xdr:to>
      <xdr:col>2</xdr:col>
      <xdr:colOff>141817</xdr:colOff>
      <xdr:row>31</xdr:row>
      <xdr:rowOff>158750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0D0D29-9E63-49D0-97BD-1E2DA0E3D779}"/>
            </a:ext>
          </a:extLst>
        </xdr:cNvPr>
        <xdr:cNvSpPr txBox="1"/>
      </xdr:nvSpPr>
      <xdr:spPr>
        <a:xfrm>
          <a:off x="306917" y="8693150"/>
          <a:ext cx="2205567" cy="95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นางสาวสุธิดา  ถิ่นจันทร์)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กรรมการกำหนดราคากลาง</a:t>
          </a:r>
        </a:p>
      </xdr:txBody>
    </xdr:sp>
    <xdr:clientData/>
  </xdr:twoCellAnchor>
  <xdr:twoCellAnchor>
    <xdr:from>
      <xdr:col>3</xdr:col>
      <xdr:colOff>415925</xdr:colOff>
      <xdr:row>28</xdr:row>
      <xdr:rowOff>125942</xdr:rowOff>
    </xdr:from>
    <xdr:to>
      <xdr:col>5</xdr:col>
      <xdr:colOff>720725</xdr:colOff>
      <xdr:row>31</xdr:row>
      <xdr:rowOff>211667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DE33CF-4B03-47DA-8D45-CD3AE84620E6}"/>
            </a:ext>
          </a:extLst>
        </xdr:cNvPr>
        <xdr:cNvSpPr txBox="1"/>
      </xdr:nvSpPr>
      <xdr:spPr>
        <a:xfrm>
          <a:off x="4056592" y="8698442"/>
          <a:ext cx="2199216" cy="1006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นายไพศาล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สุขสม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กรรมการกำหนดราคากลาง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1676400</xdr:colOff>
      <xdr:row>18</xdr:row>
      <xdr:rowOff>0</xdr:rowOff>
    </xdr:from>
    <xdr:to>
      <xdr:col>3</xdr:col>
      <xdr:colOff>711200</xdr:colOff>
      <xdr:row>21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389E54-9C8D-473D-832B-E7874C9C7547}"/>
            </a:ext>
          </a:extLst>
        </xdr:cNvPr>
        <xdr:cNvSpPr txBox="1"/>
      </xdr:nvSpPr>
      <xdr:spPr>
        <a:xfrm>
          <a:off x="2136775" y="5619750"/>
          <a:ext cx="22098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นายธนันท์  ศัลยวุฒิ)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ประธานกรรมการกำหนดราคากลาง</a:t>
          </a:r>
        </a:p>
      </xdr:txBody>
    </xdr:sp>
    <xdr:clientData/>
  </xdr:twoCellAnchor>
  <xdr:twoCellAnchor>
    <xdr:from>
      <xdr:col>0</xdr:col>
      <xdr:colOff>304800</xdr:colOff>
      <xdr:row>21</xdr:row>
      <xdr:rowOff>104775</xdr:rowOff>
    </xdr:from>
    <xdr:to>
      <xdr:col>2</xdr:col>
      <xdr:colOff>133350</xdr:colOff>
      <xdr:row>25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129C5E-D2C9-4AE9-91AF-975FF57F0F80}"/>
            </a:ext>
          </a:extLst>
        </xdr:cNvPr>
        <xdr:cNvSpPr txBox="1"/>
      </xdr:nvSpPr>
      <xdr:spPr>
        <a:xfrm>
          <a:off x="304800" y="6629400"/>
          <a:ext cx="2193925" cy="1130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นางสาวสุธิดา  ถิ่นจันทร์)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กรรมการกำหนดราคากลาง</a:t>
          </a:r>
        </a:p>
      </xdr:txBody>
    </xdr:sp>
    <xdr:clientData/>
  </xdr:twoCellAnchor>
  <xdr:twoCellAnchor>
    <xdr:from>
      <xdr:col>3</xdr:col>
      <xdr:colOff>396875</xdr:colOff>
      <xdr:row>21</xdr:row>
      <xdr:rowOff>120650</xdr:rowOff>
    </xdr:from>
    <xdr:to>
      <xdr:col>5</xdr:col>
      <xdr:colOff>701675</xdr:colOff>
      <xdr:row>25</xdr:row>
      <xdr:rowOff>44450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F4D942-6537-497C-AD22-96B8A7A1B6E1}"/>
            </a:ext>
          </a:extLst>
        </xdr:cNvPr>
        <xdr:cNvSpPr txBox="1"/>
      </xdr:nvSpPr>
      <xdr:spPr>
        <a:xfrm>
          <a:off x="4032250" y="6645275"/>
          <a:ext cx="2209800" cy="1130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 นายไพศาล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สุขสม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กรรมการกำหนดราคากลาง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125492" name="Picture 314" descr="PRANAKORNbw">
          <a:extLst>
            <a:ext uri="{FF2B5EF4-FFF2-40B4-BE49-F238E27FC236}">
              <a16:creationId xmlns:a16="http://schemas.microsoft.com/office/drawing/2014/main" id="{00000000-0008-0000-0000-000034E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857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2" name="Picture 314" descr="PRANAKORNb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57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257175</xdr:colOff>
      <xdr:row>24</xdr:row>
      <xdr:rowOff>85725</xdr:rowOff>
    </xdr:from>
    <xdr:to>
      <xdr:col>9</xdr:col>
      <xdr:colOff>790575</xdr:colOff>
      <xdr:row>27</xdr:row>
      <xdr:rowOff>180975</xdr:rowOff>
    </xdr:to>
    <xdr:pic>
      <xdr:nvPicPr>
        <xdr:cNvPr id="6" name="Picture 314" descr="PRANAKORNbw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67913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135372" name="Picture 314" descr="PRANAKORNbw">
          <a:extLst>
            <a:ext uri="{FF2B5EF4-FFF2-40B4-BE49-F238E27FC236}">
              <a16:creationId xmlns:a16="http://schemas.microsoft.com/office/drawing/2014/main" id="{00000000-0008-0000-0200-0000CC1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347787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20</xdr:row>
      <xdr:rowOff>76200</xdr:rowOff>
    </xdr:from>
    <xdr:to>
      <xdr:col>1</xdr:col>
      <xdr:colOff>285750</xdr:colOff>
      <xdr:row>20</xdr:row>
      <xdr:rowOff>238125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676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17</xdr:row>
      <xdr:rowOff>85725</xdr:rowOff>
    </xdr:from>
    <xdr:to>
      <xdr:col>1</xdr:col>
      <xdr:colOff>276225</xdr:colOff>
      <xdr:row>17</xdr:row>
      <xdr:rowOff>247650</xdr:rowOff>
    </xdr:to>
    <xdr:pic>
      <xdr:nvPicPr>
        <xdr:cNvPr id="12" name="Picture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85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14" name="Picture 314" descr="PRANAKORNbw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01644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180975</xdr:colOff>
      <xdr:row>31</xdr:row>
      <xdr:rowOff>66675</xdr:rowOff>
    </xdr:from>
    <xdr:ext cx="161925" cy="161925"/>
    <xdr:pic>
      <xdr:nvPicPr>
        <xdr:cNvPr id="19" name="Picture 8">
          <a:extLst>
            <a:ext uri="{FF2B5EF4-FFF2-40B4-BE49-F238E27FC236}">
              <a16:creationId xmlns:a16="http://schemas.microsoft.com/office/drawing/2014/main" id="{144AE4AE-20DF-42CC-8B88-805411086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88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180975</xdr:colOff>
      <xdr:row>33</xdr:row>
      <xdr:rowOff>76200</xdr:rowOff>
    </xdr:from>
    <xdr:ext cx="161925" cy="161925"/>
    <xdr:pic>
      <xdr:nvPicPr>
        <xdr:cNvPr id="23" name="Picture 3">
          <a:extLst>
            <a:ext uri="{FF2B5EF4-FFF2-40B4-BE49-F238E27FC236}">
              <a16:creationId xmlns:a16="http://schemas.microsoft.com/office/drawing/2014/main" id="{CDE75F0B-2AE6-4CFC-B5D5-180E7457B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344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180975</xdr:colOff>
      <xdr:row>32</xdr:row>
      <xdr:rowOff>76200</xdr:rowOff>
    </xdr:from>
    <xdr:ext cx="161925" cy="161925"/>
    <xdr:pic>
      <xdr:nvPicPr>
        <xdr:cNvPr id="24" name="Picture 10">
          <a:extLst>
            <a:ext uri="{FF2B5EF4-FFF2-40B4-BE49-F238E27FC236}">
              <a16:creationId xmlns:a16="http://schemas.microsoft.com/office/drawing/2014/main" id="{42B6106B-603C-4E34-AF52-2CF76D05B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067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180975</xdr:colOff>
      <xdr:row>34</xdr:row>
      <xdr:rowOff>66675</xdr:rowOff>
    </xdr:from>
    <xdr:ext cx="161925" cy="161925"/>
    <xdr:pic>
      <xdr:nvPicPr>
        <xdr:cNvPr id="25" name="Picture 8">
          <a:extLst>
            <a:ext uri="{FF2B5EF4-FFF2-40B4-BE49-F238E27FC236}">
              <a16:creationId xmlns:a16="http://schemas.microsoft.com/office/drawing/2014/main" id="{22E6C6B7-3BF3-4E02-9FE7-89AE38E05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61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141195</xdr:colOff>
      <xdr:row>9</xdr:row>
      <xdr:rowOff>11205</xdr:rowOff>
    </xdr:from>
    <xdr:to>
      <xdr:col>1</xdr:col>
      <xdr:colOff>365313</xdr:colOff>
      <xdr:row>9</xdr:row>
      <xdr:rowOff>224117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4992AA18-E4C5-408A-9204-88C006001FC3}"/>
            </a:ext>
          </a:extLst>
        </xdr:cNvPr>
        <xdr:cNvSpPr/>
      </xdr:nvSpPr>
      <xdr:spPr>
        <a:xfrm>
          <a:off x="693645" y="2573430"/>
          <a:ext cx="224118" cy="212912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1</xdr:col>
      <xdr:colOff>179295</xdr:colOff>
      <xdr:row>34</xdr:row>
      <xdr:rowOff>67235</xdr:rowOff>
    </xdr:from>
    <xdr:ext cx="161925" cy="161925"/>
    <xdr:pic>
      <xdr:nvPicPr>
        <xdr:cNvPr id="18" name="Picture 8">
          <a:extLst>
            <a:ext uri="{FF2B5EF4-FFF2-40B4-BE49-F238E27FC236}">
              <a16:creationId xmlns:a16="http://schemas.microsoft.com/office/drawing/2014/main" id="{3D7B4399-3C51-46E6-8A1B-028878AC8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3" y="7138147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180975</xdr:colOff>
      <xdr:row>62</xdr:row>
      <xdr:rowOff>66675</xdr:rowOff>
    </xdr:from>
    <xdr:ext cx="161925" cy="161925"/>
    <xdr:pic>
      <xdr:nvPicPr>
        <xdr:cNvPr id="15" name="Picture 8">
          <a:extLst>
            <a:ext uri="{FF2B5EF4-FFF2-40B4-BE49-F238E27FC236}">
              <a16:creationId xmlns:a16="http://schemas.microsoft.com/office/drawing/2014/main" id="{42D9477A-1187-4911-A82C-E8345A402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5135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257175</xdr:colOff>
      <xdr:row>24</xdr:row>
      <xdr:rowOff>85725</xdr:rowOff>
    </xdr:from>
    <xdr:to>
      <xdr:col>9</xdr:col>
      <xdr:colOff>790575</xdr:colOff>
      <xdr:row>27</xdr:row>
      <xdr:rowOff>180975</xdr:rowOff>
    </xdr:to>
    <xdr:pic>
      <xdr:nvPicPr>
        <xdr:cNvPr id="16" name="Picture 314" descr="PRANAKORNbw">
          <a:extLst>
            <a:ext uri="{FF2B5EF4-FFF2-40B4-BE49-F238E27FC236}">
              <a16:creationId xmlns:a16="http://schemas.microsoft.com/office/drawing/2014/main" id="{BFC17C40-8E45-4216-BB8F-217556C3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5725"/>
          <a:ext cx="5334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257175</xdr:colOff>
      <xdr:row>48</xdr:row>
      <xdr:rowOff>85725</xdr:rowOff>
    </xdr:from>
    <xdr:to>
      <xdr:col>9</xdr:col>
      <xdr:colOff>790575</xdr:colOff>
      <xdr:row>51</xdr:row>
      <xdr:rowOff>180975</xdr:rowOff>
    </xdr:to>
    <xdr:pic>
      <xdr:nvPicPr>
        <xdr:cNvPr id="20" name="Picture 314" descr="PRANAKORNbw">
          <a:extLst>
            <a:ext uri="{FF2B5EF4-FFF2-40B4-BE49-F238E27FC236}">
              <a16:creationId xmlns:a16="http://schemas.microsoft.com/office/drawing/2014/main" id="{075DAEF4-1186-4336-AB56-24583B69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6791325"/>
          <a:ext cx="5334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257175</xdr:colOff>
      <xdr:row>72</xdr:row>
      <xdr:rowOff>85725</xdr:rowOff>
    </xdr:from>
    <xdr:to>
      <xdr:col>9</xdr:col>
      <xdr:colOff>790575</xdr:colOff>
      <xdr:row>75</xdr:row>
      <xdr:rowOff>180975</xdr:rowOff>
    </xdr:to>
    <xdr:pic>
      <xdr:nvPicPr>
        <xdr:cNvPr id="22" name="Picture 314" descr="PRANAKORNbw">
          <a:extLst>
            <a:ext uri="{FF2B5EF4-FFF2-40B4-BE49-F238E27FC236}">
              <a16:creationId xmlns:a16="http://schemas.microsoft.com/office/drawing/2014/main" id="{AB3DA81D-EBBD-462F-8EE4-62076353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5725"/>
          <a:ext cx="5334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7" name="Picture 314" descr="PRANAKORNbw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57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257175</xdr:colOff>
      <xdr:row>24</xdr:row>
      <xdr:rowOff>85725</xdr:rowOff>
    </xdr:from>
    <xdr:to>
      <xdr:col>9</xdr:col>
      <xdr:colOff>790575</xdr:colOff>
      <xdr:row>27</xdr:row>
      <xdr:rowOff>180975</xdr:rowOff>
    </xdr:to>
    <xdr:pic>
      <xdr:nvPicPr>
        <xdr:cNvPr id="8" name="Picture 314" descr="PRANAKORNbw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857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257175</xdr:colOff>
      <xdr:row>48</xdr:row>
      <xdr:rowOff>85725</xdr:rowOff>
    </xdr:from>
    <xdr:to>
      <xdr:col>9</xdr:col>
      <xdr:colOff>790575</xdr:colOff>
      <xdr:row>51</xdr:row>
      <xdr:rowOff>180975</xdr:rowOff>
    </xdr:to>
    <xdr:pic>
      <xdr:nvPicPr>
        <xdr:cNvPr id="9" name="Picture 314" descr="PRANAKORNbw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677227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257175</xdr:colOff>
      <xdr:row>72</xdr:row>
      <xdr:rowOff>85725</xdr:rowOff>
    </xdr:from>
    <xdr:to>
      <xdr:col>9</xdr:col>
      <xdr:colOff>790575</xdr:colOff>
      <xdr:row>75</xdr:row>
      <xdr:rowOff>180975</xdr:rowOff>
    </xdr:to>
    <xdr:pic>
      <xdr:nvPicPr>
        <xdr:cNvPr id="13" name="Picture 314" descr="PRANAKORNbw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566987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7" name="Picture 314" descr="PRANAKORNbw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4022407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98AD-D435-42E1-B694-EDE3AE31EAE1}">
  <dimension ref="A1:K30"/>
  <sheetViews>
    <sheetView tabSelected="1" view="pageBreakPreview" topLeftCell="A13" zoomScale="118" zoomScaleNormal="100" zoomScaleSheetLayoutView="118" workbookViewId="0">
      <selection activeCell="P23" sqref="P23"/>
    </sheetView>
  </sheetViews>
  <sheetFormatPr defaultRowHeight="24" x14ac:dyDescent="0.55000000000000004"/>
  <cols>
    <col min="1" max="1" width="7.85546875" style="532" customWidth="1"/>
    <col min="2" max="2" width="1.28515625" style="532" customWidth="1"/>
    <col min="3" max="3" width="5.140625" style="532" customWidth="1"/>
    <col min="4" max="4" width="12.85546875" style="532" customWidth="1"/>
    <col min="5" max="5" width="19.140625" style="532" customWidth="1"/>
    <col min="6" max="6" width="14.7109375" style="532" customWidth="1"/>
    <col min="7" max="7" width="3.28515625" style="532" customWidth="1"/>
    <col min="8" max="8" width="3.85546875" style="533" customWidth="1"/>
    <col min="9" max="9" width="8.42578125" style="533" customWidth="1"/>
    <col min="10" max="10" width="14.85546875" style="533" customWidth="1"/>
    <col min="11" max="11" width="16.85546875" style="532" customWidth="1"/>
    <col min="12" max="16384" width="9.140625" style="532"/>
  </cols>
  <sheetData>
    <row r="1" spans="1:11" ht="26.25" x14ac:dyDescent="0.6">
      <c r="K1" s="561" t="s">
        <v>282</v>
      </c>
    </row>
    <row r="2" spans="1:11" ht="26.25" x14ac:dyDescent="0.6">
      <c r="A2" s="711" t="s">
        <v>281</v>
      </c>
      <c r="B2" s="711"/>
      <c r="C2" s="711"/>
      <c r="D2" s="711"/>
      <c r="E2" s="711"/>
      <c r="F2" s="711"/>
      <c r="G2" s="711"/>
      <c r="H2" s="711"/>
      <c r="I2" s="711"/>
      <c r="J2" s="711"/>
      <c r="K2" s="561"/>
    </row>
    <row r="3" spans="1:11" x14ac:dyDescent="0.55000000000000004">
      <c r="A3" s="712" t="s">
        <v>280</v>
      </c>
      <c r="B3" s="712"/>
      <c r="C3" s="712"/>
      <c r="D3" s="713" t="s">
        <v>279</v>
      </c>
      <c r="E3" s="713"/>
      <c r="F3" s="713"/>
      <c r="G3" s="713"/>
      <c r="H3" s="713"/>
      <c r="I3" s="713"/>
      <c r="J3" s="713"/>
      <c r="K3" s="713"/>
    </row>
    <row r="4" spans="1:11" x14ac:dyDescent="0.55000000000000004">
      <c r="A4" s="560" t="s">
        <v>278</v>
      </c>
      <c r="B4" s="560"/>
      <c r="C4" s="560"/>
      <c r="D4" s="710" t="s">
        <v>277</v>
      </c>
      <c r="E4" s="710"/>
      <c r="F4" s="710"/>
      <c r="G4" s="710"/>
      <c r="H4" s="710"/>
      <c r="I4" s="710"/>
      <c r="J4" s="710"/>
      <c r="K4" s="559"/>
    </row>
    <row r="5" spans="1:11" ht="24" customHeight="1" x14ac:dyDescent="0.55000000000000004">
      <c r="A5" s="560"/>
      <c r="B5" s="560"/>
      <c r="C5" s="560"/>
      <c r="D5" s="710" t="s">
        <v>276</v>
      </c>
      <c r="E5" s="710"/>
      <c r="F5" s="710"/>
      <c r="G5" s="710"/>
      <c r="H5" s="710"/>
      <c r="I5" s="710"/>
      <c r="J5" s="710"/>
      <c r="K5" s="559"/>
    </row>
    <row r="6" spans="1:11" x14ac:dyDescent="0.55000000000000004">
      <c r="A6" s="708" t="s">
        <v>275</v>
      </c>
      <c r="B6" s="708"/>
      <c r="C6" s="708"/>
      <c r="D6" s="708"/>
      <c r="E6" s="708"/>
      <c r="F6" s="558"/>
      <c r="G6" s="708" t="s">
        <v>274</v>
      </c>
      <c r="H6" s="708"/>
      <c r="I6" s="708"/>
      <c r="J6" s="708"/>
      <c r="K6" s="556" t="s">
        <v>273</v>
      </c>
    </row>
    <row r="7" spans="1:11" ht="27.75" customHeight="1" x14ac:dyDescent="0.55000000000000004">
      <c r="A7" s="708" t="s">
        <v>272</v>
      </c>
      <c r="B7" s="708"/>
      <c r="C7" s="708"/>
      <c r="D7" s="708"/>
      <c r="E7" s="557">
        <v>243780</v>
      </c>
      <c r="F7" s="556"/>
      <c r="G7" s="708"/>
      <c r="H7" s="708"/>
      <c r="I7" s="708"/>
      <c r="J7" s="709"/>
      <c r="K7" s="709"/>
    </row>
    <row r="8" spans="1:11" ht="21.75" customHeight="1" thickBot="1" x14ac:dyDescent="0.6">
      <c r="A8" s="685"/>
      <c r="B8" s="685"/>
      <c r="C8" s="685"/>
      <c r="D8" s="685"/>
      <c r="E8" s="685"/>
      <c r="F8" s="685"/>
      <c r="G8" s="685"/>
      <c r="H8" s="685"/>
      <c r="I8" s="685"/>
      <c r="J8" s="685"/>
      <c r="K8" s="685"/>
    </row>
    <row r="9" spans="1:11" ht="21.75" customHeight="1" thickTop="1" x14ac:dyDescent="0.55000000000000004">
      <c r="A9" s="686" t="s">
        <v>14</v>
      </c>
      <c r="B9" s="688" t="s">
        <v>1</v>
      </c>
      <c r="C9" s="689"/>
      <c r="D9" s="689"/>
      <c r="E9" s="689"/>
      <c r="F9" s="689"/>
      <c r="G9" s="689"/>
      <c r="H9" s="693" t="s">
        <v>271</v>
      </c>
      <c r="I9" s="694"/>
      <c r="J9" s="695"/>
      <c r="K9" s="696" t="s">
        <v>8</v>
      </c>
    </row>
    <row r="10" spans="1:11" ht="24.75" thickBot="1" x14ac:dyDescent="0.6">
      <c r="A10" s="687"/>
      <c r="B10" s="690"/>
      <c r="C10" s="691"/>
      <c r="D10" s="691"/>
      <c r="E10" s="691"/>
      <c r="F10" s="691"/>
      <c r="G10" s="692"/>
      <c r="H10" s="697"/>
      <c r="I10" s="698"/>
      <c r="J10" s="699"/>
      <c r="K10" s="687"/>
    </row>
    <row r="11" spans="1:11" ht="24.75" thickTop="1" x14ac:dyDescent="0.55000000000000004">
      <c r="A11" s="555">
        <v>1</v>
      </c>
      <c r="B11" s="679" t="s">
        <v>270</v>
      </c>
      <c r="C11" s="680"/>
      <c r="D11" s="680"/>
      <c r="E11" s="680"/>
      <c r="F11" s="680"/>
      <c r="G11" s="681"/>
      <c r="H11" s="682">
        <f>'ใบสรุป ปร.4'!I15</f>
        <v>3870289.6583992001</v>
      </c>
      <c r="I11" s="683"/>
      <c r="J11" s="684"/>
      <c r="K11" s="554"/>
    </row>
    <row r="12" spans="1:11" x14ac:dyDescent="0.55000000000000004">
      <c r="A12" s="700">
        <v>2</v>
      </c>
      <c r="B12" s="553" t="s">
        <v>269</v>
      </c>
      <c r="C12" s="552"/>
      <c r="D12" s="552"/>
      <c r="E12" s="552"/>
      <c r="F12" s="552"/>
      <c r="G12" s="551"/>
      <c r="H12" s="702">
        <f>'ใบสรุป ปร.4'!I19</f>
        <v>606161.88009999995</v>
      </c>
      <c r="I12" s="703"/>
      <c r="J12" s="704"/>
      <c r="K12" s="577"/>
    </row>
    <row r="13" spans="1:11" ht="25.5" customHeight="1" x14ac:dyDescent="0.55000000000000004">
      <c r="A13" s="701"/>
      <c r="B13" s="550" t="s">
        <v>268</v>
      </c>
      <c r="C13" s="549"/>
      <c r="D13" s="549"/>
      <c r="E13" s="549"/>
      <c r="F13" s="549"/>
      <c r="G13" s="548"/>
      <c r="H13" s="705"/>
      <c r="I13" s="706"/>
      <c r="J13" s="707"/>
      <c r="K13" s="576"/>
    </row>
    <row r="14" spans="1:11" x14ac:dyDescent="0.55000000000000004">
      <c r="A14" s="543">
        <v>3</v>
      </c>
      <c r="B14" s="546" t="s">
        <v>267</v>
      </c>
      <c r="C14" s="545"/>
      <c r="D14" s="545"/>
      <c r="E14" s="545"/>
      <c r="F14" s="545"/>
      <c r="G14" s="547"/>
      <c r="H14" s="670">
        <f>'ใบสรุป ปร.4'!I20</f>
        <v>41451.1875</v>
      </c>
      <c r="I14" s="671"/>
      <c r="J14" s="672"/>
      <c r="K14" s="544"/>
    </row>
    <row r="15" spans="1:11" x14ac:dyDescent="0.55000000000000004">
      <c r="A15" s="543">
        <v>4</v>
      </c>
      <c r="B15" s="546" t="s">
        <v>195</v>
      </c>
      <c r="C15" s="545"/>
      <c r="D15" s="545"/>
      <c r="E15" s="545"/>
      <c r="F15" s="545"/>
      <c r="G15" s="547"/>
      <c r="H15" s="670">
        <f>'ใบสรุป ปร.4'!I21</f>
        <v>52200</v>
      </c>
      <c r="I15" s="671"/>
      <c r="J15" s="672"/>
      <c r="K15" s="544"/>
    </row>
    <row r="16" spans="1:11" x14ac:dyDescent="0.55000000000000004">
      <c r="A16" s="542"/>
      <c r="B16" s="667"/>
      <c r="C16" s="668"/>
      <c r="D16" s="668"/>
      <c r="E16" s="668"/>
      <c r="F16" s="668"/>
      <c r="G16" s="669"/>
      <c r="H16" s="670"/>
      <c r="I16" s="671"/>
      <c r="J16" s="672"/>
      <c r="K16" s="541"/>
    </row>
    <row r="17" spans="1:11" x14ac:dyDescent="0.55000000000000004">
      <c r="A17" s="542"/>
      <c r="B17" s="667"/>
      <c r="C17" s="668"/>
      <c r="D17" s="668"/>
      <c r="E17" s="668"/>
      <c r="F17" s="668"/>
      <c r="G17" s="669"/>
      <c r="H17" s="670"/>
      <c r="I17" s="671"/>
      <c r="J17" s="672"/>
      <c r="K17" s="541"/>
    </row>
    <row r="18" spans="1:11" ht="24.75" thickBot="1" x14ac:dyDescent="0.6">
      <c r="A18" s="540"/>
      <c r="B18" s="673"/>
      <c r="C18" s="674"/>
      <c r="D18" s="674"/>
      <c r="E18" s="674"/>
      <c r="F18" s="674"/>
      <c r="G18" s="675"/>
      <c r="H18" s="676"/>
      <c r="I18" s="677"/>
      <c r="J18" s="678"/>
      <c r="K18" s="539"/>
    </row>
    <row r="19" spans="1:11" ht="25.5" thickTop="1" thickBot="1" x14ac:dyDescent="0.6">
      <c r="A19" s="655" t="s">
        <v>266</v>
      </c>
      <c r="B19" s="657" t="s">
        <v>293</v>
      </c>
      <c r="C19" s="658"/>
      <c r="D19" s="658"/>
      <c r="E19" s="658"/>
      <c r="F19" s="658"/>
      <c r="G19" s="659"/>
      <c r="H19" s="660">
        <f>SUM(H11,H12,H14,H15)</f>
        <v>4570102.7259991998</v>
      </c>
      <c r="I19" s="661"/>
      <c r="J19" s="662"/>
      <c r="K19" s="538"/>
    </row>
    <row r="20" spans="1:11" ht="25.5" thickTop="1" thickBot="1" x14ac:dyDescent="0.6">
      <c r="A20" s="656"/>
      <c r="B20" s="663" t="str">
        <f>"("&amp;BAHTTEXT(H19)&amp;")"</f>
        <v>(สี่ล้านห้าแสนเจ็ดหมื่นหนึ่งร้อยสองบาทเจ็ดสิบสามสตางค์)</v>
      </c>
      <c r="C20" s="664"/>
      <c r="D20" s="664"/>
      <c r="E20" s="664"/>
      <c r="F20" s="664"/>
      <c r="G20" s="664"/>
      <c r="H20" s="664"/>
      <c r="I20" s="664"/>
      <c r="J20" s="664"/>
      <c r="K20" s="537"/>
    </row>
    <row r="21" spans="1:11" ht="24.75" thickTop="1" x14ac:dyDescent="0.55000000000000004">
      <c r="A21" s="534"/>
      <c r="B21" s="665"/>
      <c r="C21" s="665"/>
      <c r="D21" s="665"/>
      <c r="E21" s="666"/>
      <c r="F21" s="666"/>
      <c r="G21" s="536"/>
      <c r="H21" s="535"/>
      <c r="I21" s="535"/>
      <c r="J21" s="535"/>
      <c r="K21" s="535"/>
    </row>
    <row r="22" spans="1:11" x14ac:dyDescent="0.55000000000000004">
      <c r="H22" s="532"/>
      <c r="I22" s="532"/>
      <c r="J22" s="532"/>
    </row>
    <row r="23" spans="1:11" x14ac:dyDescent="0.55000000000000004">
      <c r="H23" s="532"/>
      <c r="I23" s="532"/>
      <c r="J23" s="532"/>
    </row>
    <row r="24" spans="1:11" x14ac:dyDescent="0.55000000000000004">
      <c r="H24" s="532"/>
      <c r="I24" s="532"/>
      <c r="J24" s="532"/>
    </row>
    <row r="25" spans="1:11" s="534" customFormat="1" x14ac:dyDescent="0.55000000000000004">
      <c r="A25" s="532"/>
      <c r="B25" s="532"/>
      <c r="C25" s="532"/>
      <c r="D25" s="532"/>
      <c r="E25" s="532"/>
      <c r="F25" s="532"/>
      <c r="G25" s="532"/>
      <c r="H25" s="532"/>
      <c r="I25" s="532"/>
      <c r="J25" s="532"/>
      <c r="K25" s="532"/>
    </row>
    <row r="26" spans="1:11" s="534" customFormat="1" x14ac:dyDescent="0.55000000000000004">
      <c r="A26" s="532"/>
      <c r="B26" s="532"/>
      <c r="C26" s="532"/>
      <c r="D26" s="532"/>
      <c r="E26" s="532"/>
      <c r="F26" s="532"/>
      <c r="G26" s="532"/>
      <c r="H26" s="532"/>
      <c r="I26" s="532"/>
      <c r="J26" s="532"/>
      <c r="K26" s="532"/>
    </row>
    <row r="27" spans="1:11" ht="30" customHeight="1" x14ac:dyDescent="0.55000000000000004">
      <c r="H27" s="532"/>
      <c r="I27" s="532"/>
      <c r="J27" s="532"/>
    </row>
    <row r="30" spans="1:11" ht="30" customHeight="1" x14ac:dyDescent="0.55000000000000004"/>
  </sheetData>
  <mergeCells count="34">
    <mergeCell ref="A2:J2"/>
    <mergeCell ref="A3:C3"/>
    <mergeCell ref="D3:K3"/>
    <mergeCell ref="A6:E6"/>
    <mergeCell ref="G6:J6"/>
    <mergeCell ref="A7:D7"/>
    <mergeCell ref="G7:I7"/>
    <mergeCell ref="J7:K7"/>
    <mergeCell ref="D5:J5"/>
    <mergeCell ref="D4:J4"/>
    <mergeCell ref="B11:G11"/>
    <mergeCell ref="H11:J11"/>
    <mergeCell ref="H14:J14"/>
    <mergeCell ref="H15:J15"/>
    <mergeCell ref="A8:K8"/>
    <mergeCell ref="A9:A10"/>
    <mergeCell ref="B9:G10"/>
    <mergeCell ref="H9:J9"/>
    <mergeCell ref="K9:K10"/>
    <mergeCell ref="H10:J10"/>
    <mergeCell ref="A12:A13"/>
    <mergeCell ref="H12:J13"/>
    <mergeCell ref="B16:G16"/>
    <mergeCell ref="H16:J16"/>
    <mergeCell ref="B17:G17"/>
    <mergeCell ref="H17:J17"/>
    <mergeCell ref="B18:G18"/>
    <mergeCell ref="H18:J18"/>
    <mergeCell ref="A19:A20"/>
    <mergeCell ref="B19:G19"/>
    <mergeCell ref="H19:J19"/>
    <mergeCell ref="B20:J20"/>
    <mergeCell ref="B21:D21"/>
    <mergeCell ref="E21:F21"/>
  </mergeCells>
  <pageMargins left="1.01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U587"/>
  <sheetViews>
    <sheetView view="pageBreakPreview" topLeftCell="A76" zoomScale="85" zoomScaleNormal="55" zoomScaleSheetLayoutView="85" workbookViewId="0">
      <selection activeCell="L90" sqref="L90"/>
    </sheetView>
  </sheetViews>
  <sheetFormatPr defaultColWidth="10.140625" defaultRowHeight="21.75" x14ac:dyDescent="0.5"/>
  <cols>
    <col min="1" max="1" width="8.28515625" style="132" customWidth="1"/>
    <col min="2" max="2" width="49.7109375" style="132" customWidth="1"/>
    <col min="3" max="3" width="10.42578125" style="132" customWidth="1"/>
    <col min="4" max="4" width="6.42578125" style="132" customWidth="1"/>
    <col min="5" max="5" width="11.140625" style="132" customWidth="1"/>
    <col min="6" max="6" width="12.5703125" style="132" customWidth="1"/>
    <col min="7" max="7" width="11.140625" style="132" customWidth="1"/>
    <col min="8" max="8" width="12.5703125" style="132" customWidth="1"/>
    <col min="9" max="9" width="14.85546875" style="132" customWidth="1"/>
    <col min="10" max="10" width="17.28515625" style="154" customWidth="1"/>
    <col min="11" max="11" width="15.7109375" style="148" customWidth="1"/>
    <col min="12" max="16384" width="10.140625" style="132"/>
  </cols>
  <sheetData>
    <row r="1" spans="1:11" ht="27.75" x14ac:dyDescent="0.65">
      <c r="A1" s="5" t="s">
        <v>0</v>
      </c>
      <c r="B1" s="729" t="s">
        <v>7</v>
      </c>
      <c r="C1" s="729"/>
      <c r="D1" s="729"/>
      <c r="E1" s="729"/>
      <c r="F1" s="729"/>
      <c r="G1" s="729"/>
      <c r="H1" s="729"/>
      <c r="I1" s="729"/>
      <c r="J1" s="5"/>
      <c r="K1" s="132"/>
    </row>
    <row r="2" spans="1:11" ht="21.75" customHeight="1" x14ac:dyDescent="0.5">
      <c r="A2" s="730" t="s">
        <v>247</v>
      </c>
      <c r="B2" s="730"/>
      <c r="C2" s="730"/>
      <c r="D2" s="730"/>
      <c r="E2" s="730"/>
      <c r="F2" s="730"/>
      <c r="G2" s="730"/>
      <c r="H2" s="730"/>
      <c r="I2" s="730"/>
      <c r="J2"/>
      <c r="K2" s="132"/>
    </row>
    <row r="3" spans="1:11" ht="21.75" customHeight="1" x14ac:dyDescent="0.5">
      <c r="A3" s="730" t="s">
        <v>20</v>
      </c>
      <c r="B3" s="730"/>
      <c r="C3" s="730"/>
      <c r="D3" s="730"/>
      <c r="E3" s="730"/>
      <c r="F3" s="730"/>
      <c r="G3" s="730"/>
      <c r="H3" s="730"/>
      <c r="I3" s="730"/>
      <c r="J3"/>
      <c r="K3" s="132"/>
    </row>
    <row r="4" spans="1:11" ht="21.75" customHeight="1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  <c r="J4"/>
      <c r="K4" s="132"/>
    </row>
    <row r="5" spans="1:11" ht="21.75" customHeight="1" x14ac:dyDescent="0.5">
      <c r="A5" s="731" t="s">
        <v>332</v>
      </c>
      <c r="B5" s="731"/>
      <c r="C5" s="731"/>
      <c r="D5" s="731"/>
      <c r="E5" s="731"/>
      <c r="F5" s="731"/>
      <c r="G5" s="731"/>
      <c r="H5" s="731"/>
      <c r="I5" s="731"/>
      <c r="J5" s="20" t="s">
        <v>235</v>
      </c>
      <c r="K5" s="132"/>
    </row>
    <row r="6" spans="1:11" ht="21.75" customHeight="1" x14ac:dyDescent="0.5">
      <c r="A6" s="764" t="s">
        <v>119</v>
      </c>
      <c r="B6" s="764" t="s">
        <v>1</v>
      </c>
      <c r="C6" s="764" t="s">
        <v>4</v>
      </c>
      <c r="D6" s="764" t="s">
        <v>2</v>
      </c>
      <c r="E6" s="764" t="s">
        <v>5</v>
      </c>
      <c r="F6" s="764"/>
      <c r="G6" s="764" t="s">
        <v>6</v>
      </c>
      <c r="H6" s="764"/>
      <c r="I6" s="764" t="s">
        <v>120</v>
      </c>
      <c r="J6" s="765" t="s">
        <v>8</v>
      </c>
      <c r="K6" s="132"/>
    </row>
    <row r="7" spans="1:11" ht="21.75" customHeight="1" x14ac:dyDescent="0.5">
      <c r="A7" s="764"/>
      <c r="B7" s="764"/>
      <c r="C7" s="764"/>
      <c r="D7" s="764"/>
      <c r="E7" s="415" t="s">
        <v>121</v>
      </c>
      <c r="F7" s="415" t="s">
        <v>122</v>
      </c>
      <c r="G7" s="415" t="s">
        <v>121</v>
      </c>
      <c r="H7" s="415" t="s">
        <v>122</v>
      </c>
      <c r="I7" s="764"/>
      <c r="J7" s="765"/>
      <c r="K7" s="132"/>
    </row>
    <row r="8" spans="1:11" ht="21.75" customHeight="1" x14ac:dyDescent="0.5">
      <c r="A8" s="416">
        <v>2</v>
      </c>
      <c r="B8" s="417" t="s">
        <v>52</v>
      </c>
      <c r="C8" s="418"/>
      <c r="D8" s="419"/>
      <c r="E8" s="418"/>
      <c r="F8" s="420"/>
      <c r="G8" s="421"/>
      <c r="H8" s="420"/>
      <c r="I8" s="420"/>
      <c r="J8" s="159"/>
      <c r="K8" s="132"/>
    </row>
    <row r="9" spans="1:11" ht="21.75" customHeight="1" x14ac:dyDescent="0.5">
      <c r="A9" s="422">
        <v>2.1</v>
      </c>
      <c r="B9" s="423" t="s">
        <v>123</v>
      </c>
      <c r="C9" s="424"/>
      <c r="D9" s="425"/>
      <c r="E9" s="426"/>
      <c r="F9" s="426"/>
      <c r="G9" s="427"/>
      <c r="H9" s="426"/>
      <c r="I9" s="426"/>
      <c r="J9" s="156"/>
      <c r="K9" s="132"/>
    </row>
    <row r="10" spans="1:11" ht="21.75" customHeight="1" x14ac:dyDescent="0.55000000000000004">
      <c r="A10" s="428"/>
      <c r="B10" s="429" t="s">
        <v>141</v>
      </c>
      <c r="C10" s="430"/>
      <c r="D10" s="431"/>
      <c r="E10" s="431"/>
      <c r="F10" s="426">
        <v>0</v>
      </c>
      <c r="G10" s="426">
        <v>0</v>
      </c>
      <c r="H10" s="426">
        <v>0</v>
      </c>
      <c r="I10" s="426">
        <v>0</v>
      </c>
      <c r="J10" s="157"/>
      <c r="K10" s="132"/>
    </row>
    <row r="11" spans="1:11" ht="21.75" customHeight="1" x14ac:dyDescent="0.5">
      <c r="A11" s="428"/>
      <c r="B11" s="432" t="s">
        <v>53</v>
      </c>
      <c r="C11" s="433"/>
      <c r="D11" s="434"/>
      <c r="E11" s="433"/>
      <c r="F11" s="426">
        <v>0</v>
      </c>
      <c r="G11" s="426">
        <v>0</v>
      </c>
      <c r="H11" s="426">
        <v>0</v>
      </c>
      <c r="I11" s="426">
        <v>0</v>
      </c>
      <c r="J11" s="158"/>
      <c r="K11" s="132"/>
    </row>
    <row r="12" spans="1:11" ht="21.75" customHeight="1" x14ac:dyDescent="0.5">
      <c r="A12" s="428"/>
      <c r="B12" s="432" t="s">
        <v>54</v>
      </c>
      <c r="C12" s="433"/>
      <c r="D12" s="434"/>
      <c r="E12" s="433"/>
      <c r="F12" s="426">
        <v>0</v>
      </c>
      <c r="G12" s="426">
        <v>0</v>
      </c>
      <c r="H12" s="426">
        <v>0</v>
      </c>
      <c r="I12" s="426">
        <v>0</v>
      </c>
      <c r="J12" s="158"/>
      <c r="K12" s="132"/>
    </row>
    <row r="13" spans="1:11" ht="21.75" customHeight="1" x14ac:dyDescent="0.5">
      <c r="A13" s="428"/>
      <c r="B13" s="432" t="s">
        <v>55</v>
      </c>
      <c r="C13" s="433"/>
      <c r="D13" s="434"/>
      <c r="E13" s="433"/>
      <c r="F13" s="426">
        <v>0</v>
      </c>
      <c r="G13" s="426">
        <v>0</v>
      </c>
      <c r="H13" s="426">
        <v>0</v>
      </c>
      <c r="I13" s="426">
        <v>0</v>
      </c>
      <c r="J13" s="158"/>
      <c r="K13" s="132"/>
    </row>
    <row r="14" spans="1:11" ht="21.75" customHeight="1" x14ac:dyDescent="0.5">
      <c r="A14" s="428"/>
      <c r="B14" s="432" t="s">
        <v>56</v>
      </c>
      <c r="C14" s="433"/>
      <c r="D14" s="434"/>
      <c r="E14" s="433"/>
      <c r="F14" s="426">
        <v>0</v>
      </c>
      <c r="G14" s="426">
        <v>0</v>
      </c>
      <c r="H14" s="426">
        <v>0</v>
      </c>
      <c r="I14" s="426">
        <v>0</v>
      </c>
      <c r="J14" s="158"/>
      <c r="K14" s="132"/>
    </row>
    <row r="15" spans="1:11" ht="21.75" customHeight="1" x14ac:dyDescent="0.5">
      <c r="A15" s="428"/>
      <c r="B15" s="432" t="s">
        <v>57</v>
      </c>
      <c r="C15" s="433"/>
      <c r="D15" s="434"/>
      <c r="E15" s="433"/>
      <c r="F15" s="426">
        <v>0</v>
      </c>
      <c r="G15" s="426">
        <v>0</v>
      </c>
      <c r="H15" s="426">
        <v>0</v>
      </c>
      <c r="I15" s="426">
        <v>0</v>
      </c>
      <c r="J15" s="157"/>
      <c r="K15" s="132"/>
    </row>
    <row r="16" spans="1:11" ht="21.75" customHeight="1" x14ac:dyDescent="0.5">
      <c r="A16" s="428"/>
      <c r="B16" s="435" t="s">
        <v>58</v>
      </c>
      <c r="C16" s="433"/>
      <c r="D16" s="434"/>
      <c r="E16" s="433"/>
      <c r="F16" s="426">
        <v>0</v>
      </c>
      <c r="G16" s="426">
        <v>0</v>
      </c>
      <c r="H16" s="426">
        <v>0</v>
      </c>
      <c r="I16" s="426">
        <v>0</v>
      </c>
      <c r="J16" s="157"/>
      <c r="K16" s="132"/>
    </row>
    <row r="17" spans="1:12" ht="21.75" customHeight="1" x14ac:dyDescent="0.5">
      <c r="A17" s="428"/>
      <c r="B17" s="432" t="s">
        <v>59</v>
      </c>
      <c r="C17" s="433"/>
      <c r="D17" s="434"/>
      <c r="E17" s="433"/>
      <c r="F17" s="426">
        <v>0</v>
      </c>
      <c r="G17" s="426">
        <v>0</v>
      </c>
      <c r="H17" s="426">
        <v>0</v>
      </c>
      <c r="I17" s="426">
        <v>0</v>
      </c>
      <c r="J17" s="157"/>
      <c r="K17" s="132"/>
    </row>
    <row r="18" spans="1:12" ht="21.75" customHeight="1" x14ac:dyDescent="0.5">
      <c r="A18" s="428"/>
      <c r="B18" s="432" t="s">
        <v>60</v>
      </c>
      <c r="C18" s="433"/>
      <c r="D18" s="434"/>
      <c r="E18" s="433"/>
      <c r="F18" s="426">
        <v>0</v>
      </c>
      <c r="G18" s="426">
        <v>0</v>
      </c>
      <c r="H18" s="426">
        <v>0</v>
      </c>
      <c r="I18" s="426">
        <v>0</v>
      </c>
      <c r="J18" s="157"/>
      <c r="K18" s="132"/>
    </row>
    <row r="19" spans="1:12" ht="21.75" customHeight="1" x14ac:dyDescent="0.5">
      <c r="A19" s="428"/>
      <c r="B19" s="432" t="s">
        <v>61</v>
      </c>
      <c r="C19" s="433"/>
      <c r="D19" s="434"/>
      <c r="E19" s="433"/>
      <c r="F19" s="426">
        <v>0</v>
      </c>
      <c r="G19" s="426">
        <v>0</v>
      </c>
      <c r="H19" s="426">
        <v>0</v>
      </c>
      <c r="I19" s="426">
        <v>0</v>
      </c>
      <c r="J19" s="158"/>
      <c r="K19" s="132"/>
    </row>
    <row r="20" spans="1:12" ht="21.75" customHeight="1" x14ac:dyDescent="0.5">
      <c r="A20" s="428"/>
      <c r="B20" s="435" t="s">
        <v>62</v>
      </c>
      <c r="C20" s="433"/>
      <c r="D20" s="434"/>
      <c r="E20" s="433"/>
      <c r="F20" s="426">
        <v>0</v>
      </c>
      <c r="G20" s="426">
        <v>0</v>
      </c>
      <c r="H20" s="426">
        <v>0</v>
      </c>
      <c r="I20" s="426">
        <v>0</v>
      </c>
      <c r="J20" s="158"/>
      <c r="K20" s="132"/>
    </row>
    <row r="21" spans="1:12" ht="21.75" customHeight="1" x14ac:dyDescent="0.5">
      <c r="A21" s="433"/>
      <c r="B21" s="432" t="s">
        <v>124</v>
      </c>
      <c r="C21" s="433"/>
      <c r="D21" s="434"/>
      <c r="E21" s="433"/>
      <c r="F21" s="426">
        <v>0</v>
      </c>
      <c r="G21" s="426">
        <v>0</v>
      </c>
      <c r="H21" s="426">
        <v>0</v>
      </c>
      <c r="I21" s="426">
        <v>0</v>
      </c>
      <c r="J21" s="158"/>
      <c r="K21" s="132"/>
    </row>
    <row r="22" spans="1:12" ht="21.75" customHeight="1" x14ac:dyDescent="0.5">
      <c r="A22" s="433"/>
      <c r="B22" s="432" t="s">
        <v>63</v>
      </c>
      <c r="C22" s="433"/>
      <c r="D22" s="434"/>
      <c r="E22" s="433"/>
      <c r="F22" s="426">
        <v>0</v>
      </c>
      <c r="G22" s="426">
        <v>0</v>
      </c>
      <c r="H22" s="426">
        <v>0</v>
      </c>
      <c r="I22" s="426">
        <v>0</v>
      </c>
      <c r="J22" s="158"/>
      <c r="K22" s="132"/>
    </row>
    <row r="23" spans="1:12" ht="21.75" customHeight="1" x14ac:dyDescent="0.5">
      <c r="A23" s="436"/>
      <c r="B23" s="437" t="s">
        <v>64</v>
      </c>
      <c r="C23" s="436"/>
      <c r="D23" s="438"/>
      <c r="E23" s="436"/>
      <c r="F23" s="439">
        <v>0</v>
      </c>
      <c r="G23" s="439">
        <v>0</v>
      </c>
      <c r="H23" s="439">
        <v>0</v>
      </c>
      <c r="I23" s="439">
        <v>0</v>
      </c>
      <c r="J23" s="167"/>
      <c r="K23" s="132"/>
      <c r="L23" s="133"/>
    </row>
    <row r="24" spans="1:12" ht="21.75" customHeight="1" x14ac:dyDescent="0.5">
      <c r="A24" s="440"/>
      <c r="B24" s="441" t="s">
        <v>125</v>
      </c>
      <c r="C24" s="441">
        <v>1</v>
      </c>
      <c r="D24" s="442" t="s">
        <v>42</v>
      </c>
      <c r="E24" s="443">
        <v>130000</v>
      </c>
      <c r="F24" s="382" t="s">
        <v>126</v>
      </c>
      <c r="G24" s="444">
        <v>70000</v>
      </c>
      <c r="H24" s="382" t="s">
        <v>126</v>
      </c>
      <c r="I24" s="445">
        <f>SUM(G24,E24)</f>
        <v>200000</v>
      </c>
      <c r="J24" s="186"/>
      <c r="K24" s="176">
        <f>SUM(I24)</f>
        <v>200000</v>
      </c>
      <c r="L24" s="133"/>
    </row>
    <row r="25" spans="1:12" ht="27.75" x14ac:dyDescent="0.65">
      <c r="A25" s="5" t="s">
        <v>0</v>
      </c>
      <c r="B25" s="729" t="s">
        <v>7</v>
      </c>
      <c r="C25" s="729"/>
      <c r="D25" s="729"/>
      <c r="E25" s="729"/>
      <c r="F25" s="729"/>
      <c r="G25" s="729"/>
      <c r="H25" s="729"/>
      <c r="I25" s="729"/>
      <c r="J25" s="5"/>
      <c r="K25" s="132"/>
    </row>
    <row r="26" spans="1:12" ht="21.75" customHeight="1" x14ac:dyDescent="0.5">
      <c r="A26" s="730" t="s">
        <v>247</v>
      </c>
      <c r="B26" s="730"/>
      <c r="C26" s="730"/>
      <c r="D26" s="730"/>
      <c r="E26" s="730"/>
      <c r="F26" s="730"/>
      <c r="G26" s="730"/>
      <c r="H26" s="730"/>
      <c r="I26" s="730"/>
      <c r="J26"/>
      <c r="K26" s="132"/>
    </row>
    <row r="27" spans="1:12" ht="21.75" customHeight="1" x14ac:dyDescent="0.5">
      <c r="A27" s="730" t="s">
        <v>20</v>
      </c>
      <c r="B27" s="730"/>
      <c r="C27" s="730"/>
      <c r="D27" s="730"/>
      <c r="E27" s="730"/>
      <c r="F27" s="730"/>
      <c r="G27" s="730"/>
      <c r="H27" s="730"/>
      <c r="I27" s="730"/>
      <c r="J27"/>
      <c r="K27" s="132"/>
    </row>
    <row r="28" spans="1:12" ht="21.75" customHeight="1" x14ac:dyDescent="0.5">
      <c r="A28" s="730" t="s">
        <v>201</v>
      </c>
      <c r="B28" s="730"/>
      <c r="C28" s="730"/>
      <c r="D28" s="730"/>
      <c r="E28" s="730"/>
      <c r="F28" s="730"/>
      <c r="G28" s="730"/>
      <c r="H28" s="730"/>
      <c r="I28" s="730"/>
      <c r="J28"/>
      <c r="K28" s="132"/>
    </row>
    <row r="29" spans="1:12" ht="21.75" customHeight="1" x14ac:dyDescent="0.5">
      <c r="A29" s="731" t="s">
        <v>332</v>
      </c>
      <c r="B29" s="731"/>
      <c r="C29" s="731"/>
      <c r="D29" s="731"/>
      <c r="E29" s="731"/>
      <c r="F29" s="731"/>
      <c r="G29" s="731"/>
      <c r="H29" s="731"/>
      <c r="I29" s="731"/>
      <c r="J29" s="20" t="s">
        <v>236</v>
      </c>
      <c r="K29" s="132"/>
    </row>
    <row r="30" spans="1:12" ht="21.75" customHeight="1" x14ac:dyDescent="0.5">
      <c r="A30" s="762" t="s">
        <v>119</v>
      </c>
      <c r="B30" s="762" t="s">
        <v>1</v>
      </c>
      <c r="C30" s="762" t="s">
        <v>4</v>
      </c>
      <c r="D30" s="762" t="s">
        <v>2</v>
      </c>
      <c r="E30" s="741" t="s">
        <v>5</v>
      </c>
      <c r="F30" s="741"/>
      <c r="G30" s="741" t="s">
        <v>6</v>
      </c>
      <c r="H30" s="741"/>
      <c r="I30" s="762" t="s">
        <v>120</v>
      </c>
      <c r="J30" s="748" t="s">
        <v>8</v>
      </c>
      <c r="K30" s="132"/>
    </row>
    <row r="31" spans="1:12" ht="21.75" customHeight="1" x14ac:dyDescent="0.5">
      <c r="A31" s="763"/>
      <c r="B31" s="763"/>
      <c r="C31" s="763"/>
      <c r="D31" s="763"/>
      <c r="E31" s="415" t="s">
        <v>121</v>
      </c>
      <c r="F31" s="415" t="s">
        <v>122</v>
      </c>
      <c r="G31" s="415" t="s">
        <v>121</v>
      </c>
      <c r="H31" s="415" t="s">
        <v>122</v>
      </c>
      <c r="I31" s="763"/>
      <c r="J31" s="749"/>
      <c r="K31" s="132"/>
    </row>
    <row r="32" spans="1:12" ht="21.75" customHeight="1" x14ac:dyDescent="0.5">
      <c r="A32" s="446"/>
      <c r="B32" s="429" t="s">
        <v>142</v>
      </c>
      <c r="C32" s="432">
        <v>1</v>
      </c>
      <c r="D32" s="386" t="s">
        <v>68</v>
      </c>
      <c r="E32" s="447">
        <v>6276</v>
      </c>
      <c r="F32" s="448">
        <f>E32*C32</f>
        <v>6276</v>
      </c>
      <c r="G32" s="448">
        <v>900</v>
      </c>
      <c r="H32" s="448">
        <f>C32*G32</f>
        <v>900</v>
      </c>
      <c r="I32" s="448">
        <f>F32+H32</f>
        <v>7176</v>
      </c>
      <c r="J32" s="134"/>
      <c r="K32" s="132"/>
    </row>
    <row r="33" spans="1:11" ht="21.75" customHeight="1" x14ac:dyDescent="0.5">
      <c r="A33" s="446"/>
      <c r="B33" s="429" t="s">
        <v>143</v>
      </c>
      <c r="C33" s="432">
        <v>1</v>
      </c>
      <c r="D33" s="386" t="s">
        <v>68</v>
      </c>
      <c r="E33" s="447">
        <v>3300</v>
      </c>
      <c r="F33" s="448">
        <f>E33*C33</f>
        <v>3300</v>
      </c>
      <c r="G33" s="448">
        <v>900</v>
      </c>
      <c r="H33" s="448">
        <f>C33*G33</f>
        <v>900</v>
      </c>
      <c r="I33" s="448">
        <f>F33+H33</f>
        <v>4200</v>
      </c>
      <c r="J33" s="134"/>
      <c r="K33" s="132"/>
    </row>
    <row r="34" spans="1:11" ht="21.75" customHeight="1" x14ac:dyDescent="0.5">
      <c r="A34" s="446"/>
      <c r="B34" s="429" t="s">
        <v>177</v>
      </c>
      <c r="C34" s="432">
        <v>1</v>
      </c>
      <c r="D34" s="386" t="s">
        <v>39</v>
      </c>
      <c r="E34" s="447">
        <v>1119</v>
      </c>
      <c r="F34" s="448">
        <f t="shared" ref="F34:F47" si="0">E34*C34</f>
        <v>1119</v>
      </c>
      <c r="G34" s="448">
        <v>0</v>
      </c>
      <c r="H34" s="448">
        <f t="shared" ref="H34:H47" si="1">C34*G34</f>
        <v>0</v>
      </c>
      <c r="I34" s="448">
        <f t="shared" ref="I34:I47" si="2">F34+H34</f>
        <v>1119</v>
      </c>
      <c r="J34" s="134"/>
      <c r="K34" s="132"/>
    </row>
    <row r="35" spans="1:11" ht="21.75" customHeight="1" x14ac:dyDescent="0.5">
      <c r="A35" s="446"/>
      <c r="B35" s="429" t="s">
        <v>144</v>
      </c>
      <c r="C35" s="432">
        <v>1</v>
      </c>
      <c r="D35" s="386" t="s">
        <v>39</v>
      </c>
      <c r="E35" s="447">
        <v>512</v>
      </c>
      <c r="F35" s="448">
        <f t="shared" si="0"/>
        <v>512</v>
      </c>
      <c r="G35" s="448">
        <v>0</v>
      </c>
      <c r="H35" s="448">
        <f t="shared" si="1"/>
        <v>0</v>
      </c>
      <c r="I35" s="448">
        <f t="shared" si="2"/>
        <v>512</v>
      </c>
      <c r="J35" s="134"/>
      <c r="K35" s="132"/>
    </row>
    <row r="36" spans="1:11" ht="21.75" customHeight="1" x14ac:dyDescent="0.5">
      <c r="A36" s="446"/>
      <c r="B36" s="429" t="s">
        <v>145</v>
      </c>
      <c r="C36" s="432">
        <v>10</v>
      </c>
      <c r="D36" s="386" t="s">
        <v>39</v>
      </c>
      <c r="E36" s="447">
        <v>2460</v>
      </c>
      <c r="F36" s="448">
        <f t="shared" si="0"/>
        <v>24600</v>
      </c>
      <c r="G36" s="448">
        <v>0</v>
      </c>
      <c r="H36" s="448">
        <f t="shared" si="1"/>
        <v>0</v>
      </c>
      <c r="I36" s="448">
        <f t="shared" si="2"/>
        <v>24600</v>
      </c>
      <c r="J36" s="134"/>
      <c r="K36" s="132"/>
    </row>
    <row r="37" spans="1:11" ht="21.75" customHeight="1" x14ac:dyDescent="0.5">
      <c r="A37" s="446"/>
      <c r="B37" s="429" t="s">
        <v>146</v>
      </c>
      <c r="C37" s="432">
        <v>2</v>
      </c>
      <c r="D37" s="386" t="s">
        <v>39</v>
      </c>
      <c r="E37" s="447">
        <v>2460</v>
      </c>
      <c r="F37" s="448">
        <f t="shared" si="0"/>
        <v>4920</v>
      </c>
      <c r="G37" s="448">
        <v>0</v>
      </c>
      <c r="H37" s="448">
        <f t="shared" si="1"/>
        <v>0</v>
      </c>
      <c r="I37" s="448">
        <f t="shared" si="2"/>
        <v>4920</v>
      </c>
      <c r="J37" s="134"/>
      <c r="K37" s="132"/>
    </row>
    <row r="38" spans="1:11" ht="21.75" customHeight="1" x14ac:dyDescent="0.5">
      <c r="A38" s="446"/>
      <c r="B38" s="429" t="s">
        <v>147</v>
      </c>
      <c r="C38" s="432">
        <v>1</v>
      </c>
      <c r="D38" s="386" t="s">
        <v>39</v>
      </c>
      <c r="E38" s="447">
        <v>2460</v>
      </c>
      <c r="F38" s="448">
        <f t="shared" si="0"/>
        <v>2460</v>
      </c>
      <c r="G38" s="448">
        <v>0</v>
      </c>
      <c r="H38" s="448">
        <f t="shared" si="1"/>
        <v>0</v>
      </c>
      <c r="I38" s="448">
        <f t="shared" si="2"/>
        <v>2460</v>
      </c>
      <c r="J38" s="134"/>
      <c r="K38" s="132"/>
    </row>
    <row r="39" spans="1:11" ht="21.75" customHeight="1" x14ac:dyDescent="0.5">
      <c r="A39" s="446"/>
      <c r="B39" s="429" t="s">
        <v>205</v>
      </c>
      <c r="C39" s="432">
        <v>1</v>
      </c>
      <c r="D39" s="386" t="s">
        <v>39</v>
      </c>
      <c r="E39" s="447">
        <v>557</v>
      </c>
      <c r="F39" s="448">
        <f t="shared" si="0"/>
        <v>557</v>
      </c>
      <c r="G39" s="448">
        <v>0</v>
      </c>
      <c r="H39" s="448">
        <f t="shared" si="1"/>
        <v>0</v>
      </c>
      <c r="I39" s="448">
        <f t="shared" si="2"/>
        <v>557</v>
      </c>
      <c r="J39" s="134"/>
      <c r="K39" s="132"/>
    </row>
    <row r="40" spans="1:11" ht="21.75" customHeight="1" x14ac:dyDescent="0.5">
      <c r="A40" s="446"/>
      <c r="B40" s="429" t="s">
        <v>148</v>
      </c>
      <c r="C40" s="432">
        <v>114</v>
      </c>
      <c r="D40" s="386" t="s">
        <v>33</v>
      </c>
      <c r="E40" s="447">
        <v>71</v>
      </c>
      <c r="F40" s="448">
        <f t="shared" si="0"/>
        <v>8094</v>
      </c>
      <c r="G40" s="448">
        <v>25</v>
      </c>
      <c r="H40" s="448">
        <f t="shared" si="1"/>
        <v>2850</v>
      </c>
      <c r="I40" s="448">
        <f t="shared" si="2"/>
        <v>10944</v>
      </c>
      <c r="J40" s="134"/>
      <c r="K40" s="132"/>
    </row>
    <row r="41" spans="1:11" ht="21.75" customHeight="1" x14ac:dyDescent="0.5">
      <c r="A41" s="449"/>
      <c r="B41" s="429" t="s">
        <v>149</v>
      </c>
      <c r="C41" s="432">
        <v>57</v>
      </c>
      <c r="D41" s="386" t="s">
        <v>127</v>
      </c>
      <c r="E41" s="447">
        <v>49</v>
      </c>
      <c r="F41" s="448">
        <f t="shared" si="0"/>
        <v>2793</v>
      </c>
      <c r="G41" s="448">
        <v>20</v>
      </c>
      <c r="H41" s="448">
        <f t="shared" si="1"/>
        <v>1140</v>
      </c>
      <c r="I41" s="448">
        <f t="shared" si="2"/>
        <v>3933</v>
      </c>
      <c r="J41" s="134"/>
      <c r="K41" s="132"/>
    </row>
    <row r="42" spans="1:11" ht="21.75" customHeight="1" x14ac:dyDescent="0.5">
      <c r="A42" s="449"/>
      <c r="B42" s="429" t="s">
        <v>180</v>
      </c>
      <c r="C42" s="432">
        <v>526</v>
      </c>
      <c r="D42" s="386" t="s">
        <v>127</v>
      </c>
      <c r="E42" s="450">
        <v>56.45</v>
      </c>
      <c r="F42" s="448">
        <f t="shared" si="0"/>
        <v>29692.7</v>
      </c>
      <c r="G42" s="448">
        <v>15</v>
      </c>
      <c r="H42" s="448">
        <f t="shared" si="1"/>
        <v>7890</v>
      </c>
      <c r="I42" s="448">
        <f t="shared" si="2"/>
        <v>37582.699999999997</v>
      </c>
      <c r="J42" s="134"/>
      <c r="K42" s="132"/>
    </row>
    <row r="43" spans="1:11" ht="21.75" customHeight="1" x14ac:dyDescent="0.5">
      <c r="A43" s="449"/>
      <c r="B43" s="429" t="s">
        <v>150</v>
      </c>
      <c r="C43" s="451">
        <v>30</v>
      </c>
      <c r="D43" s="386" t="s">
        <v>127</v>
      </c>
      <c r="E43" s="450">
        <v>228.59</v>
      </c>
      <c r="F43" s="448">
        <f t="shared" si="0"/>
        <v>6857.7</v>
      </c>
      <c r="G43" s="448">
        <v>55</v>
      </c>
      <c r="H43" s="448">
        <f t="shared" si="1"/>
        <v>1650</v>
      </c>
      <c r="I43" s="448">
        <f t="shared" si="2"/>
        <v>8507.7000000000007</v>
      </c>
      <c r="J43" s="134"/>
      <c r="K43" s="132"/>
    </row>
    <row r="44" spans="1:11" ht="21.75" customHeight="1" x14ac:dyDescent="0.5">
      <c r="A44" s="449"/>
      <c r="B44" s="429" t="s">
        <v>151</v>
      </c>
      <c r="C44" s="432">
        <v>20</v>
      </c>
      <c r="D44" s="386" t="s">
        <v>127</v>
      </c>
      <c r="E44" s="447">
        <v>53</v>
      </c>
      <c r="F44" s="448">
        <f t="shared" si="0"/>
        <v>1060</v>
      </c>
      <c r="G44" s="448">
        <v>22</v>
      </c>
      <c r="H44" s="448">
        <f t="shared" si="1"/>
        <v>440</v>
      </c>
      <c r="I44" s="448">
        <f t="shared" si="2"/>
        <v>1500</v>
      </c>
      <c r="J44" s="134"/>
      <c r="K44" s="132">
        <f>18*358</f>
        <v>6444</v>
      </c>
    </row>
    <row r="45" spans="1:11" ht="21.75" customHeight="1" x14ac:dyDescent="0.5">
      <c r="A45" s="452"/>
      <c r="B45" s="453" t="s">
        <v>152</v>
      </c>
      <c r="C45" s="454">
        <v>358</v>
      </c>
      <c r="D45" s="455" t="s">
        <v>127</v>
      </c>
      <c r="E45" s="456">
        <v>16</v>
      </c>
      <c r="F45" s="457">
        <f t="shared" si="0"/>
        <v>5728</v>
      </c>
      <c r="G45" s="457">
        <v>18</v>
      </c>
      <c r="H45" s="457">
        <f t="shared" si="1"/>
        <v>6444</v>
      </c>
      <c r="I45" s="457">
        <f t="shared" si="2"/>
        <v>12172</v>
      </c>
      <c r="J45" s="188"/>
      <c r="K45" s="176"/>
    </row>
    <row r="46" spans="1:11" ht="21.75" customHeight="1" x14ac:dyDescent="0.5">
      <c r="A46" s="449"/>
      <c r="B46" s="429" t="s">
        <v>153</v>
      </c>
      <c r="C46" s="432">
        <v>24</v>
      </c>
      <c r="D46" s="386" t="s">
        <v>47</v>
      </c>
      <c r="E46" s="447">
        <v>1740</v>
      </c>
      <c r="F46" s="448">
        <f t="shared" si="0"/>
        <v>41760</v>
      </c>
      <c r="G46" s="448">
        <v>165</v>
      </c>
      <c r="H46" s="448">
        <f t="shared" si="1"/>
        <v>3960</v>
      </c>
      <c r="I46" s="448">
        <f t="shared" si="2"/>
        <v>45720</v>
      </c>
      <c r="J46" s="165"/>
      <c r="K46" s="176"/>
    </row>
    <row r="47" spans="1:11" ht="21.75" customHeight="1" x14ac:dyDescent="0.5">
      <c r="A47" s="458"/>
      <c r="B47" s="459" t="s">
        <v>154</v>
      </c>
      <c r="C47" s="441">
        <v>4</v>
      </c>
      <c r="D47" s="442" t="s">
        <v>47</v>
      </c>
      <c r="E47" s="460">
        <v>800</v>
      </c>
      <c r="F47" s="461">
        <f t="shared" si="0"/>
        <v>3200</v>
      </c>
      <c r="G47" s="461">
        <v>0</v>
      </c>
      <c r="H47" s="461">
        <f t="shared" si="1"/>
        <v>0</v>
      </c>
      <c r="I47" s="461">
        <f t="shared" si="2"/>
        <v>3200</v>
      </c>
      <c r="J47" s="166"/>
      <c r="K47" s="176">
        <f>SUM(I32:I47)</f>
        <v>169103.4</v>
      </c>
    </row>
    <row r="48" spans="1:11" ht="21.75" customHeight="1" x14ac:dyDescent="0.5">
      <c r="A48" s="462"/>
      <c r="B48" s="463"/>
      <c r="C48" s="464"/>
      <c r="D48" s="465"/>
      <c r="E48" s="466"/>
      <c r="F48" s="467"/>
      <c r="G48" s="467"/>
      <c r="H48" s="467"/>
      <c r="I48" s="467"/>
      <c r="J48" s="163"/>
      <c r="K48" s="176"/>
    </row>
    <row r="49" spans="1:11" ht="27.75" x14ac:dyDescent="0.65">
      <c r="A49" s="5" t="s">
        <v>0</v>
      </c>
      <c r="B49" s="729" t="s">
        <v>7</v>
      </c>
      <c r="C49" s="729"/>
      <c r="D49" s="729"/>
      <c r="E49" s="729"/>
      <c r="F49" s="729"/>
      <c r="G49" s="729"/>
      <c r="H49" s="729"/>
      <c r="I49" s="729"/>
      <c r="J49" s="5"/>
      <c r="K49" s="132"/>
    </row>
    <row r="50" spans="1:11" ht="21.75" customHeight="1" x14ac:dyDescent="0.5">
      <c r="A50" s="730" t="s">
        <v>247</v>
      </c>
      <c r="B50" s="730"/>
      <c r="C50" s="730"/>
      <c r="D50" s="730"/>
      <c r="E50" s="730"/>
      <c r="F50" s="730"/>
      <c r="G50" s="730"/>
      <c r="H50" s="730"/>
      <c r="I50" s="730"/>
      <c r="J50"/>
      <c r="K50" s="132"/>
    </row>
    <row r="51" spans="1:11" ht="21.75" customHeight="1" x14ac:dyDescent="0.5">
      <c r="A51" s="730" t="s">
        <v>20</v>
      </c>
      <c r="B51" s="730"/>
      <c r="C51" s="730"/>
      <c r="D51" s="730"/>
      <c r="E51" s="730"/>
      <c r="F51" s="730"/>
      <c r="G51" s="730"/>
      <c r="H51" s="730"/>
      <c r="I51" s="730"/>
      <c r="J51"/>
      <c r="K51" s="132"/>
    </row>
    <row r="52" spans="1:11" ht="21.75" customHeight="1" x14ac:dyDescent="0.5">
      <c r="A52" s="730" t="s">
        <v>201</v>
      </c>
      <c r="B52" s="730"/>
      <c r="C52" s="730"/>
      <c r="D52" s="730"/>
      <c r="E52" s="730"/>
      <c r="F52" s="730"/>
      <c r="G52" s="730"/>
      <c r="H52" s="730"/>
      <c r="I52" s="730"/>
      <c r="J52"/>
      <c r="K52" s="132"/>
    </row>
    <row r="53" spans="1:11" ht="21.75" customHeight="1" x14ac:dyDescent="0.5">
      <c r="A53" s="731" t="s">
        <v>332</v>
      </c>
      <c r="B53" s="731"/>
      <c r="C53" s="731"/>
      <c r="D53" s="731"/>
      <c r="E53" s="731"/>
      <c r="F53" s="731"/>
      <c r="G53" s="731"/>
      <c r="H53" s="731"/>
      <c r="I53" s="731"/>
      <c r="J53" s="20" t="s">
        <v>237</v>
      </c>
      <c r="K53" s="132"/>
    </row>
    <row r="54" spans="1:11" ht="21.75" customHeight="1" x14ac:dyDescent="0.5">
      <c r="A54" s="762" t="s">
        <v>119</v>
      </c>
      <c r="B54" s="762" t="s">
        <v>1</v>
      </c>
      <c r="C54" s="762" t="s">
        <v>4</v>
      </c>
      <c r="D54" s="762" t="s">
        <v>2</v>
      </c>
      <c r="E54" s="741" t="s">
        <v>5</v>
      </c>
      <c r="F54" s="741"/>
      <c r="G54" s="741" t="s">
        <v>6</v>
      </c>
      <c r="H54" s="741"/>
      <c r="I54" s="762" t="s">
        <v>120</v>
      </c>
      <c r="J54" s="748" t="s">
        <v>8</v>
      </c>
      <c r="K54" s="132"/>
    </row>
    <row r="55" spans="1:11" ht="21.75" customHeight="1" x14ac:dyDescent="0.5">
      <c r="A55" s="763"/>
      <c r="B55" s="763"/>
      <c r="C55" s="763"/>
      <c r="D55" s="763"/>
      <c r="E55" s="415" t="s">
        <v>121</v>
      </c>
      <c r="F55" s="415" t="s">
        <v>122</v>
      </c>
      <c r="G55" s="415" t="s">
        <v>121</v>
      </c>
      <c r="H55" s="415" t="s">
        <v>122</v>
      </c>
      <c r="I55" s="763"/>
      <c r="J55" s="749"/>
      <c r="K55" s="132"/>
    </row>
    <row r="56" spans="1:11" ht="21.75" customHeight="1" x14ac:dyDescent="0.5">
      <c r="A56" s="449"/>
      <c r="B56" s="468" t="s">
        <v>105</v>
      </c>
      <c r="C56" s="432">
        <v>6</v>
      </c>
      <c r="D56" s="386" t="s">
        <v>107</v>
      </c>
      <c r="E56" s="447">
        <v>1740</v>
      </c>
      <c r="F56" s="469">
        <f t="shared" ref="F56:F63" si="3">E56*C56</f>
        <v>10440</v>
      </c>
      <c r="G56" s="469">
        <v>300</v>
      </c>
      <c r="H56" s="469">
        <f t="shared" ref="H56:H63" si="4">C56*G56</f>
        <v>1800</v>
      </c>
      <c r="I56" s="469">
        <f t="shared" ref="I56:I63" si="5">F56+H56</f>
        <v>12240</v>
      </c>
      <c r="J56" s="134"/>
      <c r="K56" s="132"/>
    </row>
    <row r="57" spans="1:11" ht="21.75" customHeight="1" x14ac:dyDescent="0.5">
      <c r="A57" s="449"/>
      <c r="B57" s="468" t="s">
        <v>106</v>
      </c>
      <c r="C57" s="432">
        <v>4</v>
      </c>
      <c r="D57" s="386" t="s">
        <v>107</v>
      </c>
      <c r="E57" s="447">
        <v>1800</v>
      </c>
      <c r="F57" s="469">
        <f t="shared" si="3"/>
        <v>7200</v>
      </c>
      <c r="G57" s="469">
        <v>300</v>
      </c>
      <c r="H57" s="469">
        <f t="shared" si="4"/>
        <v>1200</v>
      </c>
      <c r="I57" s="469">
        <f t="shared" si="5"/>
        <v>8400</v>
      </c>
      <c r="J57" s="134"/>
      <c r="K57" s="132"/>
    </row>
    <row r="58" spans="1:11" ht="21.75" customHeight="1" x14ac:dyDescent="0.5">
      <c r="A58" s="449"/>
      <c r="B58" s="429" t="s">
        <v>155</v>
      </c>
      <c r="C58" s="432">
        <v>3</v>
      </c>
      <c r="D58" s="386" t="s">
        <v>22</v>
      </c>
      <c r="E58" s="447">
        <v>6090</v>
      </c>
      <c r="F58" s="469">
        <f t="shared" si="3"/>
        <v>18270</v>
      </c>
      <c r="G58" s="469">
        <v>550</v>
      </c>
      <c r="H58" s="469">
        <f t="shared" si="4"/>
        <v>1650</v>
      </c>
      <c r="I58" s="469">
        <f t="shared" si="5"/>
        <v>19920</v>
      </c>
      <c r="J58" s="134"/>
      <c r="K58" s="132"/>
    </row>
    <row r="59" spans="1:11" ht="21.75" customHeight="1" x14ac:dyDescent="0.5">
      <c r="A59" s="449"/>
      <c r="B59" s="429" t="s">
        <v>156</v>
      </c>
      <c r="C59" s="432">
        <v>6</v>
      </c>
      <c r="D59" s="386" t="s">
        <v>22</v>
      </c>
      <c r="E59" s="447">
        <v>7070</v>
      </c>
      <c r="F59" s="469">
        <f t="shared" si="3"/>
        <v>42420</v>
      </c>
      <c r="G59" s="469">
        <v>550</v>
      </c>
      <c r="H59" s="469">
        <f t="shared" si="4"/>
        <v>3300</v>
      </c>
      <c r="I59" s="469">
        <f t="shared" si="5"/>
        <v>45720</v>
      </c>
      <c r="J59" s="134"/>
      <c r="K59" s="132"/>
    </row>
    <row r="60" spans="1:11" ht="21.75" customHeight="1" x14ac:dyDescent="0.5">
      <c r="A60" s="449"/>
      <c r="B60" s="468" t="s">
        <v>157</v>
      </c>
      <c r="C60" s="432">
        <v>25</v>
      </c>
      <c r="D60" s="386" t="s">
        <v>108</v>
      </c>
      <c r="E60" s="447">
        <v>78</v>
      </c>
      <c r="F60" s="469">
        <f t="shared" si="3"/>
        <v>1950</v>
      </c>
      <c r="G60" s="469">
        <v>0</v>
      </c>
      <c r="H60" s="469">
        <f t="shared" si="4"/>
        <v>0</v>
      </c>
      <c r="I60" s="469">
        <f t="shared" si="5"/>
        <v>1950</v>
      </c>
      <c r="J60" s="134"/>
      <c r="K60" s="132"/>
    </row>
    <row r="61" spans="1:11" ht="21.75" customHeight="1" x14ac:dyDescent="0.5">
      <c r="A61" s="449"/>
      <c r="B61" s="468" t="s">
        <v>158</v>
      </c>
      <c r="C61" s="429">
        <v>24</v>
      </c>
      <c r="D61" s="386" t="s">
        <v>39</v>
      </c>
      <c r="E61" s="447">
        <v>85</v>
      </c>
      <c r="F61" s="469">
        <f t="shared" si="3"/>
        <v>2040</v>
      </c>
      <c r="G61" s="469">
        <v>0</v>
      </c>
      <c r="H61" s="469">
        <f t="shared" si="4"/>
        <v>0</v>
      </c>
      <c r="I61" s="469">
        <f t="shared" si="5"/>
        <v>2040</v>
      </c>
      <c r="J61" s="134"/>
      <c r="K61" s="132"/>
    </row>
    <row r="62" spans="1:11" ht="21.75" customHeight="1" x14ac:dyDescent="0.5">
      <c r="A62" s="449"/>
      <c r="B62" s="429" t="s">
        <v>178</v>
      </c>
      <c r="C62" s="429">
        <v>2</v>
      </c>
      <c r="D62" s="386" t="s">
        <v>39</v>
      </c>
      <c r="E62" s="447">
        <v>532</v>
      </c>
      <c r="F62" s="469">
        <f t="shared" si="3"/>
        <v>1064</v>
      </c>
      <c r="G62" s="469">
        <v>90</v>
      </c>
      <c r="H62" s="469">
        <f t="shared" si="4"/>
        <v>180</v>
      </c>
      <c r="I62" s="469">
        <f t="shared" si="5"/>
        <v>1244</v>
      </c>
      <c r="J62" s="134"/>
      <c r="K62" s="132"/>
    </row>
    <row r="63" spans="1:11" ht="21.75" customHeight="1" x14ac:dyDescent="0.5">
      <c r="A63" s="449"/>
      <c r="B63" s="429" t="s">
        <v>159</v>
      </c>
      <c r="C63" s="432">
        <v>25</v>
      </c>
      <c r="D63" s="386" t="s">
        <v>39</v>
      </c>
      <c r="E63" s="447">
        <v>498</v>
      </c>
      <c r="F63" s="469">
        <f t="shared" si="3"/>
        <v>12450</v>
      </c>
      <c r="G63" s="469">
        <v>165</v>
      </c>
      <c r="H63" s="469">
        <f t="shared" si="4"/>
        <v>4125</v>
      </c>
      <c r="I63" s="469">
        <f t="shared" si="5"/>
        <v>16575</v>
      </c>
      <c r="J63" s="134"/>
      <c r="K63" s="132"/>
    </row>
    <row r="64" spans="1:11" ht="21.75" customHeight="1" x14ac:dyDescent="0.5">
      <c r="A64" s="449"/>
      <c r="B64" s="470" t="s">
        <v>128</v>
      </c>
      <c r="C64" s="429">
        <v>1</v>
      </c>
      <c r="D64" s="386" t="s">
        <v>89</v>
      </c>
      <c r="E64" s="447"/>
      <c r="F64" s="469"/>
      <c r="G64" s="469"/>
      <c r="H64" s="469"/>
      <c r="I64" s="469">
        <v>4057.97</v>
      </c>
      <c r="J64" s="134"/>
      <c r="K64" s="132"/>
    </row>
    <row r="65" spans="1:11" ht="21.75" customHeight="1" x14ac:dyDescent="0.5">
      <c r="A65" s="449"/>
      <c r="B65" s="429" t="s">
        <v>129</v>
      </c>
      <c r="C65" s="429">
        <v>1</v>
      </c>
      <c r="D65" s="386" t="s">
        <v>89</v>
      </c>
      <c r="E65" s="432"/>
      <c r="F65" s="469"/>
      <c r="G65" s="469"/>
      <c r="H65" s="469"/>
      <c r="I65" s="469">
        <v>4093.7</v>
      </c>
      <c r="J65" s="134"/>
      <c r="K65" s="176">
        <f>SUM(I56:I65)</f>
        <v>116240.67</v>
      </c>
    </row>
    <row r="66" spans="1:11" ht="21.75" customHeight="1" x14ac:dyDescent="0.5">
      <c r="A66" s="471"/>
      <c r="B66" s="472" t="s">
        <v>130</v>
      </c>
      <c r="C66" s="473"/>
      <c r="D66" s="474"/>
      <c r="E66" s="473"/>
      <c r="F66" s="475"/>
      <c r="G66" s="475"/>
      <c r="H66" s="475"/>
      <c r="I66" s="475">
        <f>SUM(K24+K47+K65)</f>
        <v>485344.07</v>
      </c>
      <c r="J66" s="174"/>
      <c r="K66" s="132"/>
    </row>
    <row r="67" spans="1:11" ht="21.75" customHeight="1" x14ac:dyDescent="0.5">
      <c r="A67" s="476">
        <v>2.2000000000000002</v>
      </c>
      <c r="B67" s="477" t="s">
        <v>160</v>
      </c>
      <c r="C67" s="478"/>
      <c r="D67" s="479"/>
      <c r="E67" s="478"/>
      <c r="F67" s="480"/>
      <c r="G67" s="481"/>
      <c r="H67" s="480"/>
      <c r="I67" s="480"/>
      <c r="J67" s="164"/>
      <c r="K67" s="132"/>
    </row>
    <row r="68" spans="1:11" ht="21.75" customHeight="1" x14ac:dyDescent="0.5">
      <c r="A68" s="446"/>
      <c r="B68" s="429" t="s">
        <v>164</v>
      </c>
      <c r="C68" s="429">
        <v>5</v>
      </c>
      <c r="D68" s="386" t="s">
        <v>2</v>
      </c>
      <c r="E68" s="447">
        <v>10100</v>
      </c>
      <c r="F68" s="469">
        <f>SUM(C68*E68)</f>
        <v>50500</v>
      </c>
      <c r="G68" s="469">
        <v>0</v>
      </c>
      <c r="H68" s="469">
        <f>SUM(C68*G68)</f>
        <v>0</v>
      </c>
      <c r="I68" s="469">
        <f>SUM(H68+F68)</f>
        <v>50500</v>
      </c>
      <c r="J68" s="134"/>
      <c r="K68" s="132"/>
    </row>
    <row r="69" spans="1:11" ht="21.75" customHeight="1" x14ac:dyDescent="0.5">
      <c r="A69" s="446"/>
      <c r="B69" s="429" t="s">
        <v>165</v>
      </c>
      <c r="C69" s="753" t="s">
        <v>38</v>
      </c>
      <c r="D69" s="754"/>
      <c r="E69" s="754"/>
      <c r="F69" s="754"/>
      <c r="G69" s="754"/>
      <c r="H69" s="754"/>
      <c r="I69" s="755"/>
      <c r="J69" s="224"/>
      <c r="K69" s="132"/>
    </row>
    <row r="70" spans="1:11" ht="21.75" customHeight="1" x14ac:dyDescent="0.5">
      <c r="A70" s="446"/>
      <c r="B70" s="429" t="s">
        <v>182</v>
      </c>
      <c r="C70" s="756" t="s">
        <v>38</v>
      </c>
      <c r="D70" s="757"/>
      <c r="E70" s="757"/>
      <c r="F70" s="757"/>
      <c r="G70" s="757"/>
      <c r="H70" s="757"/>
      <c r="I70" s="758"/>
      <c r="J70" s="165"/>
      <c r="K70" s="132"/>
    </row>
    <row r="71" spans="1:11" ht="21.75" customHeight="1" x14ac:dyDescent="0.5">
      <c r="A71" s="446"/>
      <c r="B71" s="429" t="s">
        <v>166</v>
      </c>
      <c r="C71" s="429">
        <v>1</v>
      </c>
      <c r="D71" s="386" t="s">
        <v>68</v>
      </c>
      <c r="E71" s="447">
        <v>7800</v>
      </c>
      <c r="F71" s="469">
        <f t="shared" ref="F71" si="6">SUM(C71*E71)</f>
        <v>7800</v>
      </c>
      <c r="G71" s="469">
        <v>0</v>
      </c>
      <c r="H71" s="469">
        <f t="shared" ref="H71" si="7">SUM(C71*G71)</f>
        <v>0</v>
      </c>
      <c r="I71" s="469">
        <f t="shared" ref="I71" si="8">SUM(H71+F71)</f>
        <v>7800</v>
      </c>
      <c r="J71" s="134"/>
      <c r="K71" s="132"/>
    </row>
    <row r="72" spans="1:11" ht="21.75" customHeight="1" x14ac:dyDescent="0.5">
      <c r="A72" s="482"/>
      <c r="B72" s="459" t="s">
        <v>337</v>
      </c>
      <c r="C72" s="759" t="s">
        <v>38</v>
      </c>
      <c r="D72" s="760"/>
      <c r="E72" s="760"/>
      <c r="F72" s="760"/>
      <c r="G72" s="760"/>
      <c r="H72" s="760"/>
      <c r="I72" s="761"/>
      <c r="J72" s="197"/>
      <c r="K72" s="176">
        <f>+I68+I71</f>
        <v>58300</v>
      </c>
    </row>
    <row r="73" spans="1:11" ht="21.75" customHeight="1" x14ac:dyDescent="0.65">
      <c r="A73" s="5" t="s">
        <v>0</v>
      </c>
      <c r="B73" s="729" t="s">
        <v>7</v>
      </c>
      <c r="C73" s="729"/>
      <c r="D73" s="729"/>
      <c r="E73" s="729"/>
      <c r="F73" s="729"/>
      <c r="G73" s="729"/>
      <c r="H73" s="729"/>
      <c r="I73" s="729"/>
      <c r="J73" s="5"/>
      <c r="K73" s="132"/>
    </row>
    <row r="74" spans="1:11" ht="21.75" customHeight="1" x14ac:dyDescent="0.5">
      <c r="A74" s="730" t="s">
        <v>247</v>
      </c>
      <c r="B74" s="730"/>
      <c r="C74" s="730"/>
      <c r="D74" s="730"/>
      <c r="E74" s="730"/>
      <c r="F74" s="730"/>
      <c r="G74" s="730"/>
      <c r="H74" s="730"/>
      <c r="I74" s="730"/>
      <c r="J74"/>
      <c r="K74" s="132"/>
    </row>
    <row r="75" spans="1:11" ht="21.75" customHeight="1" x14ac:dyDescent="0.5">
      <c r="A75" s="730" t="s">
        <v>20</v>
      </c>
      <c r="B75" s="730"/>
      <c r="C75" s="730"/>
      <c r="D75" s="730"/>
      <c r="E75" s="730"/>
      <c r="F75" s="730"/>
      <c r="G75" s="730"/>
      <c r="H75" s="730"/>
      <c r="I75" s="730"/>
      <c r="J75"/>
      <c r="K75" s="132"/>
    </row>
    <row r="76" spans="1:11" ht="21.75" customHeight="1" x14ac:dyDescent="0.5">
      <c r="A76" s="730" t="s">
        <v>201</v>
      </c>
      <c r="B76" s="730"/>
      <c r="C76" s="730"/>
      <c r="D76" s="730"/>
      <c r="E76" s="730"/>
      <c r="F76" s="730"/>
      <c r="G76" s="730"/>
      <c r="H76" s="730"/>
      <c r="I76" s="730"/>
      <c r="J76"/>
      <c r="K76" s="132"/>
    </row>
    <row r="77" spans="1:11" ht="21.75" customHeight="1" x14ac:dyDescent="0.5">
      <c r="A77" s="731" t="s">
        <v>332</v>
      </c>
      <c r="B77" s="731"/>
      <c r="C77" s="731"/>
      <c r="D77" s="731"/>
      <c r="E77" s="731"/>
      <c r="F77" s="731"/>
      <c r="G77" s="731"/>
      <c r="H77" s="731"/>
      <c r="I77" s="731"/>
      <c r="J77" s="20" t="s">
        <v>238</v>
      </c>
      <c r="K77" s="132"/>
    </row>
    <row r="78" spans="1:11" ht="21.75" customHeight="1" x14ac:dyDescent="0.5">
      <c r="A78" s="762" t="s">
        <v>119</v>
      </c>
      <c r="B78" s="762" t="s">
        <v>1</v>
      </c>
      <c r="C78" s="762" t="s">
        <v>4</v>
      </c>
      <c r="D78" s="762" t="s">
        <v>2</v>
      </c>
      <c r="E78" s="741" t="s">
        <v>5</v>
      </c>
      <c r="F78" s="741"/>
      <c r="G78" s="741" t="s">
        <v>6</v>
      </c>
      <c r="H78" s="741"/>
      <c r="I78" s="762" t="s">
        <v>120</v>
      </c>
      <c r="J78" s="748" t="s">
        <v>8</v>
      </c>
      <c r="K78" s="132"/>
    </row>
    <row r="79" spans="1:11" ht="21.75" customHeight="1" x14ac:dyDescent="0.5">
      <c r="A79" s="763"/>
      <c r="B79" s="763"/>
      <c r="C79" s="763"/>
      <c r="D79" s="763"/>
      <c r="E79" s="415" t="s">
        <v>121</v>
      </c>
      <c r="F79" s="415" t="s">
        <v>122</v>
      </c>
      <c r="G79" s="415" t="s">
        <v>121</v>
      </c>
      <c r="H79" s="415" t="s">
        <v>122</v>
      </c>
      <c r="I79" s="763"/>
      <c r="J79" s="749"/>
      <c r="K79" s="132"/>
    </row>
    <row r="80" spans="1:11" ht="21.75" customHeight="1" x14ac:dyDescent="0.5">
      <c r="A80" s="446"/>
      <c r="B80" s="429" t="s">
        <v>167</v>
      </c>
      <c r="C80" s="429">
        <v>5</v>
      </c>
      <c r="D80" s="386" t="s">
        <v>39</v>
      </c>
      <c r="E80" s="447">
        <v>2500</v>
      </c>
      <c r="F80" s="469">
        <f t="shared" ref="F80" si="9">SUM(C80*E80)</f>
        <v>12500</v>
      </c>
      <c r="G80" s="469">
        <v>0</v>
      </c>
      <c r="H80" s="469">
        <f t="shared" ref="H80" si="10">SUM(C80*G80)</f>
        <v>0</v>
      </c>
      <c r="I80" s="469">
        <f t="shared" ref="I80:I86" si="11">SUM(H80+F80)</f>
        <v>12500</v>
      </c>
      <c r="J80" s="134"/>
      <c r="K80" s="132"/>
    </row>
    <row r="81" spans="1:11" ht="21.75" customHeight="1" x14ac:dyDescent="0.5">
      <c r="A81" s="446"/>
      <c r="B81" s="429" t="s">
        <v>168</v>
      </c>
      <c r="C81" s="429">
        <v>1</v>
      </c>
      <c r="D81" s="386" t="s">
        <v>89</v>
      </c>
      <c r="E81" s="469">
        <v>141400</v>
      </c>
      <c r="F81" s="483" t="s">
        <v>126</v>
      </c>
      <c r="G81" s="483" t="s">
        <v>126</v>
      </c>
      <c r="H81" s="483" t="s">
        <v>126</v>
      </c>
      <c r="I81" s="469">
        <v>141400</v>
      </c>
      <c r="J81" s="134"/>
      <c r="K81" s="132"/>
    </row>
    <row r="82" spans="1:11" ht="21.75" customHeight="1" x14ac:dyDescent="0.5">
      <c r="A82" s="446"/>
      <c r="B82" s="429" t="s">
        <v>169</v>
      </c>
      <c r="C82" s="429"/>
      <c r="D82" s="386"/>
      <c r="E82" s="447"/>
      <c r="F82" s="469"/>
      <c r="G82" s="469"/>
      <c r="H82" s="469"/>
      <c r="I82" s="469">
        <f t="shared" si="11"/>
        <v>0</v>
      </c>
      <c r="J82" s="134"/>
      <c r="K82" s="132"/>
    </row>
    <row r="83" spans="1:11" ht="21.75" customHeight="1" x14ac:dyDescent="0.5">
      <c r="A83" s="446"/>
      <c r="B83" s="429" t="s">
        <v>170</v>
      </c>
      <c r="C83" s="429"/>
      <c r="D83" s="386"/>
      <c r="E83" s="447"/>
      <c r="F83" s="469"/>
      <c r="G83" s="469"/>
      <c r="H83" s="469"/>
      <c r="I83" s="469">
        <f t="shared" si="11"/>
        <v>0</v>
      </c>
      <c r="J83" s="134"/>
      <c r="K83" s="132"/>
    </row>
    <row r="84" spans="1:11" ht="21.75" customHeight="1" x14ac:dyDescent="0.5">
      <c r="A84" s="446"/>
      <c r="B84" s="429" t="s">
        <v>244</v>
      </c>
      <c r="C84" s="429"/>
      <c r="D84" s="386"/>
      <c r="E84" s="447"/>
      <c r="F84" s="469"/>
      <c r="G84" s="469"/>
      <c r="H84" s="469"/>
      <c r="I84" s="469">
        <f t="shared" si="11"/>
        <v>0</v>
      </c>
      <c r="J84" s="134"/>
      <c r="K84" s="132"/>
    </row>
    <row r="85" spans="1:11" ht="21.75" customHeight="1" x14ac:dyDescent="0.5">
      <c r="A85" s="446"/>
      <c r="B85" s="429" t="s">
        <v>171</v>
      </c>
      <c r="C85" s="429"/>
      <c r="D85" s="386"/>
      <c r="E85" s="447"/>
      <c r="F85" s="469"/>
      <c r="G85" s="469"/>
      <c r="H85" s="469"/>
      <c r="I85" s="469">
        <f t="shared" si="11"/>
        <v>0</v>
      </c>
      <c r="J85" s="134"/>
      <c r="K85" s="132"/>
    </row>
    <row r="86" spans="1:11" ht="21.75" customHeight="1" x14ac:dyDescent="0.5">
      <c r="A86" s="482"/>
      <c r="B86" s="429" t="s">
        <v>172</v>
      </c>
      <c r="C86" s="459"/>
      <c r="D86" s="442"/>
      <c r="E86" s="460"/>
      <c r="F86" s="445"/>
      <c r="G86" s="445"/>
      <c r="H86" s="445"/>
      <c r="I86" s="469">
        <f t="shared" si="11"/>
        <v>0</v>
      </c>
      <c r="J86" s="197"/>
      <c r="K86" s="176">
        <f>+I80+I81</f>
        <v>153900</v>
      </c>
    </row>
    <row r="87" spans="1:11" ht="21.75" customHeight="1" x14ac:dyDescent="0.5">
      <c r="A87" s="135"/>
      <c r="B87" s="175" t="s">
        <v>161</v>
      </c>
      <c r="C87" s="193"/>
      <c r="D87" s="194"/>
      <c r="E87" s="195"/>
      <c r="F87" s="196"/>
      <c r="G87" s="196"/>
      <c r="H87" s="196"/>
      <c r="I87" s="136">
        <f>+K72+K86</f>
        <v>212200</v>
      </c>
      <c r="J87" s="135"/>
      <c r="K87" s="132"/>
    </row>
    <row r="88" spans="1:11" ht="21.75" customHeight="1" x14ac:dyDescent="0.5">
      <c r="A88" s="168"/>
      <c r="B88" s="198" t="s">
        <v>131</v>
      </c>
      <c r="C88" s="169"/>
      <c r="D88" s="170"/>
      <c r="E88" s="169"/>
      <c r="F88" s="171"/>
      <c r="G88" s="171"/>
      <c r="H88" s="171"/>
      <c r="I88" s="171">
        <f>+I66+I87</f>
        <v>697544.07000000007</v>
      </c>
      <c r="J88" s="168"/>
      <c r="K88" s="132"/>
    </row>
    <row r="89" spans="1:11" ht="21.75" customHeight="1" x14ac:dyDescent="0.5">
      <c r="A89" s="210"/>
      <c r="B89" s="211"/>
      <c r="C89" s="172"/>
      <c r="D89" s="191"/>
      <c r="E89" s="212"/>
      <c r="F89" s="173"/>
      <c r="G89" s="173"/>
      <c r="H89" s="173"/>
      <c r="I89" s="173"/>
      <c r="J89" s="213"/>
      <c r="K89" s="132"/>
    </row>
    <row r="90" spans="1:11" ht="21.75" customHeight="1" x14ac:dyDescent="0.5">
      <c r="A90" s="144"/>
      <c r="B90" s="199"/>
      <c r="C90" s="161"/>
      <c r="D90" s="187"/>
      <c r="E90" s="200"/>
      <c r="F90" s="162"/>
      <c r="G90" s="162"/>
      <c r="H90" s="162"/>
      <c r="I90" s="162"/>
      <c r="J90" s="163"/>
      <c r="K90" s="132"/>
    </row>
    <row r="91" spans="1:11" ht="21.75" customHeight="1" x14ac:dyDescent="0.65">
      <c r="A91" s="201"/>
      <c r="B91" s="750"/>
      <c r="C91" s="750"/>
      <c r="D91" s="750"/>
      <c r="E91" s="750"/>
      <c r="F91" s="750"/>
      <c r="G91" s="750"/>
      <c r="H91" s="750"/>
      <c r="I91" s="750"/>
      <c r="J91" s="201"/>
      <c r="K91" s="132"/>
    </row>
    <row r="92" spans="1:11" ht="21.75" customHeight="1" x14ac:dyDescent="0.5">
      <c r="A92" s="766"/>
      <c r="B92" s="766"/>
      <c r="C92" s="766"/>
      <c r="D92" s="766"/>
      <c r="E92" s="766"/>
      <c r="F92" s="766"/>
      <c r="G92" s="766"/>
      <c r="H92" s="766"/>
      <c r="I92" s="766"/>
      <c r="J92" s="202"/>
      <c r="K92" s="132"/>
    </row>
    <row r="93" spans="1:11" ht="21.75" customHeight="1" x14ac:dyDescent="0.5">
      <c r="A93" s="766"/>
      <c r="B93" s="766"/>
      <c r="C93" s="766"/>
      <c r="D93" s="766"/>
      <c r="E93" s="766"/>
      <c r="F93" s="766"/>
      <c r="G93" s="766"/>
      <c r="H93" s="766"/>
      <c r="I93" s="766"/>
      <c r="J93" s="202"/>
      <c r="K93" s="132"/>
    </row>
    <row r="94" spans="1:11" ht="21.75" customHeight="1" x14ac:dyDescent="0.5">
      <c r="A94" s="766"/>
      <c r="B94" s="766"/>
      <c r="C94" s="766"/>
      <c r="D94" s="766"/>
      <c r="E94" s="766"/>
      <c r="F94" s="766"/>
      <c r="G94" s="766"/>
      <c r="H94" s="766"/>
      <c r="I94" s="766"/>
      <c r="J94" s="202"/>
      <c r="K94" s="132"/>
    </row>
    <row r="95" spans="1:11" ht="21.75" customHeight="1" x14ac:dyDescent="0.5">
      <c r="A95" s="766"/>
      <c r="B95" s="766"/>
      <c r="C95" s="766"/>
      <c r="D95" s="766"/>
      <c r="E95" s="766"/>
      <c r="F95" s="766"/>
      <c r="G95" s="766"/>
      <c r="H95" s="766"/>
      <c r="I95" s="766"/>
      <c r="J95" s="203"/>
      <c r="K95" s="132"/>
    </row>
    <row r="96" spans="1:11" ht="21.75" customHeight="1" x14ac:dyDescent="0.5">
      <c r="A96" s="767"/>
      <c r="B96" s="767"/>
      <c r="C96" s="767"/>
      <c r="D96" s="767"/>
      <c r="E96" s="767"/>
      <c r="F96" s="767"/>
      <c r="G96" s="767"/>
      <c r="H96" s="767"/>
      <c r="I96" s="767"/>
      <c r="J96" s="768"/>
      <c r="K96" s="132"/>
    </row>
    <row r="97" spans="1:11" x14ac:dyDescent="0.5">
      <c r="A97" s="767"/>
      <c r="B97" s="767"/>
      <c r="C97" s="767"/>
      <c r="D97" s="767"/>
      <c r="E97" s="204"/>
      <c r="F97" s="204"/>
      <c r="G97" s="204"/>
      <c r="H97" s="204"/>
      <c r="I97" s="767"/>
      <c r="J97" s="768"/>
      <c r="K97" s="132"/>
    </row>
    <row r="98" spans="1:11" x14ac:dyDescent="0.5">
      <c r="A98" s="160"/>
      <c r="B98" s="205"/>
      <c r="C98" s="205"/>
      <c r="D98" s="206"/>
      <c r="E98" s="207"/>
      <c r="F98" s="162"/>
      <c r="G98" s="162"/>
      <c r="H98" s="162"/>
      <c r="I98" s="162"/>
      <c r="J98" s="192"/>
      <c r="K98" s="132"/>
    </row>
    <row r="99" spans="1:11" ht="21.75" customHeight="1" x14ac:dyDescent="0.5">
      <c r="A99" s="192"/>
      <c r="B99" s="205"/>
      <c r="C99" s="205"/>
      <c r="D99" s="206"/>
      <c r="E99" s="200"/>
      <c r="F99" s="162"/>
      <c r="G99" s="162"/>
      <c r="H99" s="162"/>
      <c r="I99" s="162"/>
      <c r="J99" s="192"/>
      <c r="K99" s="176">
        <f>SUM(I98:I99)</f>
        <v>0</v>
      </c>
    </row>
    <row r="100" spans="1:11" ht="21.75" customHeight="1" x14ac:dyDescent="0.5">
      <c r="A100" s="192"/>
      <c r="B100" s="160"/>
      <c r="C100" s="208"/>
      <c r="D100" s="189"/>
      <c r="E100" s="208"/>
      <c r="F100" s="190"/>
      <c r="G100" s="190"/>
      <c r="H100" s="190"/>
      <c r="I100" s="190"/>
      <c r="J100" s="192"/>
      <c r="K100" s="132"/>
    </row>
    <row r="101" spans="1:11" ht="21.75" customHeight="1" x14ac:dyDescent="0.5">
      <c r="A101" s="192"/>
      <c r="B101" s="209"/>
      <c r="C101" s="208"/>
      <c r="D101" s="189"/>
      <c r="E101" s="208"/>
      <c r="F101" s="190"/>
      <c r="G101" s="190"/>
      <c r="H101" s="190"/>
      <c r="I101" s="190"/>
      <c r="J101" s="192"/>
      <c r="K101" s="132"/>
    </row>
    <row r="102" spans="1:11" ht="21.75" customHeight="1" x14ac:dyDescent="0.5">
      <c r="A102" s="192"/>
      <c r="B102" s="160"/>
      <c r="C102" s="208"/>
      <c r="D102" s="189"/>
      <c r="E102" s="208"/>
      <c r="F102" s="190"/>
      <c r="G102" s="190"/>
      <c r="H102" s="190"/>
      <c r="I102" s="190"/>
      <c r="J102" s="192"/>
      <c r="K102" s="132"/>
    </row>
    <row r="103" spans="1:11" ht="21.75" customHeight="1" x14ac:dyDescent="0.5">
      <c r="A103" s="137"/>
      <c r="B103" s="138"/>
      <c r="C103" s="139"/>
      <c r="D103" s="140"/>
      <c r="E103" s="141"/>
      <c r="F103" s="142"/>
      <c r="G103" s="142"/>
      <c r="H103" s="142"/>
      <c r="I103" s="142"/>
      <c r="J103" s="143"/>
      <c r="K103" s="132"/>
    </row>
    <row r="104" spans="1:11" ht="21.75" customHeight="1" x14ac:dyDescent="0.5">
      <c r="A104" s="137"/>
      <c r="B104" s="138"/>
      <c r="C104" s="139"/>
      <c r="D104" s="140"/>
      <c r="E104" s="141"/>
      <c r="F104" s="142"/>
      <c r="G104" s="142"/>
      <c r="H104" s="142"/>
      <c r="I104" s="142"/>
      <c r="J104" s="143"/>
      <c r="K104" s="132"/>
    </row>
    <row r="105" spans="1:11" ht="21.75" customHeight="1" x14ac:dyDescent="0.5">
      <c r="A105" s="137"/>
      <c r="B105" s="138"/>
      <c r="C105" s="139"/>
      <c r="D105" s="140"/>
      <c r="E105" s="141"/>
      <c r="F105" s="142"/>
      <c r="G105" s="142"/>
      <c r="H105" s="142"/>
      <c r="I105" s="142"/>
      <c r="J105" s="143"/>
      <c r="K105" s="132"/>
    </row>
    <row r="106" spans="1:11" ht="21.75" customHeight="1" x14ac:dyDescent="0.5">
      <c r="A106" s="137"/>
      <c r="B106" s="138"/>
      <c r="C106" s="139"/>
      <c r="D106" s="140"/>
      <c r="E106" s="141"/>
      <c r="F106" s="142"/>
      <c r="G106" s="142"/>
      <c r="H106" s="142"/>
      <c r="I106" s="142"/>
      <c r="J106" s="143"/>
      <c r="K106" s="132"/>
    </row>
    <row r="107" spans="1:11" ht="21.75" customHeight="1" x14ac:dyDescent="0.5">
      <c r="A107" s="137"/>
      <c r="B107" s="138"/>
      <c r="C107" s="139"/>
      <c r="D107" s="140"/>
      <c r="E107" s="141"/>
      <c r="F107" s="142"/>
      <c r="G107" s="142"/>
      <c r="H107" s="142"/>
      <c r="I107" s="142"/>
      <c r="J107" s="143"/>
      <c r="K107" s="132"/>
    </row>
    <row r="108" spans="1:11" ht="21.75" customHeight="1" x14ac:dyDescent="0.5">
      <c r="A108" s="137"/>
      <c r="B108" s="138"/>
      <c r="C108" s="139"/>
      <c r="D108" s="140"/>
      <c r="E108" s="141"/>
      <c r="F108" s="142"/>
      <c r="G108" s="142"/>
      <c r="H108" s="142"/>
      <c r="I108" s="142"/>
      <c r="J108" s="143"/>
      <c r="K108" s="132"/>
    </row>
    <row r="109" spans="1:11" ht="21.75" customHeight="1" x14ac:dyDescent="0.5">
      <c r="A109" s="137"/>
      <c r="B109" s="138"/>
      <c r="C109" s="139"/>
      <c r="D109" s="140"/>
      <c r="E109" s="141"/>
      <c r="F109" s="142"/>
      <c r="G109" s="142"/>
      <c r="H109" s="142"/>
      <c r="I109" s="142"/>
      <c r="J109" s="143"/>
      <c r="K109" s="132"/>
    </row>
    <row r="110" spans="1:11" ht="21.75" customHeight="1" x14ac:dyDescent="0.5">
      <c r="A110" s="137"/>
      <c r="B110" s="138"/>
      <c r="C110" s="139"/>
      <c r="D110" s="140"/>
      <c r="E110" s="141"/>
      <c r="F110" s="142"/>
      <c r="G110" s="142"/>
      <c r="H110" s="142"/>
      <c r="I110" s="142"/>
      <c r="J110" s="143"/>
      <c r="K110" s="132"/>
    </row>
    <row r="111" spans="1:11" ht="21.75" customHeight="1" x14ac:dyDescent="0.5">
      <c r="A111" s="144"/>
      <c r="B111" s="138"/>
      <c r="C111" s="139"/>
      <c r="D111" s="140"/>
      <c r="E111" s="141"/>
      <c r="F111" s="142"/>
      <c r="G111" s="142"/>
      <c r="H111" s="142"/>
      <c r="I111" s="142"/>
      <c r="J111" s="145"/>
      <c r="K111" s="132"/>
    </row>
    <row r="112" spans="1:11" ht="21.75" customHeight="1" x14ac:dyDescent="0.5">
      <c r="J112" s="132"/>
      <c r="K112" s="132"/>
    </row>
    <row r="113" spans="10:11" ht="21.75" customHeight="1" x14ac:dyDescent="0.5">
      <c r="J113" s="132"/>
      <c r="K113" s="132"/>
    </row>
    <row r="114" spans="10:11" ht="21.75" customHeight="1" x14ac:dyDescent="0.5">
      <c r="J114" s="132"/>
      <c r="K114" s="132"/>
    </row>
    <row r="115" spans="10:11" ht="21.75" customHeight="1" x14ac:dyDescent="0.5">
      <c r="J115" s="132"/>
      <c r="K115" s="132"/>
    </row>
    <row r="116" spans="10:11" ht="21.75" customHeight="1" x14ac:dyDescent="0.5">
      <c r="J116" s="132"/>
      <c r="K116" s="132"/>
    </row>
    <row r="117" spans="10:11" ht="21.75" customHeight="1" x14ac:dyDescent="0.5">
      <c r="J117" s="132"/>
      <c r="K117" s="132"/>
    </row>
    <row r="118" spans="10:11" ht="21.75" customHeight="1" x14ac:dyDescent="0.5">
      <c r="J118" s="132"/>
      <c r="K118" s="132"/>
    </row>
    <row r="119" spans="10:11" ht="21.75" customHeight="1" x14ac:dyDescent="0.5">
      <c r="J119" s="132"/>
      <c r="K119" s="132"/>
    </row>
    <row r="120" spans="10:11" ht="21.75" customHeight="1" x14ac:dyDescent="0.5">
      <c r="J120" s="132"/>
      <c r="K120" s="132"/>
    </row>
    <row r="121" spans="10:11" x14ac:dyDescent="0.5">
      <c r="J121" s="132"/>
      <c r="K121" s="132"/>
    </row>
    <row r="122" spans="10:11" ht="21.75" customHeight="1" x14ac:dyDescent="0.5">
      <c r="J122" s="132"/>
      <c r="K122" s="132"/>
    </row>
    <row r="123" spans="10:11" ht="21.75" customHeight="1" x14ac:dyDescent="0.5">
      <c r="J123" s="132"/>
      <c r="K123" s="132"/>
    </row>
    <row r="124" spans="10:11" ht="21.75" customHeight="1" x14ac:dyDescent="0.5">
      <c r="J124" s="132"/>
      <c r="K124" s="132"/>
    </row>
    <row r="125" spans="10:11" ht="21.75" customHeight="1" x14ac:dyDescent="0.5">
      <c r="J125" s="132"/>
      <c r="K125" s="132"/>
    </row>
    <row r="126" spans="10:11" ht="21.75" customHeight="1" x14ac:dyDescent="0.5">
      <c r="J126" s="132"/>
      <c r="K126" s="132"/>
    </row>
    <row r="127" spans="10:11" ht="21.75" customHeight="1" x14ac:dyDescent="0.5">
      <c r="J127" s="132"/>
      <c r="K127" s="132"/>
    </row>
    <row r="128" spans="10:11" ht="21.75" customHeight="1" x14ac:dyDescent="0.5">
      <c r="J128" s="132"/>
      <c r="K128" s="132"/>
    </row>
    <row r="129" spans="10:11" ht="21.75" customHeight="1" x14ac:dyDescent="0.5">
      <c r="J129" s="132"/>
      <c r="K129" s="132"/>
    </row>
    <row r="130" spans="10:11" ht="21.75" customHeight="1" x14ac:dyDescent="0.5">
      <c r="J130" s="132"/>
      <c r="K130" s="132"/>
    </row>
    <row r="131" spans="10:11" ht="21.75" customHeight="1" x14ac:dyDescent="0.5">
      <c r="J131" s="132"/>
      <c r="K131" s="132"/>
    </row>
    <row r="132" spans="10:11" ht="21.75" customHeight="1" x14ac:dyDescent="0.5">
      <c r="J132" s="132"/>
      <c r="K132" s="132"/>
    </row>
    <row r="133" spans="10:11" ht="21.75" customHeight="1" x14ac:dyDescent="0.5">
      <c r="J133" s="132"/>
      <c r="K133" s="132"/>
    </row>
    <row r="134" spans="10:11" ht="21.75" customHeight="1" x14ac:dyDescent="0.5">
      <c r="J134" s="132"/>
      <c r="K134" s="132"/>
    </row>
    <row r="135" spans="10:11" ht="21.75" customHeight="1" x14ac:dyDescent="0.5">
      <c r="J135" s="132"/>
      <c r="K135" s="132"/>
    </row>
    <row r="136" spans="10:11" ht="21.75" customHeight="1" x14ac:dyDescent="0.5">
      <c r="J136" s="132"/>
      <c r="K136" s="132"/>
    </row>
    <row r="137" spans="10:11" ht="21.75" customHeight="1" x14ac:dyDescent="0.5">
      <c r="J137" s="132"/>
      <c r="K137" s="132"/>
    </row>
    <row r="138" spans="10:11" ht="21.75" customHeight="1" x14ac:dyDescent="0.5">
      <c r="J138" s="132"/>
      <c r="K138" s="132"/>
    </row>
    <row r="139" spans="10:11" ht="21.75" customHeight="1" x14ac:dyDescent="0.5">
      <c r="J139" s="132"/>
      <c r="K139" s="132"/>
    </row>
    <row r="140" spans="10:11" ht="21.75" customHeight="1" x14ac:dyDescent="0.5">
      <c r="J140" s="132"/>
      <c r="K140" s="132"/>
    </row>
    <row r="141" spans="10:11" ht="21.75" customHeight="1" x14ac:dyDescent="0.5">
      <c r="J141" s="132"/>
      <c r="K141" s="132"/>
    </row>
    <row r="142" spans="10:11" x14ac:dyDescent="0.5">
      <c r="J142" s="132"/>
      <c r="K142" s="132"/>
    </row>
    <row r="143" spans="10:11" ht="21.75" customHeight="1" x14ac:dyDescent="0.5">
      <c r="J143" s="132"/>
      <c r="K143" s="132"/>
    </row>
    <row r="144" spans="10:11" ht="21.75" customHeight="1" x14ac:dyDescent="0.5">
      <c r="J144" s="132"/>
      <c r="K144" s="132"/>
    </row>
    <row r="145" spans="10:11" ht="21.75" customHeight="1" x14ac:dyDescent="0.5">
      <c r="J145" s="132"/>
      <c r="K145" s="132"/>
    </row>
    <row r="146" spans="10:11" ht="21.75" customHeight="1" x14ac:dyDescent="0.5">
      <c r="J146" s="132"/>
      <c r="K146" s="132"/>
    </row>
    <row r="147" spans="10:11" ht="21.75" customHeight="1" x14ac:dyDescent="0.5">
      <c r="J147" s="132"/>
      <c r="K147" s="132"/>
    </row>
    <row r="148" spans="10:11" ht="21.75" customHeight="1" x14ac:dyDescent="0.5">
      <c r="J148" s="132"/>
      <c r="K148" s="132"/>
    </row>
    <row r="149" spans="10:11" ht="21.75" customHeight="1" x14ac:dyDescent="0.5">
      <c r="J149" s="132"/>
      <c r="K149" s="132"/>
    </row>
    <row r="150" spans="10:11" ht="21.75" customHeight="1" x14ac:dyDescent="0.5">
      <c r="J150" s="132"/>
      <c r="K150" s="132"/>
    </row>
    <row r="151" spans="10:11" ht="21.75" customHeight="1" x14ac:dyDescent="0.5">
      <c r="J151" s="132"/>
      <c r="K151" s="132"/>
    </row>
    <row r="152" spans="10:11" ht="21.75" customHeight="1" x14ac:dyDescent="0.5">
      <c r="J152" s="132"/>
      <c r="K152" s="132"/>
    </row>
    <row r="153" spans="10:11" ht="21.75" customHeight="1" x14ac:dyDescent="0.5">
      <c r="J153" s="132"/>
      <c r="K153" s="132"/>
    </row>
    <row r="154" spans="10:11" ht="21.75" customHeight="1" x14ac:dyDescent="0.5">
      <c r="J154" s="132"/>
      <c r="K154" s="132"/>
    </row>
    <row r="155" spans="10:11" ht="21.75" customHeight="1" x14ac:dyDescent="0.5">
      <c r="J155" s="132"/>
      <c r="K155" s="132"/>
    </row>
    <row r="156" spans="10:11" ht="21.75" customHeight="1" x14ac:dyDescent="0.5">
      <c r="J156" s="132"/>
      <c r="K156" s="132"/>
    </row>
    <row r="157" spans="10:11" ht="21.75" customHeight="1" x14ac:dyDescent="0.5">
      <c r="J157" s="132"/>
      <c r="K157" s="132"/>
    </row>
    <row r="158" spans="10:11" ht="21.75" customHeight="1" x14ac:dyDescent="0.5">
      <c r="J158" s="132"/>
      <c r="K158" s="132"/>
    </row>
    <row r="159" spans="10:11" ht="21.75" customHeight="1" x14ac:dyDescent="0.5">
      <c r="J159" s="132"/>
      <c r="K159" s="132"/>
    </row>
    <row r="160" spans="10:11" ht="21.75" customHeight="1" x14ac:dyDescent="0.5">
      <c r="J160" s="132"/>
      <c r="K160" s="132"/>
    </row>
    <row r="161" spans="1:244" ht="21.75" customHeight="1" x14ac:dyDescent="0.5">
      <c r="J161" s="132"/>
      <c r="K161" s="132"/>
    </row>
    <row r="162" spans="1:244" ht="21.75" customHeight="1" x14ac:dyDescent="0.5">
      <c r="J162" s="132"/>
      <c r="K162" s="132"/>
    </row>
    <row r="163" spans="1:244" ht="21.75" customHeight="1" x14ac:dyDescent="0.5">
      <c r="J163" s="132"/>
      <c r="K163" s="132"/>
    </row>
    <row r="164" spans="1:244" ht="21.75" customHeight="1" x14ac:dyDescent="0.5">
      <c r="J164" s="132"/>
      <c r="K164" s="132"/>
    </row>
    <row r="165" spans="1:244" s="147" customFormat="1" ht="21.75" customHeight="1" x14ac:dyDescent="0.5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  <c r="DS165" s="132"/>
      <c r="DT165" s="132"/>
      <c r="DU165" s="132"/>
      <c r="DV165" s="132"/>
      <c r="DW165" s="132"/>
      <c r="DX165" s="132"/>
      <c r="DY165" s="132"/>
      <c r="DZ165" s="132"/>
      <c r="EA165" s="132"/>
      <c r="EB165" s="132"/>
      <c r="EC165" s="132"/>
      <c r="ED165" s="132"/>
      <c r="EE165" s="132"/>
      <c r="EF165" s="132"/>
      <c r="EG165" s="132"/>
      <c r="EH165" s="132"/>
      <c r="EI165" s="132"/>
      <c r="EJ165" s="132"/>
      <c r="EK165" s="132"/>
      <c r="EL165" s="132"/>
      <c r="EM165" s="132"/>
      <c r="EN165" s="132"/>
      <c r="EO165" s="132"/>
      <c r="EP165" s="132"/>
      <c r="EQ165" s="132"/>
      <c r="ER165" s="132"/>
      <c r="ES165" s="132"/>
      <c r="ET165" s="132"/>
      <c r="EU165" s="132"/>
      <c r="EV165" s="132"/>
      <c r="EW165" s="132"/>
      <c r="EX165" s="132"/>
      <c r="EY165" s="132"/>
      <c r="EZ165" s="132"/>
      <c r="FA165" s="132"/>
      <c r="FB165" s="132"/>
      <c r="FC165" s="132"/>
      <c r="FD165" s="132"/>
      <c r="FE165" s="132"/>
      <c r="FF165" s="132"/>
      <c r="FG165" s="132"/>
      <c r="FH165" s="132"/>
      <c r="FI165" s="132"/>
      <c r="FJ165" s="132"/>
      <c r="FK165" s="132"/>
      <c r="FL165" s="132"/>
      <c r="FM165" s="132"/>
      <c r="FN165" s="132"/>
      <c r="FO165" s="132"/>
      <c r="FP165" s="132"/>
      <c r="FQ165" s="132"/>
      <c r="FR165" s="132"/>
      <c r="FS165" s="132"/>
      <c r="FT165" s="132"/>
      <c r="FU165" s="132"/>
      <c r="FV165" s="132"/>
      <c r="FW165" s="132"/>
      <c r="FX165" s="132"/>
      <c r="FY165" s="132"/>
      <c r="FZ165" s="132"/>
      <c r="GA165" s="132"/>
      <c r="GB165" s="132"/>
      <c r="GC165" s="132"/>
      <c r="GD165" s="132"/>
      <c r="GE165" s="132"/>
      <c r="GF165" s="132"/>
      <c r="GG165" s="132"/>
      <c r="GH165" s="132"/>
      <c r="GI165" s="132"/>
      <c r="GJ165" s="132"/>
      <c r="GK165" s="132"/>
      <c r="GL165" s="132"/>
      <c r="GM165" s="132"/>
      <c r="GN165" s="132"/>
      <c r="GO165" s="132"/>
      <c r="GP165" s="132"/>
      <c r="GQ165" s="132"/>
      <c r="GR165" s="132"/>
      <c r="GS165" s="132"/>
      <c r="GT165" s="132"/>
      <c r="GU165" s="132"/>
      <c r="GV165" s="132"/>
      <c r="GW165" s="132"/>
      <c r="GX165" s="132"/>
      <c r="GY165" s="132"/>
      <c r="GZ165" s="132"/>
      <c r="HA165" s="132"/>
      <c r="HB165" s="132"/>
      <c r="HC165" s="132"/>
      <c r="HD165" s="132"/>
      <c r="HE165" s="132"/>
      <c r="HF165" s="132"/>
      <c r="HG165" s="132"/>
      <c r="HH165" s="132"/>
      <c r="HI165" s="132"/>
      <c r="HJ165" s="132"/>
      <c r="HK165" s="132"/>
      <c r="HL165" s="132"/>
      <c r="HM165" s="132"/>
      <c r="HN165" s="132"/>
      <c r="HO165" s="132"/>
      <c r="HP165" s="132"/>
      <c r="HQ165" s="132"/>
      <c r="HR165" s="132"/>
      <c r="HS165" s="132"/>
      <c r="HT165" s="132"/>
      <c r="HU165" s="132"/>
      <c r="HV165" s="132"/>
      <c r="HW165" s="132"/>
      <c r="HX165" s="132"/>
      <c r="HY165" s="132"/>
      <c r="HZ165" s="132"/>
      <c r="IA165" s="132"/>
      <c r="IB165" s="132"/>
      <c r="IC165" s="132"/>
      <c r="ID165" s="132"/>
      <c r="IE165" s="132"/>
      <c r="IF165" s="132"/>
      <c r="IG165" s="132"/>
      <c r="IH165" s="132"/>
      <c r="II165" s="132"/>
      <c r="IJ165" s="132"/>
    </row>
    <row r="166" spans="1:244" x14ac:dyDescent="0.5">
      <c r="J166" s="132"/>
      <c r="K166" s="132"/>
    </row>
    <row r="167" spans="1:244" ht="21.75" customHeight="1" x14ac:dyDescent="0.5">
      <c r="J167" s="132"/>
      <c r="K167" s="132"/>
    </row>
    <row r="168" spans="1:244" ht="21.75" customHeight="1" x14ac:dyDescent="0.5">
      <c r="J168" s="132"/>
      <c r="K168" s="132"/>
    </row>
    <row r="169" spans="1:244" ht="21.75" customHeight="1" x14ac:dyDescent="0.5">
      <c r="J169" s="132"/>
      <c r="K169" s="132"/>
    </row>
    <row r="170" spans="1:244" ht="21.75" customHeight="1" x14ac:dyDescent="0.5">
      <c r="J170" s="132"/>
      <c r="K170" s="132"/>
    </row>
    <row r="171" spans="1:244" ht="21.75" customHeight="1" x14ac:dyDescent="0.5">
      <c r="J171" s="132"/>
      <c r="K171" s="132"/>
    </row>
    <row r="172" spans="1:244" ht="21.75" customHeight="1" x14ac:dyDescent="0.5">
      <c r="J172" s="132"/>
      <c r="K172" s="132"/>
    </row>
    <row r="173" spans="1:244" ht="21.75" customHeight="1" x14ac:dyDescent="0.5">
      <c r="A173" s="148"/>
      <c r="J173" s="132"/>
      <c r="K173" s="132"/>
    </row>
    <row r="174" spans="1:244" ht="21.75" customHeight="1" x14ac:dyDescent="0.5">
      <c r="A174" s="148"/>
      <c r="J174" s="132"/>
      <c r="K174" s="132"/>
    </row>
    <row r="175" spans="1:244" ht="21.75" customHeight="1" x14ac:dyDescent="0.5">
      <c r="A175" s="148"/>
      <c r="J175" s="132"/>
      <c r="K175" s="132"/>
    </row>
    <row r="176" spans="1:244" ht="21.75" customHeight="1" x14ac:dyDescent="0.5">
      <c r="A176" s="148"/>
      <c r="J176" s="132"/>
      <c r="K176" s="132"/>
    </row>
    <row r="177" spans="1:11" ht="21.75" customHeight="1" x14ac:dyDescent="0.5">
      <c r="A177" s="148"/>
      <c r="J177" s="132"/>
      <c r="K177" s="132"/>
    </row>
    <row r="178" spans="1:11" ht="21.75" customHeight="1" x14ac:dyDescent="0.5">
      <c r="A178" s="148"/>
      <c r="J178" s="132"/>
      <c r="K178" s="132"/>
    </row>
    <row r="179" spans="1:11" ht="21.75" customHeight="1" x14ac:dyDescent="0.5">
      <c r="A179" s="148"/>
      <c r="J179" s="132"/>
      <c r="K179" s="132"/>
    </row>
    <row r="180" spans="1:11" ht="21.75" customHeight="1" x14ac:dyDescent="0.5">
      <c r="A180" s="148"/>
      <c r="J180" s="132"/>
      <c r="K180" s="132"/>
    </row>
    <row r="181" spans="1:11" ht="21.75" customHeight="1" x14ac:dyDescent="0.5">
      <c r="A181" s="148"/>
      <c r="J181" s="132"/>
      <c r="K181" s="132"/>
    </row>
    <row r="182" spans="1:11" ht="21.75" customHeight="1" x14ac:dyDescent="0.5">
      <c r="A182" s="148"/>
      <c r="J182" s="132"/>
      <c r="K182" s="132"/>
    </row>
    <row r="183" spans="1:11" ht="21.75" customHeight="1" x14ac:dyDescent="0.5">
      <c r="A183" s="148"/>
      <c r="J183" s="132"/>
      <c r="K183" s="132"/>
    </row>
    <row r="184" spans="1:11" ht="21.75" customHeight="1" x14ac:dyDescent="0.5">
      <c r="A184" s="148"/>
      <c r="J184" s="132"/>
      <c r="K184" s="132"/>
    </row>
    <row r="185" spans="1:11" ht="21.75" customHeight="1" x14ac:dyDescent="0.5">
      <c r="A185" s="148"/>
      <c r="J185" s="132"/>
      <c r="K185" s="132"/>
    </row>
    <row r="186" spans="1:11" ht="21.75" customHeight="1" x14ac:dyDescent="0.5">
      <c r="A186" s="148"/>
      <c r="J186" s="132"/>
      <c r="K186" s="132"/>
    </row>
    <row r="187" spans="1:11" ht="21.75" customHeight="1" x14ac:dyDescent="0.5">
      <c r="A187" s="148"/>
      <c r="J187" s="132"/>
      <c r="K187" s="132"/>
    </row>
    <row r="188" spans="1:11" ht="21.75" customHeight="1" x14ac:dyDescent="0.5">
      <c r="A188" s="148"/>
      <c r="J188" s="132"/>
      <c r="K188" s="132"/>
    </row>
    <row r="189" spans="1:11" ht="21.75" customHeight="1" x14ac:dyDescent="0.5">
      <c r="A189" s="148"/>
      <c r="J189" s="132"/>
      <c r="K189" s="132"/>
    </row>
    <row r="190" spans="1:11" x14ac:dyDescent="0.5">
      <c r="A190" s="148"/>
      <c r="J190" s="132"/>
      <c r="K190" s="132"/>
    </row>
    <row r="191" spans="1:11" ht="21.75" customHeight="1" x14ac:dyDescent="0.5">
      <c r="A191" s="148"/>
      <c r="J191" s="132"/>
      <c r="K191" s="132"/>
    </row>
    <row r="192" spans="1:11" ht="21.75" customHeight="1" x14ac:dyDescent="0.5">
      <c r="A192" s="148"/>
      <c r="J192" s="132"/>
      <c r="K192" s="132"/>
    </row>
    <row r="193" spans="1:11" ht="21.75" customHeight="1" x14ac:dyDescent="0.5">
      <c r="A193" s="148"/>
      <c r="J193" s="132"/>
      <c r="K193" s="132"/>
    </row>
    <row r="194" spans="1:11" ht="21.75" customHeight="1" x14ac:dyDescent="0.5">
      <c r="A194" s="148"/>
      <c r="J194" s="132"/>
      <c r="K194" s="132"/>
    </row>
    <row r="195" spans="1:11" ht="21.75" customHeight="1" x14ac:dyDescent="0.5">
      <c r="A195" s="148"/>
      <c r="J195" s="132"/>
      <c r="K195" s="132"/>
    </row>
    <row r="196" spans="1:11" ht="21.75" customHeight="1" x14ac:dyDescent="0.5">
      <c r="A196" s="148"/>
      <c r="J196" s="132"/>
      <c r="K196" s="132"/>
    </row>
    <row r="197" spans="1:11" ht="21.75" customHeight="1" x14ac:dyDescent="0.5">
      <c r="A197" s="148"/>
      <c r="J197" s="132"/>
      <c r="K197" s="132"/>
    </row>
    <row r="198" spans="1:11" ht="21.75" customHeight="1" x14ac:dyDescent="0.5">
      <c r="A198" s="148"/>
      <c r="J198" s="132"/>
      <c r="K198" s="132"/>
    </row>
    <row r="199" spans="1:11" ht="21.75" customHeight="1" x14ac:dyDescent="0.5">
      <c r="A199" s="148"/>
      <c r="J199" s="132"/>
      <c r="K199" s="132"/>
    </row>
    <row r="200" spans="1:11" ht="21.75" customHeight="1" x14ac:dyDescent="0.5">
      <c r="A200" s="148"/>
      <c r="J200" s="132"/>
      <c r="K200" s="132"/>
    </row>
    <row r="201" spans="1:11" ht="21.75" customHeight="1" x14ac:dyDescent="0.5">
      <c r="A201" s="148"/>
      <c r="J201" s="132"/>
      <c r="K201" s="132"/>
    </row>
    <row r="202" spans="1:11" ht="21.75" customHeight="1" x14ac:dyDescent="0.5">
      <c r="A202" s="148"/>
      <c r="J202" s="132"/>
      <c r="K202" s="132"/>
    </row>
    <row r="203" spans="1:11" ht="21.75" customHeight="1" x14ac:dyDescent="0.5">
      <c r="A203" s="148"/>
      <c r="J203" s="132"/>
      <c r="K203" s="132"/>
    </row>
    <row r="204" spans="1:11" ht="21.75" customHeight="1" x14ac:dyDescent="0.5">
      <c r="A204" s="148"/>
      <c r="J204" s="132"/>
      <c r="K204" s="132"/>
    </row>
    <row r="205" spans="1:11" ht="21.75" customHeight="1" x14ac:dyDescent="0.5">
      <c r="A205" s="148"/>
      <c r="J205" s="132"/>
      <c r="K205" s="132"/>
    </row>
    <row r="206" spans="1:11" ht="21.75" customHeight="1" x14ac:dyDescent="0.5">
      <c r="A206" s="148"/>
      <c r="J206" s="132"/>
      <c r="K206" s="132"/>
    </row>
    <row r="207" spans="1:11" ht="21.75" customHeight="1" x14ac:dyDescent="0.5">
      <c r="A207" s="148"/>
      <c r="J207" s="132"/>
      <c r="K207" s="132"/>
    </row>
    <row r="208" spans="1:11" ht="21.75" customHeight="1" x14ac:dyDescent="0.5">
      <c r="A208" s="148"/>
      <c r="J208" s="132"/>
      <c r="K208" s="132"/>
    </row>
    <row r="209" spans="1:11" ht="21.75" customHeight="1" x14ac:dyDescent="0.5">
      <c r="A209" s="148"/>
      <c r="J209" s="132"/>
      <c r="K209" s="132"/>
    </row>
    <row r="210" spans="1:11" ht="21.75" customHeight="1" x14ac:dyDescent="0.5">
      <c r="A210" s="148"/>
      <c r="J210" s="132"/>
      <c r="K210" s="132"/>
    </row>
    <row r="211" spans="1:11" ht="21.75" customHeight="1" x14ac:dyDescent="0.5">
      <c r="A211" s="148"/>
      <c r="J211" s="132"/>
      <c r="K211" s="132"/>
    </row>
    <row r="212" spans="1:11" ht="21.75" customHeight="1" x14ac:dyDescent="0.5">
      <c r="A212" s="148"/>
      <c r="J212" s="132"/>
      <c r="K212" s="132"/>
    </row>
    <row r="213" spans="1:11" ht="21.75" customHeight="1" x14ac:dyDescent="0.5">
      <c r="A213" s="148"/>
      <c r="J213" s="132"/>
      <c r="K213" s="132"/>
    </row>
    <row r="214" spans="1:11" x14ac:dyDescent="0.5">
      <c r="A214" s="148"/>
      <c r="J214" s="132"/>
      <c r="K214" s="132"/>
    </row>
    <row r="215" spans="1:11" ht="21.75" customHeight="1" x14ac:dyDescent="0.5">
      <c r="A215" s="148"/>
      <c r="J215" s="132"/>
      <c r="K215" s="132"/>
    </row>
    <row r="216" spans="1:11" ht="21.75" customHeight="1" x14ac:dyDescent="0.5">
      <c r="A216" s="148"/>
      <c r="J216" s="132"/>
      <c r="K216" s="132"/>
    </row>
    <row r="217" spans="1:11" ht="21.75" customHeight="1" x14ac:dyDescent="0.5">
      <c r="A217" s="148"/>
      <c r="J217" s="132"/>
      <c r="K217" s="132"/>
    </row>
    <row r="218" spans="1:11" ht="21.75" customHeight="1" x14ac:dyDescent="0.5">
      <c r="A218" s="148"/>
      <c r="J218" s="132"/>
      <c r="K218" s="132"/>
    </row>
    <row r="219" spans="1:11" ht="21.75" customHeight="1" x14ac:dyDescent="0.5">
      <c r="A219" s="148"/>
      <c r="J219" s="132"/>
      <c r="K219" s="132"/>
    </row>
    <row r="220" spans="1:11" ht="21.75" customHeight="1" x14ac:dyDescent="0.5">
      <c r="A220" s="148"/>
      <c r="J220" s="132"/>
      <c r="K220" s="132"/>
    </row>
    <row r="221" spans="1:11" ht="21.75" customHeight="1" x14ac:dyDescent="0.5">
      <c r="A221" s="148"/>
      <c r="J221" s="132"/>
      <c r="K221" s="132"/>
    </row>
    <row r="222" spans="1:11" ht="21.75" customHeight="1" x14ac:dyDescent="0.5">
      <c r="A222" s="148"/>
      <c r="J222" s="132"/>
      <c r="K222" s="132"/>
    </row>
    <row r="223" spans="1:11" ht="21.75" customHeight="1" x14ac:dyDescent="0.5">
      <c r="A223" s="148"/>
      <c r="J223" s="132"/>
      <c r="K223" s="132"/>
    </row>
    <row r="224" spans="1:11" ht="21.75" customHeight="1" x14ac:dyDescent="0.5">
      <c r="A224" s="148"/>
      <c r="J224" s="132"/>
      <c r="K224" s="132"/>
    </row>
    <row r="225" spans="1:11" ht="21.75" customHeight="1" x14ac:dyDescent="0.5">
      <c r="A225" s="148"/>
      <c r="J225" s="132"/>
      <c r="K225" s="132"/>
    </row>
    <row r="226" spans="1:11" ht="21.75" customHeight="1" x14ac:dyDescent="0.5">
      <c r="A226" s="148"/>
      <c r="J226" s="132"/>
      <c r="K226" s="132"/>
    </row>
    <row r="227" spans="1:11" ht="21.75" customHeight="1" x14ac:dyDescent="0.5">
      <c r="A227" s="148"/>
      <c r="J227" s="132"/>
      <c r="K227" s="132"/>
    </row>
    <row r="228" spans="1:11" ht="21.75" customHeight="1" x14ac:dyDescent="0.5">
      <c r="A228" s="148"/>
      <c r="J228" s="132"/>
      <c r="K228" s="132"/>
    </row>
    <row r="229" spans="1:11" x14ac:dyDescent="0.5">
      <c r="A229" s="148"/>
      <c r="J229" s="132"/>
      <c r="K229" s="132"/>
    </row>
    <row r="230" spans="1:11" ht="21.75" customHeight="1" x14ac:dyDescent="0.5">
      <c r="A230" s="148"/>
      <c r="J230" s="132"/>
      <c r="K230" s="132"/>
    </row>
    <row r="231" spans="1:11" ht="21.75" customHeight="1" x14ac:dyDescent="0.5">
      <c r="A231" s="148"/>
      <c r="J231" s="132"/>
      <c r="K231" s="132"/>
    </row>
    <row r="232" spans="1:11" ht="21.75" customHeight="1" x14ac:dyDescent="0.5">
      <c r="A232" s="148"/>
      <c r="J232" s="132"/>
      <c r="K232" s="132"/>
    </row>
    <row r="233" spans="1:11" ht="21.75" customHeight="1" x14ac:dyDescent="0.5">
      <c r="A233" s="148"/>
      <c r="J233" s="132"/>
      <c r="K233" s="132"/>
    </row>
    <row r="234" spans="1:11" ht="21.75" customHeight="1" x14ac:dyDescent="0.5">
      <c r="A234" s="148"/>
      <c r="J234" s="132"/>
      <c r="K234" s="132"/>
    </row>
    <row r="235" spans="1:11" ht="21.75" customHeight="1" x14ac:dyDescent="0.5">
      <c r="A235" s="148"/>
      <c r="J235" s="132"/>
      <c r="K235" s="132"/>
    </row>
    <row r="236" spans="1:11" ht="21.75" customHeight="1" x14ac:dyDescent="0.5">
      <c r="A236" s="148"/>
      <c r="J236" s="132"/>
      <c r="K236" s="132"/>
    </row>
    <row r="237" spans="1:11" x14ac:dyDescent="0.5">
      <c r="A237" s="148"/>
      <c r="J237" s="132"/>
      <c r="K237" s="132"/>
    </row>
    <row r="238" spans="1:11" x14ac:dyDescent="0.5">
      <c r="A238" s="148"/>
      <c r="J238" s="132"/>
      <c r="K238" s="132"/>
    </row>
    <row r="239" spans="1:11" ht="21.75" customHeight="1" x14ac:dyDescent="0.5">
      <c r="A239" s="148"/>
      <c r="J239" s="132"/>
      <c r="K239" s="132"/>
    </row>
    <row r="240" spans="1:11" ht="21.75" customHeight="1" x14ac:dyDescent="0.5">
      <c r="A240" s="148"/>
      <c r="J240" s="132"/>
      <c r="K240" s="132"/>
    </row>
    <row r="241" spans="1:11" ht="21.75" customHeight="1" x14ac:dyDescent="0.5">
      <c r="A241" s="148"/>
      <c r="J241" s="132"/>
      <c r="K241" s="132"/>
    </row>
    <row r="242" spans="1:11" ht="21.75" customHeight="1" x14ac:dyDescent="0.5">
      <c r="A242" s="148"/>
      <c r="J242" s="132"/>
      <c r="K242" s="132"/>
    </row>
    <row r="243" spans="1:11" ht="21.75" customHeight="1" x14ac:dyDescent="0.5">
      <c r="A243" s="148"/>
      <c r="J243" s="132"/>
      <c r="K243" s="132"/>
    </row>
    <row r="244" spans="1:11" ht="21.75" customHeight="1" x14ac:dyDescent="0.5">
      <c r="A244" s="148"/>
      <c r="J244" s="132"/>
      <c r="K244" s="132"/>
    </row>
    <row r="245" spans="1:11" ht="21.75" customHeight="1" x14ac:dyDescent="0.5">
      <c r="A245" s="148"/>
      <c r="J245" s="132"/>
      <c r="K245" s="132"/>
    </row>
    <row r="246" spans="1:11" ht="21.75" customHeight="1" x14ac:dyDescent="0.5">
      <c r="A246" s="148"/>
      <c r="J246" s="132"/>
      <c r="K246" s="132"/>
    </row>
    <row r="247" spans="1:11" ht="21.75" customHeight="1" x14ac:dyDescent="0.5">
      <c r="A247" s="148"/>
      <c r="J247" s="132"/>
      <c r="K247" s="132"/>
    </row>
    <row r="248" spans="1:11" ht="21.75" customHeight="1" x14ac:dyDescent="0.5">
      <c r="A248" s="148"/>
      <c r="J248" s="132"/>
      <c r="K248" s="132"/>
    </row>
    <row r="249" spans="1:11" ht="21.75" customHeight="1" x14ac:dyDescent="0.5">
      <c r="A249" s="148"/>
      <c r="J249" s="132"/>
      <c r="K249" s="132"/>
    </row>
    <row r="250" spans="1:11" ht="21.75" customHeight="1" x14ac:dyDescent="0.5">
      <c r="A250" s="148"/>
      <c r="J250" s="132"/>
      <c r="K250" s="132"/>
    </row>
    <row r="251" spans="1:11" ht="21.75" customHeight="1" x14ac:dyDescent="0.5">
      <c r="A251" s="148"/>
      <c r="J251" s="132"/>
      <c r="K251" s="132"/>
    </row>
    <row r="252" spans="1:11" ht="21.75" customHeight="1" x14ac:dyDescent="0.5">
      <c r="A252" s="148"/>
      <c r="J252" s="132"/>
      <c r="K252" s="132"/>
    </row>
    <row r="253" spans="1:11" ht="21.75" customHeight="1" x14ac:dyDescent="0.5">
      <c r="A253" s="148"/>
      <c r="J253" s="132"/>
      <c r="K253" s="132"/>
    </row>
    <row r="254" spans="1:11" ht="21.75" customHeight="1" x14ac:dyDescent="0.5">
      <c r="A254" s="148"/>
      <c r="J254" s="132"/>
      <c r="K254" s="132"/>
    </row>
    <row r="255" spans="1:11" ht="21.75" customHeight="1" x14ac:dyDescent="0.5">
      <c r="A255" s="148"/>
      <c r="J255" s="132"/>
      <c r="K255" s="132"/>
    </row>
    <row r="256" spans="1:11" ht="21.75" customHeight="1" x14ac:dyDescent="0.5">
      <c r="A256" s="148"/>
      <c r="J256" s="132"/>
      <c r="K256" s="132"/>
    </row>
    <row r="257" spans="1:11" ht="21.75" customHeight="1" x14ac:dyDescent="0.5">
      <c r="A257" s="148"/>
      <c r="J257" s="132"/>
      <c r="K257" s="132"/>
    </row>
    <row r="258" spans="1:11" ht="21.75" customHeight="1" x14ac:dyDescent="0.5">
      <c r="A258" s="148"/>
      <c r="J258" s="132"/>
      <c r="K258" s="132"/>
    </row>
    <row r="259" spans="1:11" ht="21.75" customHeight="1" x14ac:dyDescent="0.5">
      <c r="A259" s="148"/>
      <c r="J259" s="132"/>
      <c r="K259" s="132"/>
    </row>
    <row r="260" spans="1:11" ht="21.75" customHeight="1" x14ac:dyDescent="0.5">
      <c r="A260" s="148"/>
      <c r="J260" s="132"/>
      <c r="K260" s="132"/>
    </row>
    <row r="261" spans="1:11" ht="21.75" customHeight="1" x14ac:dyDescent="0.5">
      <c r="A261" s="148"/>
      <c r="J261" s="132"/>
      <c r="K261" s="132"/>
    </row>
    <row r="262" spans="1:11" ht="21.75" customHeight="1" x14ac:dyDescent="0.5">
      <c r="A262" s="148"/>
      <c r="J262" s="132"/>
      <c r="K262" s="132"/>
    </row>
    <row r="263" spans="1:11" ht="21.75" customHeight="1" x14ac:dyDescent="0.5">
      <c r="A263" s="148"/>
      <c r="J263" s="132"/>
      <c r="K263" s="132"/>
    </row>
    <row r="264" spans="1:11" ht="21.75" customHeight="1" x14ac:dyDescent="0.5">
      <c r="A264" s="148"/>
      <c r="J264" s="132"/>
      <c r="K264" s="132"/>
    </row>
    <row r="265" spans="1:11" ht="21.75" customHeight="1" x14ac:dyDescent="0.5">
      <c r="A265" s="148"/>
      <c r="J265" s="132"/>
      <c r="K265" s="132"/>
    </row>
    <row r="266" spans="1:11" ht="21.75" customHeight="1" x14ac:dyDescent="0.5">
      <c r="A266" s="148"/>
      <c r="J266" s="132"/>
      <c r="K266" s="132"/>
    </row>
    <row r="267" spans="1:11" ht="21.75" customHeight="1" x14ac:dyDescent="0.5">
      <c r="A267" s="148"/>
      <c r="J267" s="132"/>
      <c r="K267" s="132"/>
    </row>
    <row r="268" spans="1:11" ht="21.75" customHeight="1" x14ac:dyDescent="0.5">
      <c r="A268" s="148"/>
      <c r="J268" s="132"/>
      <c r="K268" s="132"/>
    </row>
    <row r="269" spans="1:11" ht="21.75" customHeight="1" x14ac:dyDescent="0.5">
      <c r="A269" s="148"/>
      <c r="J269" s="132"/>
      <c r="K269" s="132"/>
    </row>
    <row r="270" spans="1:11" ht="21.75" customHeight="1" x14ac:dyDescent="0.5">
      <c r="A270" s="148"/>
      <c r="J270" s="132"/>
      <c r="K270" s="132"/>
    </row>
    <row r="271" spans="1:11" ht="21.75" customHeight="1" x14ac:dyDescent="0.5">
      <c r="A271" s="148"/>
      <c r="J271" s="132"/>
      <c r="K271" s="132"/>
    </row>
    <row r="272" spans="1:11" ht="21.75" customHeight="1" x14ac:dyDescent="0.5">
      <c r="A272" s="148"/>
      <c r="J272" s="132"/>
      <c r="K272" s="132"/>
    </row>
    <row r="273" spans="1:11" ht="21.75" customHeight="1" x14ac:dyDescent="0.5">
      <c r="A273" s="148"/>
      <c r="J273" s="132"/>
      <c r="K273" s="132"/>
    </row>
    <row r="274" spans="1:11" ht="21.75" customHeight="1" x14ac:dyDescent="0.5">
      <c r="A274" s="148"/>
      <c r="J274" s="132"/>
      <c r="K274" s="132"/>
    </row>
    <row r="275" spans="1:11" ht="21.75" customHeight="1" x14ac:dyDescent="0.5">
      <c r="A275" s="148"/>
      <c r="J275" s="132"/>
      <c r="K275" s="132"/>
    </row>
    <row r="276" spans="1:11" ht="21.75" customHeight="1" x14ac:dyDescent="0.5">
      <c r="A276" s="148"/>
      <c r="J276" s="132"/>
      <c r="K276" s="132"/>
    </row>
    <row r="277" spans="1:11" ht="21.75" customHeight="1" x14ac:dyDescent="0.5">
      <c r="A277" s="148"/>
      <c r="J277" s="132"/>
      <c r="K277" s="132"/>
    </row>
    <row r="278" spans="1:11" ht="21.75" customHeight="1" x14ac:dyDescent="0.5">
      <c r="A278" s="148"/>
      <c r="J278" s="132"/>
      <c r="K278" s="132"/>
    </row>
    <row r="279" spans="1:11" ht="21.75" customHeight="1" x14ac:dyDescent="0.5">
      <c r="A279" s="148"/>
      <c r="J279" s="132"/>
      <c r="K279" s="132"/>
    </row>
    <row r="280" spans="1:11" ht="21.75" customHeight="1" x14ac:dyDescent="0.5">
      <c r="A280" s="148"/>
      <c r="J280" s="132"/>
      <c r="K280" s="132"/>
    </row>
    <row r="281" spans="1:11" ht="21.75" customHeight="1" x14ac:dyDescent="0.5">
      <c r="A281" s="148"/>
      <c r="J281" s="132"/>
      <c r="K281" s="132"/>
    </row>
    <row r="282" spans="1:11" ht="21.75" customHeight="1" x14ac:dyDescent="0.5">
      <c r="A282" s="148"/>
      <c r="J282" s="132"/>
      <c r="K282" s="132"/>
    </row>
    <row r="283" spans="1:11" ht="21.75" customHeight="1" x14ac:dyDescent="0.5">
      <c r="A283" s="148"/>
      <c r="J283" s="132"/>
      <c r="K283" s="132"/>
    </row>
    <row r="284" spans="1:11" ht="21.75" customHeight="1" x14ac:dyDescent="0.5">
      <c r="A284" s="148"/>
      <c r="J284" s="132"/>
      <c r="K284" s="132"/>
    </row>
    <row r="285" spans="1:11" ht="21.75" customHeight="1" x14ac:dyDescent="0.5">
      <c r="A285" s="148"/>
      <c r="J285" s="132"/>
      <c r="K285" s="132"/>
    </row>
    <row r="286" spans="1:11" ht="21.75" customHeight="1" x14ac:dyDescent="0.5">
      <c r="A286" s="148"/>
      <c r="J286" s="132"/>
      <c r="K286" s="132"/>
    </row>
    <row r="287" spans="1:11" ht="21.75" customHeight="1" x14ac:dyDescent="0.5">
      <c r="A287" s="148"/>
      <c r="J287" s="132"/>
      <c r="K287" s="132"/>
    </row>
    <row r="288" spans="1:11" ht="21.75" customHeight="1" x14ac:dyDescent="0.5">
      <c r="A288" s="148"/>
      <c r="J288" s="132"/>
      <c r="K288" s="132"/>
    </row>
    <row r="289" spans="1:11" ht="21.75" customHeight="1" x14ac:dyDescent="0.5">
      <c r="A289" s="148"/>
      <c r="J289" s="132"/>
      <c r="K289" s="132"/>
    </row>
    <row r="290" spans="1:11" ht="21.75" customHeight="1" x14ac:dyDescent="0.5">
      <c r="A290" s="148"/>
      <c r="J290" s="132"/>
      <c r="K290" s="132"/>
    </row>
    <row r="291" spans="1:11" ht="21.75" customHeight="1" x14ac:dyDescent="0.5">
      <c r="A291" s="148"/>
      <c r="J291" s="132"/>
      <c r="K291" s="132"/>
    </row>
    <row r="292" spans="1:11" ht="21.75" customHeight="1" x14ac:dyDescent="0.5">
      <c r="A292" s="148"/>
      <c r="J292" s="132"/>
      <c r="K292" s="132"/>
    </row>
    <row r="293" spans="1:11" ht="21.75" customHeight="1" x14ac:dyDescent="0.5">
      <c r="A293" s="148"/>
      <c r="J293" s="132"/>
      <c r="K293" s="132"/>
    </row>
    <row r="294" spans="1:11" ht="21.75" customHeight="1" x14ac:dyDescent="0.5">
      <c r="A294" s="148"/>
      <c r="J294" s="132"/>
      <c r="K294" s="132"/>
    </row>
    <row r="295" spans="1:11" ht="21.75" customHeight="1" x14ac:dyDescent="0.5">
      <c r="A295" s="148"/>
      <c r="J295" s="132"/>
      <c r="K295" s="132"/>
    </row>
    <row r="296" spans="1:11" ht="21.75" customHeight="1" x14ac:dyDescent="0.5">
      <c r="A296" s="148"/>
      <c r="J296" s="132"/>
      <c r="K296" s="132"/>
    </row>
    <row r="297" spans="1:11" ht="21.75" customHeight="1" x14ac:dyDescent="0.5">
      <c r="A297" s="148"/>
      <c r="J297" s="132"/>
      <c r="K297" s="132"/>
    </row>
    <row r="298" spans="1:11" ht="21.75" customHeight="1" x14ac:dyDescent="0.5">
      <c r="A298" s="148"/>
      <c r="J298" s="132"/>
      <c r="K298" s="132"/>
    </row>
    <row r="299" spans="1:11" ht="21.75" customHeight="1" x14ac:dyDescent="0.5">
      <c r="A299" s="148"/>
      <c r="J299" s="132"/>
      <c r="K299" s="132"/>
    </row>
    <row r="300" spans="1:11" ht="21.75" customHeight="1" x14ac:dyDescent="0.5">
      <c r="A300" s="148"/>
      <c r="J300" s="132"/>
      <c r="K300" s="132"/>
    </row>
    <row r="301" spans="1:11" ht="21.75" customHeight="1" x14ac:dyDescent="0.5">
      <c r="A301" s="148"/>
      <c r="J301" s="132"/>
      <c r="K301" s="132"/>
    </row>
    <row r="302" spans="1:11" ht="21.75" customHeight="1" x14ac:dyDescent="0.5">
      <c r="A302" s="148"/>
      <c r="J302" s="132"/>
      <c r="K302" s="132"/>
    </row>
    <row r="303" spans="1:11" ht="21.75" customHeight="1" x14ac:dyDescent="0.5">
      <c r="A303" s="148"/>
      <c r="J303" s="132"/>
      <c r="K303" s="132"/>
    </row>
    <row r="304" spans="1:11" ht="21.75" customHeight="1" x14ac:dyDescent="0.5">
      <c r="A304" s="148"/>
      <c r="J304" s="132"/>
      <c r="K304" s="132"/>
    </row>
    <row r="305" spans="1:11" ht="21.75" customHeight="1" x14ac:dyDescent="0.5">
      <c r="A305" s="148"/>
      <c r="J305" s="132"/>
      <c r="K305" s="132"/>
    </row>
    <row r="306" spans="1:11" ht="21.75" customHeight="1" x14ac:dyDescent="0.5">
      <c r="A306" s="148"/>
      <c r="J306" s="132"/>
      <c r="K306" s="132"/>
    </row>
    <row r="307" spans="1:11" ht="21.75" customHeight="1" x14ac:dyDescent="0.5">
      <c r="A307" s="148"/>
      <c r="J307" s="132"/>
      <c r="K307" s="132"/>
    </row>
    <row r="308" spans="1:11" ht="21.75" customHeight="1" x14ac:dyDescent="0.5">
      <c r="A308" s="148"/>
      <c r="J308" s="132"/>
      <c r="K308" s="132"/>
    </row>
    <row r="309" spans="1:11" ht="21.75" customHeight="1" x14ac:dyDescent="0.5">
      <c r="A309" s="148"/>
      <c r="J309" s="132"/>
      <c r="K309" s="132"/>
    </row>
    <row r="310" spans="1:11" ht="21.75" customHeight="1" x14ac:dyDescent="0.5">
      <c r="A310" s="148"/>
      <c r="J310" s="132"/>
      <c r="K310" s="132"/>
    </row>
    <row r="311" spans="1:11" ht="21.75" customHeight="1" x14ac:dyDescent="0.5">
      <c r="A311" s="148"/>
      <c r="J311" s="132"/>
      <c r="K311" s="132"/>
    </row>
    <row r="312" spans="1:11" ht="21.75" customHeight="1" x14ac:dyDescent="0.5">
      <c r="A312" s="148"/>
      <c r="J312" s="132"/>
      <c r="K312" s="132"/>
    </row>
    <row r="313" spans="1:11" ht="21.75" customHeight="1" x14ac:dyDescent="0.5">
      <c r="A313" s="148"/>
      <c r="J313" s="132"/>
      <c r="K313" s="132"/>
    </row>
    <row r="314" spans="1:11" ht="21.75" customHeight="1" x14ac:dyDescent="0.5">
      <c r="A314" s="148"/>
      <c r="J314" s="132"/>
      <c r="K314" s="132"/>
    </row>
    <row r="315" spans="1:11" ht="21.75" customHeight="1" x14ac:dyDescent="0.5">
      <c r="A315" s="148"/>
      <c r="J315" s="132"/>
      <c r="K315" s="132"/>
    </row>
    <row r="316" spans="1:11" ht="21.75" customHeight="1" x14ac:dyDescent="0.5">
      <c r="A316" s="148"/>
      <c r="J316" s="132"/>
      <c r="K316" s="132"/>
    </row>
    <row r="317" spans="1:11" ht="21.75" customHeight="1" x14ac:dyDescent="0.5">
      <c r="A317" s="148"/>
      <c r="J317" s="132"/>
      <c r="K317" s="132"/>
    </row>
    <row r="318" spans="1:11" ht="21.75" customHeight="1" x14ac:dyDescent="0.5">
      <c r="A318" s="148"/>
      <c r="J318" s="132"/>
      <c r="K318" s="132"/>
    </row>
    <row r="319" spans="1:11" ht="21.75" customHeight="1" x14ac:dyDescent="0.5">
      <c r="A319" s="148"/>
      <c r="J319" s="132"/>
      <c r="K319" s="132"/>
    </row>
    <row r="320" spans="1:11" ht="21.75" customHeight="1" x14ac:dyDescent="0.5">
      <c r="A320" s="148"/>
      <c r="J320" s="132"/>
      <c r="K320" s="132"/>
    </row>
    <row r="321" spans="1:11" ht="21.75" customHeight="1" x14ac:dyDescent="0.5">
      <c r="A321" s="148"/>
      <c r="J321" s="132"/>
      <c r="K321" s="132"/>
    </row>
    <row r="322" spans="1:11" ht="21.75" customHeight="1" x14ac:dyDescent="0.5">
      <c r="A322" s="148"/>
      <c r="J322" s="132"/>
      <c r="K322" s="132"/>
    </row>
    <row r="323" spans="1:11" ht="21.75" customHeight="1" x14ac:dyDescent="0.5">
      <c r="A323" s="148"/>
      <c r="J323" s="132"/>
      <c r="K323" s="132"/>
    </row>
    <row r="324" spans="1:11" ht="21.75" customHeight="1" x14ac:dyDescent="0.5">
      <c r="A324" s="148"/>
      <c r="J324" s="132"/>
      <c r="K324" s="132"/>
    </row>
    <row r="325" spans="1:11" ht="21.75" customHeight="1" x14ac:dyDescent="0.5">
      <c r="A325" s="148"/>
      <c r="J325" s="132"/>
      <c r="K325" s="132"/>
    </row>
    <row r="326" spans="1:11" ht="21.75" customHeight="1" x14ac:dyDescent="0.5">
      <c r="A326" s="148"/>
      <c r="J326" s="132"/>
      <c r="K326" s="132"/>
    </row>
    <row r="327" spans="1:11" ht="21.75" customHeight="1" x14ac:dyDescent="0.5">
      <c r="A327" s="148"/>
      <c r="J327" s="132"/>
      <c r="K327" s="132"/>
    </row>
    <row r="328" spans="1:11" ht="21.75" customHeight="1" x14ac:dyDescent="0.5">
      <c r="A328" s="148"/>
      <c r="J328" s="132"/>
      <c r="K328" s="132"/>
    </row>
    <row r="329" spans="1:11" ht="21.75" customHeight="1" x14ac:dyDescent="0.5">
      <c r="A329" s="148"/>
      <c r="J329" s="132"/>
      <c r="K329" s="132"/>
    </row>
    <row r="330" spans="1:11" ht="21.75" customHeight="1" x14ac:dyDescent="0.5">
      <c r="A330" s="148"/>
      <c r="J330" s="132"/>
      <c r="K330" s="132"/>
    </row>
    <row r="331" spans="1:11" ht="21.75" customHeight="1" x14ac:dyDescent="0.5">
      <c r="A331" s="148"/>
      <c r="J331" s="132"/>
      <c r="K331" s="132"/>
    </row>
    <row r="332" spans="1:11" ht="21.75" customHeight="1" x14ac:dyDescent="0.5">
      <c r="A332" s="148"/>
      <c r="J332" s="132"/>
      <c r="K332" s="132"/>
    </row>
    <row r="333" spans="1:11" ht="21.75" customHeight="1" x14ac:dyDescent="0.5">
      <c r="A333" s="148"/>
      <c r="J333" s="132"/>
      <c r="K333" s="132"/>
    </row>
    <row r="334" spans="1:11" ht="21.75" customHeight="1" x14ac:dyDescent="0.5">
      <c r="A334" s="148"/>
      <c r="J334" s="132"/>
      <c r="K334" s="132"/>
    </row>
    <row r="335" spans="1:11" ht="21.75" customHeight="1" x14ac:dyDescent="0.5">
      <c r="A335" s="148"/>
      <c r="J335" s="132"/>
      <c r="K335" s="132"/>
    </row>
    <row r="336" spans="1:11" ht="21.75" customHeight="1" x14ac:dyDescent="0.5">
      <c r="A336" s="148"/>
      <c r="J336" s="132"/>
      <c r="K336" s="132"/>
    </row>
    <row r="337" spans="1:11" ht="21.75" customHeight="1" x14ac:dyDescent="0.5">
      <c r="A337" s="148"/>
      <c r="J337" s="132"/>
      <c r="K337" s="132"/>
    </row>
    <row r="338" spans="1:11" ht="21.75" customHeight="1" x14ac:dyDescent="0.5">
      <c r="A338" s="148"/>
      <c r="J338" s="132"/>
      <c r="K338" s="132"/>
    </row>
    <row r="339" spans="1:11" ht="21.75" customHeight="1" x14ac:dyDescent="0.5">
      <c r="A339" s="148"/>
      <c r="J339" s="132"/>
      <c r="K339" s="132"/>
    </row>
    <row r="340" spans="1:11" ht="21.75" customHeight="1" x14ac:dyDescent="0.5">
      <c r="A340" s="148"/>
      <c r="J340" s="132"/>
      <c r="K340" s="132"/>
    </row>
    <row r="341" spans="1:11" ht="21.75" customHeight="1" x14ac:dyDescent="0.5">
      <c r="A341" s="148"/>
      <c r="J341" s="132"/>
      <c r="K341" s="132"/>
    </row>
    <row r="342" spans="1:11" ht="21.75" customHeight="1" x14ac:dyDescent="0.5">
      <c r="A342" s="148"/>
      <c r="J342" s="132"/>
      <c r="K342" s="132"/>
    </row>
    <row r="343" spans="1:11" ht="21.75" customHeight="1" x14ac:dyDescent="0.5">
      <c r="A343" s="148"/>
      <c r="J343" s="132"/>
      <c r="K343" s="132"/>
    </row>
    <row r="344" spans="1:11" ht="21.75" customHeight="1" x14ac:dyDescent="0.5">
      <c r="A344" s="148"/>
      <c r="J344" s="132"/>
      <c r="K344" s="132"/>
    </row>
    <row r="345" spans="1:11" ht="21.75" customHeight="1" x14ac:dyDescent="0.5">
      <c r="A345" s="148"/>
      <c r="J345" s="132"/>
      <c r="K345" s="132"/>
    </row>
    <row r="346" spans="1:11" ht="21.75" customHeight="1" x14ac:dyDescent="0.5">
      <c r="A346" s="148"/>
      <c r="J346" s="132"/>
      <c r="K346" s="132"/>
    </row>
    <row r="347" spans="1:11" ht="21.75" customHeight="1" x14ac:dyDescent="0.5">
      <c r="A347" s="148"/>
      <c r="J347" s="132"/>
      <c r="K347" s="132"/>
    </row>
    <row r="348" spans="1:11" ht="21.75" customHeight="1" x14ac:dyDescent="0.5">
      <c r="A348" s="148"/>
      <c r="J348" s="132"/>
      <c r="K348" s="132"/>
    </row>
    <row r="349" spans="1:11" ht="21.75" customHeight="1" x14ac:dyDescent="0.5">
      <c r="A349" s="148"/>
      <c r="J349" s="132"/>
      <c r="K349" s="132"/>
    </row>
    <row r="350" spans="1:11" ht="21.75" customHeight="1" x14ac:dyDescent="0.5">
      <c r="A350" s="148"/>
      <c r="J350" s="132"/>
      <c r="K350" s="132"/>
    </row>
    <row r="351" spans="1:11" ht="21.75" customHeight="1" x14ac:dyDescent="0.5">
      <c r="A351" s="148"/>
      <c r="J351" s="132"/>
      <c r="K351" s="132"/>
    </row>
    <row r="352" spans="1:11" ht="21.75" customHeight="1" x14ac:dyDescent="0.5">
      <c r="A352" s="148"/>
      <c r="J352" s="132"/>
      <c r="K352" s="132"/>
    </row>
    <row r="353" spans="1:11" ht="21.75" customHeight="1" x14ac:dyDescent="0.5">
      <c r="A353" s="148"/>
      <c r="J353" s="132"/>
      <c r="K353" s="132"/>
    </row>
    <row r="354" spans="1:11" ht="21.75" customHeight="1" x14ac:dyDescent="0.5">
      <c r="A354" s="148"/>
      <c r="J354" s="132"/>
      <c r="K354" s="132"/>
    </row>
    <row r="355" spans="1:11" ht="21.75" customHeight="1" x14ac:dyDescent="0.5">
      <c r="A355" s="148"/>
      <c r="J355" s="132"/>
      <c r="K355" s="132"/>
    </row>
    <row r="356" spans="1:11" ht="21.75" customHeight="1" x14ac:dyDescent="0.5">
      <c r="A356" s="148"/>
      <c r="J356" s="132"/>
      <c r="K356" s="132"/>
    </row>
    <row r="357" spans="1:11" ht="21.75" customHeight="1" x14ac:dyDescent="0.5">
      <c r="A357" s="148"/>
      <c r="J357" s="132"/>
      <c r="K357" s="132"/>
    </row>
    <row r="358" spans="1:11" ht="21.75" customHeight="1" x14ac:dyDescent="0.5">
      <c r="A358" s="148"/>
      <c r="J358" s="132"/>
      <c r="K358" s="132"/>
    </row>
    <row r="359" spans="1:11" ht="21.75" customHeight="1" x14ac:dyDescent="0.5">
      <c r="A359" s="148"/>
      <c r="J359" s="132"/>
      <c r="K359" s="132"/>
    </row>
    <row r="360" spans="1:11" ht="21.75" customHeight="1" x14ac:dyDescent="0.5">
      <c r="A360" s="148"/>
      <c r="J360" s="132"/>
      <c r="K360" s="132"/>
    </row>
    <row r="361" spans="1:11" ht="21.75" customHeight="1" x14ac:dyDescent="0.5">
      <c r="A361" s="148"/>
      <c r="J361" s="132"/>
      <c r="K361" s="132"/>
    </row>
    <row r="362" spans="1:11" ht="21.75" customHeight="1" x14ac:dyDescent="0.5">
      <c r="A362" s="148"/>
      <c r="J362" s="132"/>
      <c r="K362" s="132"/>
    </row>
    <row r="363" spans="1:11" ht="21.75" customHeight="1" x14ac:dyDescent="0.5">
      <c r="A363" s="148"/>
      <c r="J363" s="132"/>
      <c r="K363" s="132"/>
    </row>
    <row r="364" spans="1:11" ht="21.75" customHeight="1" x14ac:dyDescent="0.5">
      <c r="A364" s="148"/>
      <c r="J364" s="132"/>
      <c r="K364" s="132"/>
    </row>
    <row r="365" spans="1:11" ht="21.75" customHeight="1" x14ac:dyDescent="0.5">
      <c r="A365" s="148"/>
      <c r="J365" s="132"/>
      <c r="K365" s="132"/>
    </row>
    <row r="366" spans="1:11" ht="21.75" customHeight="1" x14ac:dyDescent="0.5">
      <c r="A366" s="148"/>
      <c r="J366" s="132"/>
      <c r="K366" s="132"/>
    </row>
    <row r="367" spans="1:11" ht="21.75" customHeight="1" x14ac:dyDescent="0.5">
      <c r="A367" s="148"/>
      <c r="J367" s="132"/>
      <c r="K367" s="132"/>
    </row>
    <row r="368" spans="1:11" ht="21.75" customHeight="1" x14ac:dyDescent="0.5">
      <c r="A368" s="148"/>
      <c r="J368" s="132"/>
      <c r="K368" s="132"/>
    </row>
    <row r="369" spans="1:11" ht="21.75" customHeight="1" x14ac:dyDescent="0.5">
      <c r="A369" s="148"/>
      <c r="J369" s="132"/>
      <c r="K369" s="132"/>
    </row>
    <row r="370" spans="1:11" ht="21.75" customHeight="1" x14ac:dyDescent="0.5">
      <c r="A370" s="148"/>
      <c r="J370" s="132"/>
      <c r="K370" s="132"/>
    </row>
    <row r="371" spans="1:11" ht="21.75" customHeight="1" x14ac:dyDescent="0.5">
      <c r="J371" s="132"/>
      <c r="K371" s="132"/>
    </row>
    <row r="372" spans="1:11" ht="21.75" customHeight="1" x14ac:dyDescent="0.5">
      <c r="J372" s="132"/>
      <c r="K372" s="132"/>
    </row>
    <row r="373" spans="1:11" ht="21.75" customHeight="1" x14ac:dyDescent="0.5">
      <c r="J373" s="132"/>
      <c r="K373" s="132"/>
    </row>
    <row r="374" spans="1:11" ht="21.75" customHeight="1" x14ac:dyDescent="0.5">
      <c r="J374" s="132"/>
      <c r="K374" s="132"/>
    </row>
    <row r="375" spans="1:11" ht="21.75" customHeight="1" x14ac:dyDescent="0.5">
      <c r="J375" s="132"/>
      <c r="K375" s="132"/>
    </row>
    <row r="376" spans="1:11" ht="21.75" customHeight="1" x14ac:dyDescent="0.5">
      <c r="J376" s="132"/>
      <c r="K376" s="132"/>
    </row>
    <row r="377" spans="1:11" ht="21.75" customHeight="1" x14ac:dyDescent="0.5">
      <c r="J377" s="132"/>
      <c r="K377" s="132"/>
    </row>
    <row r="378" spans="1:11" ht="21.75" customHeight="1" x14ac:dyDescent="0.5">
      <c r="J378" s="132"/>
      <c r="K378" s="132"/>
    </row>
    <row r="379" spans="1:11" ht="21.75" customHeight="1" x14ac:dyDescent="0.5">
      <c r="J379" s="132"/>
      <c r="K379" s="132"/>
    </row>
    <row r="380" spans="1:11" ht="21.75" customHeight="1" x14ac:dyDescent="0.5">
      <c r="J380" s="132"/>
      <c r="K380" s="132"/>
    </row>
    <row r="381" spans="1:11" ht="21.75" customHeight="1" x14ac:dyDescent="0.5">
      <c r="J381" s="132"/>
      <c r="K381" s="132"/>
    </row>
    <row r="382" spans="1:11" ht="21.75" customHeight="1" x14ac:dyDescent="0.5">
      <c r="J382" s="132"/>
      <c r="K382" s="132"/>
    </row>
    <row r="383" spans="1:11" ht="21.75" customHeight="1" x14ac:dyDescent="0.5">
      <c r="J383" s="132"/>
      <c r="K383" s="132"/>
    </row>
    <row r="384" spans="1:11" ht="21.75" customHeight="1" x14ac:dyDescent="0.5">
      <c r="J384" s="132"/>
      <c r="K384" s="132"/>
    </row>
    <row r="385" spans="10:132" ht="21.75" customHeight="1" x14ac:dyDescent="0.5">
      <c r="J385" s="132"/>
      <c r="K385" s="132"/>
    </row>
    <row r="386" spans="10:132" ht="21.75" customHeight="1" x14ac:dyDescent="0.5">
      <c r="J386" s="132"/>
      <c r="K386" s="132"/>
    </row>
    <row r="387" spans="10:132" ht="21.75" customHeight="1" x14ac:dyDescent="0.5">
      <c r="J387" s="132"/>
      <c r="K387" s="132"/>
    </row>
    <row r="388" spans="10:132" ht="21.75" customHeight="1" x14ac:dyDescent="0.5">
      <c r="J388" s="132"/>
      <c r="K388" s="132"/>
    </row>
    <row r="389" spans="10:132" ht="21.75" customHeight="1" x14ac:dyDescent="0.5">
      <c r="J389" s="132"/>
      <c r="K389" s="132"/>
    </row>
    <row r="390" spans="10:132" ht="21.75" customHeight="1" x14ac:dyDescent="0.5">
      <c r="J390" s="132"/>
      <c r="K390" s="132"/>
    </row>
    <row r="391" spans="10:132" ht="21.75" customHeight="1" x14ac:dyDescent="0.5">
      <c r="J391" s="132"/>
      <c r="K391" s="132"/>
    </row>
    <row r="392" spans="10:132" ht="21.75" customHeight="1" x14ac:dyDescent="0.5">
      <c r="J392" s="132"/>
      <c r="K392" s="132"/>
    </row>
    <row r="393" spans="10:132" ht="21.75" customHeight="1" x14ac:dyDescent="0.5">
      <c r="J393" s="132"/>
      <c r="K393" s="132"/>
    </row>
    <row r="394" spans="10:132" ht="21.75" customHeight="1" x14ac:dyDescent="0.5">
      <c r="J394" s="132"/>
      <c r="K394" s="132"/>
    </row>
    <row r="395" spans="10:132" ht="21.75" customHeight="1" x14ac:dyDescent="0.5">
      <c r="J395" s="132"/>
      <c r="K395" s="132"/>
    </row>
    <row r="396" spans="10:132" ht="21.75" customHeight="1" x14ac:dyDescent="0.5">
      <c r="J396" s="132"/>
      <c r="K396" s="132"/>
    </row>
    <row r="397" spans="10:132" ht="21.75" customHeight="1" x14ac:dyDescent="0.5">
      <c r="J397" s="132"/>
      <c r="K397" s="132"/>
    </row>
    <row r="398" spans="10:132" ht="21.75" customHeight="1" x14ac:dyDescent="0.5">
      <c r="J398" s="132"/>
      <c r="K398" s="132"/>
    </row>
    <row r="399" spans="10:132" ht="21.75" customHeight="1" x14ac:dyDescent="0.5">
      <c r="J399" s="132"/>
      <c r="K399" s="132"/>
      <c r="DP399" s="148"/>
      <c r="DQ399" s="148"/>
      <c r="DR399" s="148"/>
      <c r="DS399" s="148"/>
      <c r="DT399" s="148"/>
      <c r="DU399" s="148"/>
      <c r="DV399" s="148"/>
      <c r="DW399" s="148"/>
      <c r="DX399" s="148"/>
      <c r="DY399" s="148"/>
      <c r="DZ399" s="148"/>
      <c r="EA399" s="148"/>
      <c r="EB399" s="148"/>
    </row>
    <row r="400" spans="10:132" ht="21.75" customHeight="1" x14ac:dyDescent="0.5">
      <c r="J400" s="132"/>
      <c r="K400" s="132"/>
      <c r="DP400" s="148"/>
      <c r="DQ400" s="148"/>
      <c r="DR400" s="148"/>
      <c r="DS400" s="148"/>
      <c r="DT400" s="148"/>
      <c r="DU400" s="148"/>
      <c r="DV400" s="148"/>
      <c r="DW400" s="148"/>
      <c r="DX400" s="148"/>
      <c r="DY400" s="148"/>
      <c r="DZ400" s="148"/>
      <c r="EA400" s="148"/>
      <c r="EB400" s="148"/>
    </row>
    <row r="401" spans="10:132" ht="21.75" customHeight="1" x14ac:dyDescent="0.5">
      <c r="J401" s="132"/>
      <c r="K401" s="132"/>
      <c r="DP401" s="148"/>
      <c r="DQ401" s="144"/>
      <c r="DR401" s="149"/>
      <c r="DS401" s="150"/>
      <c r="DT401" s="151"/>
      <c r="DU401" s="141"/>
      <c r="DV401" s="152"/>
      <c r="DW401" s="150"/>
      <c r="DX401" s="142"/>
      <c r="DY401" s="142"/>
      <c r="DZ401" s="153"/>
      <c r="EA401" s="146"/>
      <c r="EB401" s="148"/>
    </row>
    <row r="402" spans="10:132" ht="21.75" customHeight="1" x14ac:dyDescent="0.5">
      <c r="J402" s="132"/>
      <c r="K402" s="132"/>
      <c r="DP402" s="148"/>
      <c r="DQ402" s="144"/>
      <c r="DR402" s="148"/>
      <c r="DS402" s="150"/>
      <c r="DT402" s="151"/>
      <c r="DU402" s="141"/>
      <c r="DV402" s="152"/>
      <c r="DW402" s="150"/>
      <c r="DX402" s="142"/>
      <c r="DY402" s="142"/>
      <c r="DZ402" s="153"/>
      <c r="EA402" s="146"/>
      <c r="EB402" s="148"/>
    </row>
    <row r="403" spans="10:132" ht="21.75" customHeight="1" x14ac:dyDescent="0.5">
      <c r="J403" s="132"/>
      <c r="K403" s="132"/>
      <c r="DP403" s="148"/>
      <c r="DQ403" s="144"/>
      <c r="DR403" s="149"/>
      <c r="DS403" s="150"/>
      <c r="DT403" s="151"/>
      <c r="DU403" s="141"/>
      <c r="DV403" s="152"/>
      <c r="DW403" s="150"/>
      <c r="DX403" s="142"/>
      <c r="DY403" s="142"/>
      <c r="DZ403" s="153"/>
      <c r="EA403" s="146"/>
      <c r="EB403" s="148"/>
    </row>
    <row r="404" spans="10:132" ht="21.75" customHeight="1" x14ac:dyDescent="0.5">
      <c r="J404" s="132"/>
      <c r="K404" s="132"/>
      <c r="DP404" s="148"/>
      <c r="DQ404" s="144"/>
      <c r="DR404" s="149"/>
      <c r="DS404" s="150"/>
      <c r="DT404" s="151"/>
      <c r="DU404" s="141"/>
      <c r="DV404" s="152"/>
      <c r="DW404" s="150"/>
      <c r="DX404" s="142"/>
      <c r="DY404" s="142"/>
      <c r="DZ404" s="153"/>
      <c r="EA404" s="146"/>
      <c r="EB404" s="148"/>
    </row>
    <row r="405" spans="10:132" ht="21.75" customHeight="1" x14ac:dyDescent="0.5">
      <c r="J405" s="132"/>
      <c r="K405" s="132"/>
      <c r="DP405" s="148"/>
      <c r="DQ405" s="144"/>
      <c r="DR405" s="149"/>
      <c r="DS405" s="150"/>
      <c r="DT405" s="151"/>
      <c r="DU405" s="141"/>
      <c r="DV405" s="152"/>
      <c r="DW405" s="150"/>
      <c r="DX405" s="142"/>
      <c r="DY405" s="142"/>
      <c r="DZ405" s="153"/>
      <c r="EA405" s="146"/>
      <c r="EB405" s="148"/>
    </row>
    <row r="406" spans="10:132" ht="21.75" customHeight="1" x14ac:dyDescent="0.5">
      <c r="J406" s="132"/>
      <c r="K406" s="132"/>
      <c r="DP406" s="148"/>
      <c r="DQ406" s="144"/>
      <c r="DR406" s="149"/>
      <c r="DS406" s="150"/>
      <c r="DT406" s="151"/>
      <c r="DU406" s="141"/>
      <c r="DV406" s="152"/>
      <c r="DW406" s="150"/>
      <c r="DX406" s="142"/>
      <c r="DY406" s="142"/>
      <c r="DZ406" s="153"/>
      <c r="EA406" s="146"/>
      <c r="EB406" s="148"/>
    </row>
    <row r="407" spans="10:132" ht="21.75" customHeight="1" x14ac:dyDescent="0.5">
      <c r="J407" s="132"/>
      <c r="K407" s="132"/>
      <c r="DP407" s="148"/>
      <c r="DQ407" s="144"/>
      <c r="DR407" s="149"/>
      <c r="DS407" s="150"/>
      <c r="DT407" s="151"/>
      <c r="DU407" s="141"/>
      <c r="DV407" s="152"/>
      <c r="DW407" s="150"/>
      <c r="DX407" s="142"/>
      <c r="DY407" s="142"/>
      <c r="DZ407" s="153"/>
      <c r="EA407" s="146"/>
      <c r="EB407" s="148"/>
    </row>
    <row r="408" spans="10:132" ht="21.75" customHeight="1" x14ac:dyDescent="0.5">
      <c r="J408" s="132"/>
      <c r="K408" s="132"/>
      <c r="DP408" s="148"/>
      <c r="DQ408" s="144"/>
      <c r="DR408" s="149"/>
      <c r="DS408" s="150"/>
      <c r="DT408" s="151"/>
      <c r="DU408" s="141"/>
      <c r="DV408" s="152"/>
      <c r="DW408" s="150"/>
      <c r="DX408" s="142"/>
      <c r="DY408" s="142"/>
      <c r="DZ408" s="153"/>
      <c r="EA408" s="146"/>
      <c r="EB408" s="148"/>
    </row>
    <row r="409" spans="10:132" ht="21.75" customHeight="1" x14ac:dyDescent="0.5">
      <c r="J409" s="132"/>
      <c r="K409" s="132"/>
      <c r="DP409" s="148"/>
      <c r="DQ409" s="144"/>
      <c r="DR409" s="149"/>
      <c r="DS409" s="150"/>
      <c r="DT409" s="151"/>
      <c r="DU409" s="141"/>
      <c r="DV409" s="152"/>
      <c r="DW409" s="150"/>
      <c r="DX409" s="142"/>
      <c r="DY409" s="142"/>
      <c r="DZ409" s="153"/>
      <c r="EA409" s="146"/>
      <c r="EB409" s="148"/>
    </row>
    <row r="410" spans="10:132" ht="21.75" customHeight="1" x14ac:dyDescent="0.5">
      <c r="J410" s="132"/>
      <c r="K410" s="132"/>
      <c r="DP410" s="148"/>
      <c r="DQ410" s="144"/>
      <c r="DR410" s="149"/>
      <c r="DS410" s="150"/>
      <c r="DT410" s="151"/>
      <c r="DU410" s="141"/>
      <c r="DV410" s="152"/>
      <c r="DW410" s="150"/>
      <c r="DX410" s="142"/>
      <c r="DY410" s="142"/>
      <c r="DZ410" s="153"/>
      <c r="EA410" s="146"/>
      <c r="EB410" s="148"/>
    </row>
    <row r="411" spans="10:132" ht="21.75" customHeight="1" x14ac:dyDescent="0.5">
      <c r="J411" s="132"/>
      <c r="K411" s="132"/>
      <c r="DP411" s="148"/>
      <c r="DQ411" s="144"/>
      <c r="DR411" s="149"/>
      <c r="DS411" s="150"/>
      <c r="DT411" s="151"/>
      <c r="DU411" s="141"/>
      <c r="DV411" s="152"/>
      <c r="DW411" s="150"/>
      <c r="DX411" s="142"/>
      <c r="DY411" s="142"/>
      <c r="DZ411" s="153"/>
      <c r="EA411" s="146"/>
      <c r="EB411" s="148"/>
    </row>
    <row r="412" spans="10:132" ht="21.75" customHeight="1" x14ac:dyDescent="0.5">
      <c r="J412" s="132"/>
      <c r="K412" s="132"/>
      <c r="DP412" s="148"/>
      <c r="DQ412" s="144"/>
      <c r="DR412" s="149"/>
      <c r="DS412" s="150"/>
      <c r="DT412" s="151"/>
      <c r="DU412" s="141"/>
      <c r="DV412" s="152"/>
      <c r="DW412" s="150"/>
      <c r="DX412" s="142"/>
      <c r="DY412" s="142"/>
      <c r="DZ412" s="153"/>
      <c r="EA412" s="146"/>
      <c r="EB412" s="148"/>
    </row>
    <row r="413" spans="10:132" ht="21.75" customHeight="1" x14ac:dyDescent="0.5">
      <c r="J413" s="132"/>
      <c r="K413" s="132"/>
      <c r="DP413" s="148"/>
      <c r="DQ413" s="144"/>
      <c r="DR413" s="149"/>
      <c r="DS413" s="150"/>
      <c r="DT413" s="151"/>
      <c r="DU413" s="141"/>
      <c r="DV413" s="152"/>
      <c r="DW413" s="150"/>
      <c r="DX413" s="142"/>
      <c r="DY413" s="142"/>
      <c r="DZ413" s="153"/>
      <c r="EA413" s="146"/>
      <c r="EB413" s="148"/>
    </row>
    <row r="414" spans="10:132" ht="21.75" customHeight="1" x14ac:dyDescent="0.5">
      <c r="J414" s="132"/>
      <c r="K414" s="132"/>
      <c r="DP414" s="148"/>
      <c r="DQ414" s="144"/>
      <c r="DR414" s="149"/>
      <c r="DS414" s="150"/>
      <c r="DT414" s="151"/>
      <c r="DU414" s="141"/>
      <c r="DV414" s="152"/>
      <c r="DW414" s="150"/>
      <c r="DX414" s="142"/>
      <c r="DY414" s="142"/>
      <c r="DZ414" s="153"/>
      <c r="EA414" s="146"/>
      <c r="EB414" s="148"/>
    </row>
    <row r="415" spans="10:132" ht="21.75" customHeight="1" x14ac:dyDescent="0.5">
      <c r="J415" s="132"/>
      <c r="K415" s="132"/>
      <c r="DP415" s="148"/>
      <c r="DQ415" s="144"/>
      <c r="DR415" s="149"/>
      <c r="DS415" s="150"/>
      <c r="DT415" s="151"/>
      <c r="DU415" s="141"/>
      <c r="DV415" s="152"/>
      <c r="DW415" s="150"/>
      <c r="DX415" s="142"/>
      <c r="DY415" s="142"/>
      <c r="DZ415" s="153"/>
      <c r="EA415" s="146"/>
      <c r="EB415" s="148"/>
    </row>
    <row r="416" spans="10:132" ht="21.75" customHeight="1" x14ac:dyDescent="0.5">
      <c r="J416" s="132"/>
      <c r="K416" s="132"/>
      <c r="DP416" s="148"/>
      <c r="DQ416" s="144"/>
      <c r="DR416" s="149"/>
      <c r="DS416" s="150"/>
      <c r="DT416" s="151"/>
      <c r="DU416" s="141"/>
      <c r="DV416" s="152"/>
      <c r="DW416" s="150"/>
      <c r="DX416" s="142"/>
      <c r="DY416" s="142"/>
      <c r="DZ416" s="153"/>
      <c r="EA416" s="146"/>
      <c r="EB416" s="148"/>
    </row>
    <row r="417" spans="1:132" ht="21.75" customHeight="1" x14ac:dyDescent="0.5">
      <c r="J417" s="132"/>
      <c r="K417" s="132"/>
      <c r="DP417" s="148"/>
      <c r="DQ417" s="144"/>
      <c r="DR417" s="149"/>
      <c r="DS417" s="150"/>
      <c r="DT417" s="151"/>
      <c r="DU417" s="141"/>
      <c r="DV417" s="152"/>
      <c r="DW417" s="150"/>
      <c r="DX417" s="142"/>
      <c r="DY417" s="142"/>
      <c r="DZ417" s="153"/>
      <c r="EA417" s="146"/>
      <c r="EB417" s="148"/>
    </row>
    <row r="418" spans="1:132" ht="21.75" customHeight="1" x14ac:dyDescent="0.5">
      <c r="J418" s="132"/>
      <c r="K418" s="132"/>
      <c r="DP418" s="148"/>
      <c r="DQ418" s="144"/>
      <c r="DR418" s="149"/>
      <c r="DS418" s="150"/>
      <c r="DT418" s="151"/>
      <c r="DU418" s="141"/>
      <c r="DV418" s="152"/>
      <c r="DW418" s="150"/>
      <c r="DX418" s="142"/>
      <c r="DY418" s="142"/>
      <c r="DZ418" s="153"/>
      <c r="EA418" s="146"/>
      <c r="EB418" s="148"/>
    </row>
    <row r="419" spans="1:132" ht="21.75" customHeight="1" x14ac:dyDescent="0.5">
      <c r="J419" s="132"/>
      <c r="K419" s="132"/>
      <c r="DP419" s="148"/>
      <c r="DQ419" s="144"/>
      <c r="DR419" s="149"/>
      <c r="DS419" s="150"/>
      <c r="DT419" s="151"/>
      <c r="DU419" s="141"/>
      <c r="DV419" s="152"/>
      <c r="DW419" s="150"/>
      <c r="DX419" s="142"/>
      <c r="DY419" s="142"/>
      <c r="DZ419" s="153"/>
      <c r="EA419" s="146"/>
      <c r="EB419" s="148"/>
    </row>
    <row r="420" spans="1:132" ht="21.75" customHeight="1" x14ac:dyDescent="0.5">
      <c r="J420" s="132"/>
      <c r="K420" s="132"/>
      <c r="DP420" s="148"/>
      <c r="DQ420" s="144"/>
      <c r="DR420" s="149"/>
      <c r="DS420" s="150"/>
      <c r="DT420" s="151"/>
      <c r="DU420" s="141"/>
      <c r="DV420" s="152"/>
      <c r="DW420" s="150"/>
      <c r="DX420" s="142"/>
      <c r="DY420" s="142"/>
      <c r="DZ420" s="153"/>
      <c r="EA420" s="146"/>
      <c r="EB420" s="148"/>
    </row>
    <row r="421" spans="1:132" ht="21.75" customHeight="1" x14ac:dyDescent="0.5">
      <c r="J421" s="132"/>
      <c r="K421" s="132"/>
      <c r="DP421" s="148"/>
      <c r="DQ421" s="144"/>
      <c r="DR421" s="149"/>
      <c r="DS421" s="150"/>
      <c r="DT421" s="151"/>
      <c r="DU421" s="141"/>
      <c r="DV421" s="152"/>
      <c r="DW421" s="150"/>
      <c r="DX421" s="142"/>
      <c r="DY421" s="142"/>
      <c r="DZ421" s="153"/>
      <c r="EA421" s="146"/>
      <c r="EB421" s="148"/>
    </row>
    <row r="422" spans="1:132" ht="21.75" customHeight="1" x14ac:dyDescent="0.5">
      <c r="J422" s="132"/>
      <c r="K422" s="132"/>
      <c r="DP422" s="148"/>
      <c r="DQ422" s="144"/>
      <c r="DR422" s="149"/>
      <c r="DS422" s="150"/>
      <c r="DT422" s="151"/>
      <c r="DU422" s="141"/>
      <c r="DV422" s="152"/>
      <c r="DW422" s="150"/>
      <c r="DX422" s="142"/>
      <c r="DY422" s="142"/>
      <c r="DZ422" s="153"/>
      <c r="EA422" s="146"/>
      <c r="EB422" s="148"/>
    </row>
    <row r="423" spans="1:132" ht="21.75" customHeight="1" x14ac:dyDescent="0.5">
      <c r="J423" s="132"/>
      <c r="K423" s="132"/>
      <c r="DP423" s="148"/>
      <c r="DQ423" s="144"/>
      <c r="DR423" s="149"/>
      <c r="DS423" s="150"/>
      <c r="DT423" s="151"/>
      <c r="DU423" s="141"/>
      <c r="DV423" s="152"/>
      <c r="DW423" s="150"/>
      <c r="DX423" s="142"/>
      <c r="DY423" s="142"/>
      <c r="DZ423" s="153"/>
      <c r="EA423" s="146"/>
      <c r="EB423" s="148"/>
    </row>
    <row r="424" spans="1:132" ht="21.75" customHeight="1" x14ac:dyDescent="0.5">
      <c r="J424" s="132"/>
      <c r="K424" s="132"/>
      <c r="DP424" s="148"/>
      <c r="DQ424" s="144"/>
      <c r="DR424" s="149"/>
      <c r="DS424" s="150"/>
      <c r="DT424" s="151"/>
      <c r="DU424" s="141"/>
      <c r="DV424" s="152"/>
      <c r="DW424" s="150"/>
      <c r="DX424" s="142"/>
      <c r="DY424" s="142"/>
      <c r="DZ424" s="153"/>
      <c r="EA424" s="146"/>
      <c r="EB424" s="148"/>
    </row>
    <row r="425" spans="1:132" ht="21.75" customHeight="1" x14ac:dyDescent="0.5">
      <c r="J425" s="132"/>
      <c r="K425" s="132"/>
      <c r="DP425" s="148"/>
      <c r="DQ425" s="144"/>
      <c r="DR425" s="149"/>
      <c r="DS425" s="150"/>
      <c r="DT425" s="151"/>
      <c r="DU425" s="141"/>
      <c r="DV425" s="152"/>
      <c r="DW425" s="150"/>
      <c r="DX425" s="142"/>
      <c r="DY425" s="142"/>
      <c r="DZ425" s="153"/>
      <c r="EA425" s="146"/>
      <c r="EB425" s="148"/>
    </row>
    <row r="426" spans="1:132" ht="21.75" customHeight="1" x14ac:dyDescent="0.5">
      <c r="J426" s="132"/>
      <c r="K426" s="132"/>
      <c r="DP426" s="148"/>
      <c r="DQ426" s="144"/>
      <c r="DR426" s="149"/>
      <c r="DS426" s="150"/>
      <c r="DT426" s="151"/>
      <c r="DU426" s="141"/>
      <c r="DV426" s="152"/>
      <c r="DW426" s="150"/>
      <c r="DX426" s="142"/>
      <c r="DY426" s="142"/>
      <c r="DZ426" s="153"/>
      <c r="EA426" s="146"/>
      <c r="EB426" s="148"/>
    </row>
    <row r="427" spans="1:132" ht="21.75" customHeight="1" x14ac:dyDescent="0.5">
      <c r="J427" s="132"/>
      <c r="K427" s="132"/>
      <c r="DP427" s="148"/>
      <c r="DQ427" s="144"/>
      <c r="DR427" s="149"/>
      <c r="DS427" s="150"/>
      <c r="DT427" s="151"/>
      <c r="DU427" s="141"/>
      <c r="DV427" s="152"/>
      <c r="DW427" s="150"/>
      <c r="DX427" s="142"/>
      <c r="DY427" s="142"/>
      <c r="DZ427" s="153"/>
      <c r="EA427" s="146"/>
      <c r="EB427" s="148"/>
    </row>
    <row r="428" spans="1:132" ht="21.75" customHeight="1" x14ac:dyDescent="0.5">
      <c r="J428" s="132"/>
      <c r="K428" s="132"/>
      <c r="DP428" s="148"/>
      <c r="DQ428" s="144"/>
      <c r="DR428" s="149"/>
      <c r="DS428" s="150"/>
      <c r="DT428" s="151"/>
      <c r="DU428" s="141"/>
      <c r="DV428" s="152"/>
      <c r="DW428" s="150"/>
      <c r="DX428" s="142"/>
      <c r="DY428" s="142"/>
      <c r="DZ428" s="153"/>
      <c r="EA428" s="146"/>
      <c r="EB428" s="148"/>
    </row>
    <row r="429" spans="1:132" ht="21.75" customHeight="1" x14ac:dyDescent="0.5">
      <c r="J429" s="132"/>
      <c r="K429" s="132"/>
      <c r="DP429" s="148"/>
      <c r="DQ429" s="144"/>
      <c r="DR429" s="149"/>
      <c r="DS429" s="150"/>
      <c r="DT429" s="151"/>
      <c r="DU429" s="141"/>
      <c r="DV429" s="152"/>
      <c r="DW429" s="150"/>
      <c r="DX429" s="142"/>
      <c r="DY429" s="142"/>
      <c r="DZ429" s="153"/>
      <c r="EA429" s="146"/>
      <c r="EB429" s="148"/>
    </row>
    <row r="430" spans="1:132" ht="21.75" customHeight="1" x14ac:dyDescent="0.5">
      <c r="J430" s="132"/>
      <c r="K430" s="132"/>
      <c r="DQ430" s="144"/>
      <c r="DR430" s="149"/>
      <c r="DS430" s="150"/>
      <c r="DT430" s="151"/>
      <c r="DU430" s="141"/>
      <c r="DV430" s="152"/>
      <c r="DW430" s="150"/>
      <c r="DX430" s="142"/>
      <c r="DY430" s="142"/>
      <c r="DZ430" s="153"/>
      <c r="EA430" s="146"/>
      <c r="EB430" s="148"/>
    </row>
    <row r="431" spans="1:132" ht="21.75" customHeight="1" x14ac:dyDescent="0.5">
      <c r="A431" s="148"/>
      <c r="J431" s="132"/>
      <c r="K431" s="132"/>
      <c r="DQ431" s="144"/>
      <c r="DR431" s="149"/>
      <c r="DS431" s="150"/>
      <c r="DT431" s="151"/>
      <c r="DU431" s="141"/>
      <c r="DV431" s="152"/>
      <c r="DW431" s="150"/>
      <c r="DX431" s="142"/>
      <c r="DY431" s="142"/>
      <c r="DZ431" s="153"/>
      <c r="EA431" s="146"/>
      <c r="EB431" s="148"/>
    </row>
    <row r="432" spans="1:132" ht="21.75" customHeight="1" x14ac:dyDescent="0.5">
      <c r="A432" s="148"/>
      <c r="J432" s="132"/>
      <c r="K432" s="132"/>
      <c r="DQ432" s="144"/>
      <c r="DR432" s="149"/>
      <c r="DS432" s="150"/>
      <c r="DT432" s="151"/>
      <c r="DU432" s="141"/>
      <c r="DV432" s="152"/>
      <c r="DW432" s="150"/>
      <c r="DX432" s="142"/>
      <c r="DY432" s="142"/>
      <c r="DZ432" s="153"/>
      <c r="EA432" s="146"/>
      <c r="EB432" s="148"/>
    </row>
    <row r="433" spans="1:132" ht="21.75" customHeight="1" x14ac:dyDescent="0.5">
      <c r="A433" s="148"/>
      <c r="J433" s="132"/>
      <c r="K433" s="132"/>
      <c r="DQ433" s="144"/>
      <c r="DR433" s="149"/>
      <c r="DS433" s="150"/>
      <c r="DT433" s="151"/>
      <c r="DU433" s="141"/>
      <c r="DV433" s="152"/>
      <c r="DW433" s="150"/>
      <c r="DX433" s="142"/>
      <c r="DY433" s="142"/>
      <c r="DZ433" s="153"/>
      <c r="EA433" s="146"/>
      <c r="EB433" s="148"/>
    </row>
    <row r="434" spans="1:132" ht="21.75" customHeight="1" x14ac:dyDescent="0.5">
      <c r="A434" s="148"/>
      <c r="J434" s="132"/>
      <c r="K434" s="132"/>
      <c r="DQ434" s="144"/>
      <c r="DR434" s="149"/>
      <c r="DS434" s="150"/>
      <c r="DT434" s="151"/>
      <c r="DU434" s="141"/>
      <c r="DV434" s="152"/>
      <c r="DW434" s="150"/>
      <c r="DX434" s="142"/>
      <c r="DY434" s="142"/>
      <c r="DZ434" s="153"/>
      <c r="EA434" s="146"/>
      <c r="EB434" s="148"/>
    </row>
    <row r="435" spans="1:132" ht="21.75" customHeight="1" x14ac:dyDescent="0.5">
      <c r="A435" s="148"/>
      <c r="J435" s="132"/>
      <c r="K435" s="132"/>
      <c r="DQ435" s="144"/>
      <c r="DR435" s="149"/>
      <c r="DS435" s="150"/>
      <c r="DT435" s="151"/>
      <c r="DU435" s="141"/>
      <c r="DV435" s="152"/>
      <c r="DW435" s="150"/>
      <c r="DX435" s="142"/>
      <c r="DY435" s="142"/>
      <c r="DZ435" s="153"/>
      <c r="EA435" s="146"/>
      <c r="EB435" s="148"/>
    </row>
    <row r="436" spans="1:132" ht="21.75" customHeight="1" x14ac:dyDescent="0.5">
      <c r="A436" s="148"/>
      <c r="J436" s="132"/>
      <c r="K436" s="132"/>
      <c r="DQ436" s="144"/>
      <c r="DR436" s="149"/>
      <c r="DS436" s="150"/>
      <c r="DT436" s="151"/>
      <c r="DU436" s="141"/>
      <c r="DV436" s="152"/>
      <c r="DW436" s="150"/>
      <c r="DX436" s="142"/>
      <c r="DY436" s="142"/>
      <c r="DZ436" s="153"/>
      <c r="EA436" s="146"/>
      <c r="EB436" s="148"/>
    </row>
    <row r="437" spans="1:132" ht="21.75" customHeight="1" x14ac:dyDescent="0.5">
      <c r="A437" s="148"/>
      <c r="J437" s="132"/>
      <c r="K437" s="132"/>
      <c r="DQ437" s="144"/>
      <c r="DR437" s="149"/>
      <c r="DS437" s="150"/>
      <c r="DT437" s="151"/>
      <c r="DU437" s="141"/>
      <c r="DV437" s="152"/>
      <c r="DW437" s="150"/>
      <c r="DX437" s="142"/>
      <c r="DY437" s="142"/>
      <c r="DZ437" s="153"/>
      <c r="EA437" s="146"/>
      <c r="EB437" s="148"/>
    </row>
    <row r="438" spans="1:132" ht="21.75" customHeight="1" x14ac:dyDescent="0.5">
      <c r="A438" s="148"/>
      <c r="J438" s="132"/>
      <c r="K438" s="132"/>
      <c r="DQ438" s="144"/>
      <c r="DR438" s="149"/>
      <c r="DS438" s="150"/>
      <c r="DT438" s="151"/>
      <c r="DU438" s="141"/>
      <c r="DV438" s="152"/>
      <c r="DW438" s="150"/>
      <c r="DX438" s="142"/>
      <c r="DY438" s="142"/>
      <c r="DZ438" s="153"/>
      <c r="EA438" s="146"/>
      <c r="EB438" s="148"/>
    </row>
    <row r="439" spans="1:132" ht="21.75" customHeight="1" x14ac:dyDescent="0.5">
      <c r="A439" s="148"/>
      <c r="J439" s="132"/>
      <c r="K439" s="132"/>
      <c r="DQ439" s="144"/>
      <c r="DR439" s="149"/>
      <c r="DS439" s="150"/>
      <c r="DT439" s="151"/>
      <c r="DU439" s="141"/>
      <c r="DV439" s="152"/>
      <c r="DW439" s="150"/>
      <c r="DX439" s="142"/>
      <c r="DY439" s="142"/>
      <c r="DZ439" s="153"/>
      <c r="EA439" s="146"/>
      <c r="EB439" s="148"/>
    </row>
    <row r="440" spans="1:132" ht="21.75" customHeight="1" x14ac:dyDescent="0.5">
      <c r="A440" s="148"/>
      <c r="J440" s="132"/>
      <c r="K440" s="132"/>
      <c r="DQ440" s="144"/>
      <c r="DR440" s="149"/>
      <c r="DS440" s="150"/>
      <c r="DT440" s="151"/>
      <c r="DU440" s="141"/>
      <c r="DV440" s="152"/>
      <c r="DW440" s="150"/>
      <c r="DX440" s="142"/>
      <c r="DY440" s="142"/>
      <c r="DZ440" s="153"/>
      <c r="EA440" s="146"/>
      <c r="EB440" s="148"/>
    </row>
    <row r="441" spans="1:132" ht="21.75" customHeight="1" x14ac:dyDescent="0.5">
      <c r="A441" s="148"/>
      <c r="J441" s="132"/>
      <c r="K441" s="132"/>
      <c r="DQ441" s="144"/>
      <c r="DR441" s="149"/>
      <c r="DS441" s="150"/>
      <c r="DT441" s="151"/>
      <c r="DU441" s="141"/>
      <c r="DV441" s="152"/>
      <c r="DW441" s="150"/>
      <c r="DX441" s="142"/>
      <c r="DY441" s="142"/>
      <c r="DZ441" s="153"/>
      <c r="EA441" s="146"/>
      <c r="EB441" s="148"/>
    </row>
    <row r="442" spans="1:132" ht="21.75" customHeight="1" x14ac:dyDescent="0.5">
      <c r="A442" s="148"/>
      <c r="J442" s="132"/>
      <c r="K442" s="132"/>
      <c r="DQ442" s="144"/>
      <c r="DR442" s="149"/>
      <c r="DS442" s="150"/>
      <c r="DT442" s="151"/>
      <c r="DU442" s="141"/>
      <c r="DV442" s="152"/>
      <c r="DW442" s="150"/>
      <c r="DX442" s="142"/>
      <c r="DY442" s="142"/>
      <c r="DZ442" s="153"/>
      <c r="EA442" s="146"/>
      <c r="EB442" s="148"/>
    </row>
    <row r="443" spans="1:132" ht="21.75" customHeight="1" x14ac:dyDescent="0.5">
      <c r="A443" s="148"/>
      <c r="J443" s="132"/>
      <c r="K443" s="132"/>
      <c r="DQ443" s="144"/>
      <c r="DR443" s="149"/>
      <c r="DS443" s="150"/>
      <c r="DT443" s="151"/>
      <c r="DU443" s="141"/>
      <c r="DV443" s="152"/>
      <c r="DW443" s="150"/>
      <c r="DX443" s="142"/>
      <c r="DY443" s="142"/>
      <c r="DZ443" s="153"/>
      <c r="EA443" s="146"/>
      <c r="EB443" s="148"/>
    </row>
    <row r="444" spans="1:132" ht="21.75" customHeight="1" x14ac:dyDescent="0.5">
      <c r="A444" s="148"/>
      <c r="J444" s="132"/>
      <c r="K444" s="132"/>
      <c r="DQ444" s="144"/>
      <c r="DR444" s="149"/>
      <c r="DS444" s="150"/>
      <c r="DT444" s="151"/>
      <c r="DU444" s="141"/>
      <c r="DV444" s="152"/>
      <c r="DW444" s="150"/>
      <c r="DX444" s="142"/>
      <c r="DY444" s="142"/>
      <c r="DZ444" s="153"/>
      <c r="EA444" s="146"/>
      <c r="EB444" s="148"/>
    </row>
    <row r="445" spans="1:132" ht="21.75" customHeight="1" x14ac:dyDescent="0.5">
      <c r="A445" s="148"/>
      <c r="J445" s="132"/>
      <c r="K445" s="132"/>
      <c r="DQ445" s="144"/>
      <c r="DR445" s="149"/>
      <c r="DS445" s="150"/>
      <c r="DT445" s="151"/>
      <c r="DU445" s="141"/>
      <c r="DV445" s="152"/>
      <c r="DW445" s="150"/>
      <c r="DX445" s="142"/>
      <c r="DY445" s="142"/>
      <c r="DZ445" s="153"/>
      <c r="EA445" s="146"/>
      <c r="EB445" s="148"/>
    </row>
    <row r="446" spans="1:132" ht="21.75" customHeight="1" x14ac:dyDescent="0.5">
      <c r="A446" s="148"/>
      <c r="J446" s="132"/>
      <c r="K446" s="132"/>
      <c r="DQ446" s="144"/>
      <c r="DR446" s="149"/>
      <c r="DS446" s="150"/>
      <c r="DT446" s="151"/>
      <c r="DU446" s="141"/>
      <c r="DV446" s="152"/>
      <c r="DW446" s="150"/>
      <c r="DX446" s="142"/>
      <c r="DY446" s="142"/>
      <c r="DZ446" s="153"/>
      <c r="EA446" s="146"/>
      <c r="EB446" s="148"/>
    </row>
    <row r="447" spans="1:132" ht="21.75" customHeight="1" x14ac:dyDescent="0.5">
      <c r="A447" s="148"/>
      <c r="J447" s="132"/>
      <c r="K447" s="132"/>
      <c r="DQ447" s="144"/>
      <c r="DR447" s="149"/>
      <c r="DS447" s="150"/>
      <c r="DT447" s="151"/>
      <c r="DU447" s="141"/>
      <c r="DV447" s="152"/>
      <c r="DW447" s="150"/>
      <c r="DX447" s="142"/>
      <c r="DY447" s="142"/>
      <c r="DZ447" s="153"/>
      <c r="EA447" s="146"/>
      <c r="EB447" s="148"/>
    </row>
    <row r="448" spans="1:132" ht="21.75" customHeight="1" x14ac:dyDescent="0.5">
      <c r="A448" s="148"/>
      <c r="J448" s="132"/>
      <c r="K448" s="132"/>
      <c r="DQ448" s="144"/>
      <c r="DR448" s="149"/>
      <c r="DS448" s="150"/>
      <c r="DT448" s="151"/>
      <c r="DU448" s="141"/>
      <c r="DV448" s="152"/>
      <c r="DW448" s="150"/>
      <c r="DX448" s="142"/>
      <c r="DY448" s="142"/>
      <c r="DZ448" s="153"/>
      <c r="EA448" s="146"/>
      <c r="EB448" s="148"/>
    </row>
    <row r="449" spans="1:132" ht="21.75" customHeight="1" x14ac:dyDescent="0.5">
      <c r="A449" s="148"/>
      <c r="J449" s="132"/>
      <c r="K449" s="132"/>
      <c r="DQ449" s="144"/>
      <c r="DR449" s="149"/>
      <c r="DS449" s="150"/>
      <c r="DT449" s="151"/>
      <c r="DU449" s="141"/>
      <c r="DV449" s="152"/>
      <c r="DW449" s="150"/>
      <c r="DX449" s="142"/>
      <c r="DY449" s="142"/>
      <c r="DZ449" s="153"/>
      <c r="EA449" s="146"/>
      <c r="EB449" s="148"/>
    </row>
    <row r="450" spans="1:132" ht="21.75" customHeight="1" x14ac:dyDescent="0.5">
      <c r="A450" s="148"/>
      <c r="J450" s="132"/>
      <c r="K450" s="132"/>
      <c r="DQ450" s="144"/>
      <c r="DR450" s="149"/>
      <c r="DS450" s="150"/>
      <c r="DT450" s="151"/>
      <c r="DU450" s="141"/>
      <c r="DV450" s="152"/>
      <c r="DW450" s="150"/>
      <c r="DX450" s="142"/>
      <c r="DY450" s="142"/>
      <c r="DZ450" s="153"/>
      <c r="EA450" s="146"/>
      <c r="EB450" s="148"/>
    </row>
    <row r="451" spans="1:132" ht="21.75" customHeight="1" x14ac:dyDescent="0.5">
      <c r="A451" s="148"/>
      <c r="J451" s="132"/>
      <c r="K451" s="132"/>
      <c r="DQ451" s="144"/>
      <c r="DR451" s="149"/>
      <c r="DS451" s="150"/>
      <c r="DT451" s="151"/>
      <c r="DU451" s="141"/>
      <c r="DV451" s="152"/>
      <c r="DW451" s="150"/>
      <c r="DX451" s="142"/>
      <c r="DY451" s="142"/>
      <c r="DZ451" s="153"/>
      <c r="EA451" s="146"/>
      <c r="EB451" s="148"/>
    </row>
    <row r="452" spans="1:132" ht="21.75" customHeight="1" x14ac:dyDescent="0.5">
      <c r="A452" s="148"/>
      <c r="J452" s="132"/>
      <c r="K452" s="132"/>
      <c r="DQ452" s="144"/>
      <c r="DR452" s="149"/>
      <c r="DS452" s="150"/>
      <c r="DT452" s="151"/>
      <c r="DU452" s="141"/>
      <c r="DV452" s="152"/>
      <c r="DW452" s="150"/>
      <c r="DX452" s="142"/>
      <c r="DY452" s="142"/>
      <c r="DZ452" s="153"/>
      <c r="EA452" s="146"/>
      <c r="EB452" s="148"/>
    </row>
    <row r="453" spans="1:132" ht="21.75" customHeight="1" x14ac:dyDescent="0.5">
      <c r="A453" s="148"/>
      <c r="J453" s="132"/>
      <c r="K453" s="132"/>
      <c r="DQ453" s="144"/>
      <c r="DR453" s="149"/>
      <c r="DS453" s="150"/>
      <c r="DT453" s="151"/>
      <c r="DU453" s="141"/>
      <c r="DV453" s="152"/>
      <c r="DW453" s="150"/>
      <c r="DX453" s="142"/>
      <c r="DY453" s="142"/>
      <c r="DZ453" s="153"/>
      <c r="EA453" s="146"/>
      <c r="EB453" s="148"/>
    </row>
    <row r="454" spans="1:132" ht="21.75" customHeight="1" x14ac:dyDescent="0.5">
      <c r="A454" s="148"/>
      <c r="J454" s="132"/>
      <c r="K454" s="132"/>
      <c r="DQ454" s="144"/>
      <c r="DR454" s="149"/>
      <c r="DS454" s="150"/>
      <c r="DT454" s="151"/>
      <c r="DU454" s="141"/>
      <c r="DV454" s="152"/>
      <c r="DW454" s="150"/>
      <c r="DX454" s="142"/>
      <c r="DY454" s="142"/>
      <c r="DZ454" s="153"/>
      <c r="EA454" s="146"/>
      <c r="EB454" s="148"/>
    </row>
    <row r="455" spans="1:132" ht="21.75" customHeight="1" x14ac:dyDescent="0.5">
      <c r="A455" s="148"/>
      <c r="J455" s="132"/>
      <c r="K455" s="132"/>
      <c r="DQ455" s="144"/>
      <c r="DR455" s="149"/>
      <c r="DS455" s="150"/>
      <c r="DT455" s="151"/>
      <c r="DU455" s="141"/>
      <c r="DV455" s="152"/>
      <c r="DW455" s="150"/>
      <c r="DX455" s="142"/>
      <c r="DY455" s="142"/>
      <c r="DZ455" s="153"/>
      <c r="EA455" s="146"/>
      <c r="EB455" s="148"/>
    </row>
    <row r="456" spans="1:132" ht="21.75" customHeight="1" x14ac:dyDescent="0.5">
      <c r="A456" s="148"/>
      <c r="J456" s="132"/>
      <c r="K456" s="132"/>
      <c r="DQ456" s="144"/>
      <c r="DR456" s="149"/>
      <c r="DS456" s="150"/>
      <c r="DT456" s="151"/>
      <c r="DU456" s="141"/>
      <c r="DV456" s="152"/>
      <c r="DW456" s="150"/>
      <c r="DX456" s="142"/>
      <c r="DY456" s="142"/>
      <c r="DZ456" s="153"/>
      <c r="EA456" s="146"/>
      <c r="EB456" s="148"/>
    </row>
    <row r="457" spans="1:132" ht="21.75" customHeight="1" x14ac:dyDescent="0.5">
      <c r="A457" s="148"/>
      <c r="J457" s="132"/>
      <c r="K457" s="132"/>
      <c r="DQ457" s="144"/>
      <c r="DR457" s="149"/>
      <c r="DS457" s="150"/>
      <c r="DT457" s="151"/>
      <c r="DU457" s="141"/>
      <c r="DV457" s="152"/>
      <c r="DW457" s="150"/>
      <c r="DX457" s="142"/>
      <c r="DY457" s="142"/>
      <c r="DZ457" s="153"/>
      <c r="EA457" s="146"/>
      <c r="EB457" s="148"/>
    </row>
    <row r="458" spans="1:132" ht="21.75" customHeight="1" x14ac:dyDescent="0.5">
      <c r="A458" s="148"/>
      <c r="J458" s="132"/>
      <c r="K458" s="132"/>
      <c r="DQ458" s="144"/>
      <c r="DR458" s="149"/>
      <c r="DS458" s="150"/>
      <c r="DT458" s="151"/>
      <c r="DU458" s="141"/>
      <c r="DV458" s="152"/>
      <c r="DW458" s="150"/>
      <c r="DX458" s="142"/>
      <c r="DY458" s="142"/>
      <c r="DZ458" s="153"/>
      <c r="EA458" s="146"/>
      <c r="EB458" s="148"/>
    </row>
    <row r="459" spans="1:132" ht="21.75" customHeight="1" x14ac:dyDescent="0.5">
      <c r="A459" s="148"/>
      <c r="J459" s="132"/>
      <c r="K459" s="132"/>
      <c r="DQ459" s="144"/>
      <c r="DR459" s="149"/>
      <c r="DS459" s="150"/>
      <c r="DT459" s="151"/>
      <c r="DU459" s="141"/>
      <c r="DV459" s="152"/>
      <c r="DW459" s="150"/>
      <c r="DX459" s="142"/>
      <c r="DY459" s="142"/>
      <c r="DZ459" s="153"/>
      <c r="EA459" s="146"/>
      <c r="EB459" s="148"/>
    </row>
    <row r="460" spans="1:132" ht="21.75" customHeight="1" x14ac:dyDescent="0.5">
      <c r="A460" s="148"/>
      <c r="J460" s="132"/>
      <c r="K460" s="132"/>
      <c r="DQ460" s="144"/>
      <c r="DR460" s="149"/>
      <c r="DS460" s="150"/>
      <c r="DT460" s="151"/>
      <c r="DU460" s="141"/>
      <c r="DV460" s="152"/>
      <c r="DW460" s="150"/>
      <c r="DX460" s="142"/>
      <c r="DY460" s="142"/>
      <c r="DZ460" s="153"/>
      <c r="EA460" s="146"/>
      <c r="EB460" s="148"/>
    </row>
    <row r="461" spans="1:132" x14ac:dyDescent="0.5">
      <c r="A461" s="148"/>
      <c r="J461" s="132"/>
      <c r="K461" s="132"/>
    </row>
    <row r="462" spans="1:132" x14ac:dyDescent="0.5">
      <c r="A462" s="148"/>
      <c r="J462" s="132"/>
      <c r="K462" s="132"/>
    </row>
    <row r="584" spans="1:255" x14ac:dyDescent="0.5"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  <c r="CW584" s="155"/>
      <c r="CX584" s="155"/>
      <c r="CY584" s="155"/>
      <c r="CZ584" s="155"/>
      <c r="DA584" s="155"/>
      <c r="DB584" s="155"/>
      <c r="DC584" s="155"/>
      <c r="DD584" s="155"/>
      <c r="DE584" s="155"/>
      <c r="DF584" s="155"/>
      <c r="DG584" s="155"/>
      <c r="DH584" s="155"/>
      <c r="DI584" s="155"/>
      <c r="DJ584" s="155"/>
      <c r="DK584" s="155"/>
      <c r="DL584" s="155"/>
      <c r="DM584" s="155"/>
      <c r="DN584" s="155"/>
      <c r="DO584" s="155"/>
      <c r="DP584" s="155"/>
      <c r="DQ584" s="155"/>
      <c r="DR584" s="155"/>
      <c r="DS584" s="155"/>
      <c r="DT584" s="155"/>
      <c r="DU584" s="155"/>
      <c r="DV584" s="155"/>
      <c r="DW584" s="155"/>
      <c r="DX584" s="155"/>
      <c r="DY584" s="155"/>
      <c r="DZ584" s="155"/>
      <c r="EA584" s="155"/>
      <c r="EB584" s="155"/>
      <c r="EC584" s="155"/>
      <c r="ED584" s="155"/>
      <c r="EE584" s="155"/>
      <c r="EF584" s="155"/>
      <c r="EG584" s="155"/>
      <c r="EH584" s="155"/>
      <c r="EI584" s="155"/>
      <c r="EJ584" s="155"/>
      <c r="EK584" s="155"/>
      <c r="EL584" s="155"/>
      <c r="EM584" s="155"/>
      <c r="EN584" s="155"/>
      <c r="EO584" s="155"/>
      <c r="EP584" s="155"/>
      <c r="EQ584" s="155"/>
      <c r="ER584" s="155"/>
      <c r="ES584" s="155"/>
      <c r="ET584" s="155"/>
      <c r="EU584" s="155"/>
      <c r="EV584" s="155"/>
      <c r="EW584" s="155"/>
      <c r="EX584" s="155"/>
      <c r="EY584" s="155"/>
      <c r="EZ584" s="155"/>
      <c r="FA584" s="155"/>
      <c r="FB584" s="155"/>
      <c r="FC584" s="155"/>
      <c r="FD584" s="155"/>
      <c r="FE584" s="155"/>
      <c r="FF584" s="155"/>
      <c r="FG584" s="155"/>
      <c r="FH584" s="155"/>
      <c r="FI584" s="155"/>
      <c r="FJ584" s="155"/>
      <c r="FK584" s="155"/>
      <c r="FL584" s="155"/>
      <c r="FM584" s="155"/>
      <c r="FN584" s="155"/>
      <c r="FO584" s="155"/>
      <c r="FP584" s="155"/>
      <c r="FQ584" s="155"/>
      <c r="FR584" s="155"/>
      <c r="FS584" s="155"/>
      <c r="FT584" s="155"/>
      <c r="FU584" s="155"/>
      <c r="FV584" s="155"/>
      <c r="FW584" s="155"/>
      <c r="FX584" s="155"/>
      <c r="FY584" s="155"/>
      <c r="FZ584" s="155"/>
      <c r="GA584" s="155"/>
      <c r="GB584" s="155"/>
      <c r="GC584" s="155"/>
      <c r="GD584" s="155"/>
      <c r="GE584" s="155"/>
      <c r="GF584" s="155"/>
      <c r="GG584" s="155"/>
      <c r="GH584" s="155"/>
      <c r="GI584" s="155"/>
      <c r="GJ584" s="155"/>
      <c r="GK584" s="155"/>
      <c r="GL584" s="155"/>
      <c r="GM584" s="155"/>
      <c r="GN584" s="155"/>
      <c r="GO584" s="155"/>
      <c r="GP584" s="155"/>
      <c r="GQ584" s="155"/>
      <c r="GR584" s="155"/>
      <c r="GS584" s="155"/>
      <c r="GT584" s="155"/>
      <c r="GU584" s="155"/>
      <c r="GV584" s="155"/>
      <c r="GW584" s="155"/>
      <c r="GX584" s="155"/>
      <c r="GY584" s="155"/>
      <c r="GZ584" s="155"/>
      <c r="HA584" s="155"/>
      <c r="HB584" s="155"/>
      <c r="HC584" s="155"/>
      <c r="HD584" s="155"/>
      <c r="HE584" s="155"/>
      <c r="HF584" s="155"/>
      <c r="HG584" s="155"/>
      <c r="HH584" s="155"/>
      <c r="HI584" s="155"/>
      <c r="HJ584" s="155"/>
      <c r="HK584" s="155"/>
      <c r="HL584" s="155"/>
      <c r="HM584" s="155"/>
      <c r="HN584" s="155"/>
      <c r="HO584" s="155"/>
      <c r="HP584" s="155"/>
      <c r="HQ584" s="155"/>
      <c r="HR584" s="155"/>
      <c r="HS584" s="155"/>
      <c r="HT584" s="155"/>
      <c r="HU584" s="155"/>
      <c r="HV584" s="155"/>
      <c r="HW584" s="155"/>
      <c r="HX584" s="155"/>
      <c r="HY584" s="155"/>
      <c r="HZ584" s="155"/>
      <c r="IA584" s="155"/>
      <c r="IB584" s="155"/>
      <c r="IC584" s="155"/>
      <c r="ID584" s="155"/>
      <c r="IE584" s="155"/>
      <c r="IF584" s="155"/>
      <c r="IG584" s="155"/>
      <c r="IH584" s="155"/>
      <c r="II584" s="155"/>
      <c r="IJ584" s="155"/>
      <c r="IK584" s="155"/>
      <c r="IL584" s="155"/>
      <c r="IM584" s="155"/>
      <c r="IN584" s="155"/>
      <c r="IO584" s="155"/>
      <c r="IP584" s="155"/>
      <c r="IQ584" s="155"/>
      <c r="IR584" s="155"/>
      <c r="IS584" s="155"/>
      <c r="IT584" s="155"/>
      <c r="IU584" s="155"/>
    </row>
    <row r="587" spans="1:255" s="155" customFormat="1" x14ac:dyDescent="0.5">
      <c r="A587" s="132"/>
      <c r="B587" s="132"/>
      <c r="C587" s="132"/>
      <c r="D587" s="132"/>
      <c r="E587" s="132"/>
      <c r="F587" s="132"/>
      <c r="G587" s="132"/>
      <c r="H587" s="132"/>
      <c r="I587" s="132"/>
      <c r="J587" s="154"/>
      <c r="K587" s="148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  <c r="BB587" s="132"/>
      <c r="BC587" s="132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  <c r="BP587" s="132"/>
      <c r="BQ587" s="132"/>
      <c r="BR587" s="132"/>
      <c r="BS587" s="132"/>
      <c r="BT587" s="132"/>
      <c r="BU587" s="132"/>
      <c r="BV587" s="132"/>
      <c r="BW587" s="132"/>
      <c r="BX587" s="132"/>
      <c r="BY587" s="132"/>
      <c r="BZ587" s="132"/>
      <c r="CA587" s="132"/>
      <c r="CB587" s="132"/>
      <c r="CC587" s="132"/>
      <c r="CD587" s="132"/>
      <c r="CE587" s="132"/>
      <c r="CF587" s="132"/>
      <c r="CG587" s="132"/>
      <c r="CH587" s="132"/>
      <c r="CI587" s="132"/>
      <c r="CJ587" s="132"/>
      <c r="CK587" s="132"/>
      <c r="CL587" s="132"/>
      <c r="CM587" s="132"/>
      <c r="CN587" s="132"/>
      <c r="CO587" s="132"/>
      <c r="CP587" s="132"/>
      <c r="CQ587" s="132"/>
      <c r="CR587" s="132"/>
      <c r="CS587" s="132"/>
      <c r="CT587" s="132"/>
      <c r="CU587" s="132"/>
      <c r="CV587" s="132"/>
      <c r="CW587" s="132"/>
      <c r="CX587" s="132"/>
      <c r="CY587" s="132"/>
      <c r="CZ587" s="132"/>
      <c r="DA587" s="132"/>
      <c r="DB587" s="132"/>
      <c r="DC587" s="132"/>
      <c r="DD587" s="132"/>
      <c r="DE587" s="132"/>
      <c r="DF587" s="132"/>
      <c r="DG587" s="132"/>
      <c r="DH587" s="132"/>
      <c r="DI587" s="132"/>
      <c r="DJ587" s="132"/>
      <c r="DK587" s="132"/>
      <c r="DL587" s="132"/>
      <c r="DM587" s="132"/>
      <c r="DN587" s="132"/>
      <c r="DO587" s="132"/>
      <c r="DP587" s="132"/>
      <c r="DQ587" s="132"/>
      <c r="DR587" s="132"/>
      <c r="DS587" s="132"/>
      <c r="DT587" s="132"/>
      <c r="DU587" s="132"/>
      <c r="DV587" s="132"/>
      <c r="DW587" s="132"/>
      <c r="DX587" s="132"/>
      <c r="DY587" s="132"/>
      <c r="DZ587" s="132"/>
      <c r="EA587" s="132"/>
      <c r="EB587" s="132"/>
      <c r="EC587" s="132"/>
      <c r="ED587" s="132"/>
      <c r="EE587" s="132"/>
      <c r="EF587" s="132"/>
      <c r="EG587" s="132"/>
      <c r="EH587" s="132"/>
      <c r="EI587" s="132"/>
      <c r="EJ587" s="132"/>
      <c r="EK587" s="132"/>
      <c r="EL587" s="132"/>
      <c r="EM587" s="132"/>
      <c r="EN587" s="132"/>
      <c r="EO587" s="132"/>
      <c r="EP587" s="132"/>
      <c r="EQ587" s="132"/>
      <c r="ER587" s="132"/>
      <c r="ES587" s="132"/>
      <c r="ET587" s="132"/>
      <c r="EU587" s="132"/>
      <c r="EV587" s="132"/>
      <c r="EW587" s="132"/>
      <c r="EX587" s="132"/>
      <c r="EY587" s="132"/>
      <c r="EZ587" s="132"/>
      <c r="FA587" s="132"/>
      <c r="FB587" s="132"/>
      <c r="FC587" s="132"/>
      <c r="FD587" s="132"/>
      <c r="FE587" s="132"/>
      <c r="FF587" s="132"/>
      <c r="FG587" s="132"/>
      <c r="FH587" s="132"/>
      <c r="FI587" s="132"/>
      <c r="FJ587" s="132"/>
      <c r="FK587" s="132"/>
      <c r="FL587" s="132"/>
      <c r="FM587" s="132"/>
      <c r="FN587" s="132"/>
      <c r="FO587" s="132"/>
      <c r="FP587" s="132"/>
      <c r="FQ587" s="132"/>
      <c r="FR587" s="132"/>
      <c r="FS587" s="132"/>
      <c r="FT587" s="132"/>
      <c r="FU587" s="132"/>
      <c r="FV587" s="132"/>
      <c r="FW587" s="132"/>
      <c r="FX587" s="132"/>
      <c r="FY587" s="132"/>
      <c r="FZ587" s="132"/>
      <c r="GA587" s="132"/>
      <c r="GB587" s="132"/>
      <c r="GC587" s="132"/>
      <c r="GD587" s="132"/>
      <c r="GE587" s="132"/>
      <c r="GF587" s="132"/>
      <c r="GG587" s="132"/>
      <c r="GH587" s="132"/>
      <c r="GI587" s="132"/>
      <c r="GJ587" s="132"/>
      <c r="GK587" s="132"/>
      <c r="GL587" s="132"/>
      <c r="GM587" s="132"/>
      <c r="GN587" s="132"/>
      <c r="GO587" s="132"/>
      <c r="GP587" s="132"/>
      <c r="GQ587" s="132"/>
      <c r="GR587" s="132"/>
      <c r="GS587" s="132"/>
      <c r="GT587" s="132"/>
      <c r="GU587" s="132"/>
      <c r="GV587" s="132"/>
      <c r="GW587" s="132"/>
      <c r="GX587" s="132"/>
      <c r="GY587" s="132"/>
      <c r="GZ587" s="132"/>
      <c r="HA587" s="132"/>
      <c r="HB587" s="132"/>
      <c r="HC587" s="132"/>
      <c r="HD587" s="132"/>
      <c r="HE587" s="132"/>
      <c r="HF587" s="132"/>
      <c r="HG587" s="132"/>
      <c r="HH587" s="132"/>
      <c r="HI587" s="132"/>
      <c r="HJ587" s="132"/>
      <c r="HK587" s="132"/>
      <c r="HL587" s="132"/>
      <c r="HM587" s="132"/>
      <c r="HN587" s="132"/>
      <c r="HO587" s="132"/>
      <c r="HP587" s="132"/>
      <c r="HQ587" s="132"/>
      <c r="HR587" s="132"/>
      <c r="HS587" s="132"/>
      <c r="HT587" s="132"/>
      <c r="HU587" s="132"/>
      <c r="HV587" s="132"/>
      <c r="HW587" s="132"/>
      <c r="HX587" s="132"/>
      <c r="HY587" s="132"/>
      <c r="HZ587" s="132"/>
      <c r="IA587" s="132"/>
      <c r="IB587" s="132"/>
      <c r="IC587" s="132"/>
      <c r="ID587" s="132"/>
      <c r="IE587" s="132"/>
      <c r="IF587" s="132"/>
      <c r="IG587" s="132"/>
      <c r="IH587" s="132"/>
      <c r="II587" s="132"/>
      <c r="IJ587" s="132"/>
      <c r="IK587" s="132"/>
      <c r="IL587" s="132"/>
      <c r="IM587" s="132"/>
      <c r="IN587" s="132"/>
      <c r="IO587" s="132"/>
      <c r="IP587" s="132"/>
      <c r="IQ587" s="132"/>
      <c r="IR587" s="132"/>
      <c r="IS587" s="132"/>
      <c r="IT587" s="132"/>
      <c r="IU587" s="132"/>
    </row>
  </sheetData>
  <mergeCells count="68">
    <mergeCell ref="G78:H78"/>
    <mergeCell ref="I78:I79"/>
    <mergeCell ref="J78:J79"/>
    <mergeCell ref="A78:A79"/>
    <mergeCell ref="B78:B79"/>
    <mergeCell ref="C78:C79"/>
    <mergeCell ref="D78:D79"/>
    <mergeCell ref="E78:F78"/>
    <mergeCell ref="B73:I73"/>
    <mergeCell ref="A74:I74"/>
    <mergeCell ref="A75:I75"/>
    <mergeCell ref="A76:I76"/>
    <mergeCell ref="A77:I77"/>
    <mergeCell ref="G96:H96"/>
    <mergeCell ref="I96:I97"/>
    <mergeCell ref="J96:J97"/>
    <mergeCell ref="A96:A97"/>
    <mergeCell ref="B96:B97"/>
    <mergeCell ref="C96:C97"/>
    <mergeCell ref="D96:D97"/>
    <mergeCell ref="E96:F96"/>
    <mergeCell ref="A93:I93"/>
    <mergeCell ref="A94:I94"/>
    <mergeCell ref="A95:I95"/>
    <mergeCell ref="B91:I91"/>
    <mergeCell ref="A92:I92"/>
    <mergeCell ref="J54:J55"/>
    <mergeCell ref="B1:I1"/>
    <mergeCell ref="A2:I2"/>
    <mergeCell ref="J30:J31"/>
    <mergeCell ref="A26:I26"/>
    <mergeCell ref="A27:I27"/>
    <mergeCell ref="A28:I28"/>
    <mergeCell ref="G6:H6"/>
    <mergeCell ref="I6:I7"/>
    <mergeCell ref="J6:J7"/>
    <mergeCell ref="B25:I25"/>
    <mergeCell ref="A6:A7"/>
    <mergeCell ref="B6:B7"/>
    <mergeCell ref="C6:C7"/>
    <mergeCell ref="D6:D7"/>
    <mergeCell ref="E6:F6"/>
    <mergeCell ref="A3:I3"/>
    <mergeCell ref="A4:I4"/>
    <mergeCell ref="A5:I5"/>
    <mergeCell ref="B49:I49"/>
    <mergeCell ref="A50:I50"/>
    <mergeCell ref="A30:A31"/>
    <mergeCell ref="B30:B31"/>
    <mergeCell ref="C30:C31"/>
    <mergeCell ref="D30:D31"/>
    <mergeCell ref="E30:F30"/>
    <mergeCell ref="G30:H30"/>
    <mergeCell ref="I30:I31"/>
    <mergeCell ref="A29:I29"/>
    <mergeCell ref="C69:I69"/>
    <mergeCell ref="C70:I70"/>
    <mergeCell ref="C72:I72"/>
    <mergeCell ref="A51:I51"/>
    <mergeCell ref="A52:I52"/>
    <mergeCell ref="A53:I53"/>
    <mergeCell ref="A54:A55"/>
    <mergeCell ref="B54:B55"/>
    <mergeCell ref="C54:C55"/>
    <mergeCell ref="D54:D55"/>
    <mergeCell ref="E54:F54"/>
    <mergeCell ref="G54:H54"/>
    <mergeCell ref="I54:I55"/>
  </mergeCells>
  <pageMargins left="0.36" right="0.2" top="0.75" bottom="0.5" header="0.3" footer="0.3"/>
  <pageSetup paperSize="9" orientation="landscape" horizontalDpi="4294967294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39"/>
  <sheetViews>
    <sheetView view="pageBreakPreview" zoomScale="85" zoomScaleNormal="100" zoomScaleSheetLayoutView="85" workbookViewId="0">
      <selection activeCell="O28" sqref="O28"/>
    </sheetView>
  </sheetViews>
  <sheetFormatPr defaultRowHeight="21.75" x14ac:dyDescent="0.5"/>
  <cols>
    <col min="1" max="1" width="8.28515625" customWidth="1"/>
    <col min="2" max="2" width="53.7109375" customWidth="1"/>
    <col min="3" max="3" width="8.7109375" customWidth="1"/>
    <col min="4" max="4" width="7.7109375" customWidth="1"/>
    <col min="5" max="8" width="10.7109375" customWidth="1"/>
    <col min="9" max="9" width="14.28515625" customWidth="1"/>
    <col min="10" max="10" width="17.28515625" customWidth="1"/>
    <col min="12" max="12" width="26.28515625" customWidth="1"/>
    <col min="13" max="13" width="21" customWidth="1"/>
    <col min="14" max="14" width="26.85546875" customWidth="1"/>
  </cols>
  <sheetData>
    <row r="1" spans="1:12" ht="27.75" x14ac:dyDescent="0.65">
      <c r="A1" s="5" t="s">
        <v>0</v>
      </c>
      <c r="B1" s="729" t="s">
        <v>7</v>
      </c>
      <c r="C1" s="729"/>
      <c r="D1" s="729"/>
      <c r="E1" s="729"/>
      <c r="F1" s="729"/>
      <c r="G1" s="729"/>
      <c r="H1" s="729"/>
      <c r="I1" s="729"/>
      <c r="J1" s="383"/>
    </row>
    <row r="2" spans="1:12" ht="21.75" customHeight="1" x14ac:dyDescent="0.5">
      <c r="A2" s="730" t="s">
        <v>247</v>
      </c>
      <c r="B2" s="730"/>
      <c r="C2" s="730"/>
      <c r="D2" s="730"/>
      <c r="E2" s="730"/>
      <c r="F2" s="730"/>
      <c r="G2" s="730"/>
      <c r="H2" s="730"/>
      <c r="I2" s="730"/>
      <c r="J2" s="484"/>
    </row>
    <row r="3" spans="1:12" ht="21.75" customHeight="1" x14ac:dyDescent="0.5">
      <c r="A3" s="730" t="s">
        <v>20</v>
      </c>
      <c r="B3" s="730"/>
      <c r="C3" s="730"/>
      <c r="D3" s="730"/>
      <c r="E3" s="730"/>
      <c r="F3" s="730"/>
      <c r="G3" s="730"/>
      <c r="H3" s="730"/>
      <c r="I3" s="730"/>
      <c r="J3" s="484"/>
    </row>
    <row r="4" spans="1:12" ht="21.75" customHeight="1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  <c r="J4" s="484"/>
    </row>
    <row r="5" spans="1:12" ht="21.75" customHeight="1" x14ac:dyDescent="0.5">
      <c r="A5" s="731" t="s">
        <v>332</v>
      </c>
      <c r="B5" s="731"/>
      <c r="C5" s="731"/>
      <c r="D5" s="731"/>
      <c r="E5" s="731"/>
      <c r="F5" s="731"/>
      <c r="G5" s="731"/>
      <c r="H5" s="731"/>
      <c r="I5" s="731"/>
      <c r="J5" s="485" t="s">
        <v>333</v>
      </c>
    </row>
    <row r="6" spans="1:12" x14ac:dyDescent="0.5">
      <c r="A6" s="741" t="s">
        <v>14</v>
      </c>
      <c r="B6" s="741" t="s">
        <v>1</v>
      </c>
      <c r="C6" s="741" t="s">
        <v>4</v>
      </c>
      <c r="D6" s="741" t="s">
        <v>2</v>
      </c>
      <c r="E6" s="743" t="s">
        <v>5</v>
      </c>
      <c r="F6" s="744"/>
      <c r="G6" s="743" t="s">
        <v>6</v>
      </c>
      <c r="H6" s="744"/>
      <c r="I6" s="359" t="s">
        <v>18</v>
      </c>
      <c r="J6" s="741" t="s">
        <v>8</v>
      </c>
    </row>
    <row r="7" spans="1:12" x14ac:dyDescent="0.5">
      <c r="A7" s="742"/>
      <c r="B7" s="742"/>
      <c r="C7" s="742"/>
      <c r="D7" s="742"/>
      <c r="E7" s="360" t="s">
        <v>16</v>
      </c>
      <c r="F7" s="360" t="s">
        <v>17</v>
      </c>
      <c r="G7" s="360" t="s">
        <v>16</v>
      </c>
      <c r="H7" s="360" t="s">
        <v>17</v>
      </c>
      <c r="I7" s="360" t="s">
        <v>19</v>
      </c>
      <c r="J7" s="742"/>
    </row>
    <row r="8" spans="1:12" x14ac:dyDescent="0.5">
      <c r="A8" s="241">
        <v>3</v>
      </c>
      <c r="B8" s="486" t="s">
        <v>86</v>
      </c>
      <c r="C8" s="487"/>
      <c r="D8" s="487"/>
      <c r="E8" s="487"/>
      <c r="F8" s="487"/>
      <c r="G8" s="245"/>
      <c r="H8" s="245"/>
      <c r="I8" s="245"/>
      <c r="J8" s="246"/>
    </row>
    <row r="9" spans="1:12" x14ac:dyDescent="0.5">
      <c r="A9" s="373">
        <v>3.1</v>
      </c>
      <c r="B9" s="374" t="s">
        <v>84</v>
      </c>
      <c r="C9" s="375"/>
      <c r="D9" s="375"/>
      <c r="E9" s="375"/>
      <c r="F9" s="375"/>
      <c r="G9" s="244"/>
      <c r="H9" s="376"/>
      <c r="I9" s="499"/>
      <c r="J9" s="246"/>
    </row>
    <row r="10" spans="1:12" x14ac:dyDescent="0.5">
      <c r="A10" s="500"/>
      <c r="B10" s="501" t="s">
        <v>255</v>
      </c>
      <c r="C10" s="502">
        <v>2</v>
      </c>
      <c r="D10" s="503" t="s">
        <v>39</v>
      </c>
      <c r="E10" s="504">
        <v>800</v>
      </c>
      <c r="F10" s="504">
        <f t="shared" ref="F10:F11" si="0">SUM(C10*E10)</f>
        <v>1600</v>
      </c>
      <c r="G10" s="504">
        <v>200</v>
      </c>
      <c r="H10" s="501">
        <f t="shared" ref="H10:H11" si="1">SUM(C10*G10)</f>
        <v>400</v>
      </c>
      <c r="I10" s="248">
        <f t="shared" ref="I10:I11" si="2">SUM(F10+H10)</f>
        <v>2000</v>
      </c>
      <c r="J10" s="505"/>
    </row>
    <row r="11" spans="1:12" x14ac:dyDescent="0.5">
      <c r="A11" s="500"/>
      <c r="B11" s="248" t="s">
        <v>256</v>
      </c>
      <c r="C11" s="251">
        <v>15</v>
      </c>
      <c r="D11" s="250" t="s">
        <v>33</v>
      </c>
      <c r="E11" s="251">
        <v>11.12</v>
      </c>
      <c r="F11" s="504">
        <f t="shared" si="0"/>
        <v>166.79999999999998</v>
      </c>
      <c r="G11" s="504">
        <v>30</v>
      </c>
      <c r="H11" s="501">
        <f t="shared" si="1"/>
        <v>450</v>
      </c>
      <c r="I11" s="248">
        <f t="shared" si="2"/>
        <v>616.79999999999995</v>
      </c>
      <c r="J11" s="505"/>
    </row>
    <row r="12" spans="1:12" x14ac:dyDescent="0.5">
      <c r="A12" s="506"/>
      <c r="B12" s="501" t="s">
        <v>245</v>
      </c>
      <c r="C12" s="507">
        <v>1</v>
      </c>
      <c r="D12" s="508" t="s">
        <v>42</v>
      </c>
      <c r="E12" s="501">
        <v>83.4</v>
      </c>
      <c r="F12" s="501">
        <f t="shared" ref="F12:F15" si="3">SUM(C12*E12)</f>
        <v>83.4</v>
      </c>
      <c r="G12" s="501">
        <v>135</v>
      </c>
      <c r="H12" s="501">
        <f t="shared" ref="H12:H15" si="4">SUM(C12*G12)</f>
        <v>135</v>
      </c>
      <c r="I12" s="501">
        <f t="shared" ref="I12:I15" si="5">SUM(F12+H12)</f>
        <v>218.4</v>
      </c>
      <c r="J12" s="509"/>
    </row>
    <row r="13" spans="1:12" x14ac:dyDescent="0.5">
      <c r="A13" s="510"/>
      <c r="B13" s="511" t="s">
        <v>46</v>
      </c>
      <c r="C13" s="512">
        <v>1</v>
      </c>
      <c r="D13" s="503" t="s">
        <v>47</v>
      </c>
      <c r="E13" s="513">
        <v>142.06</v>
      </c>
      <c r="F13" s="504">
        <f t="shared" si="3"/>
        <v>142.06</v>
      </c>
      <c r="G13" s="504">
        <v>50</v>
      </c>
      <c r="H13" s="501">
        <f t="shared" si="4"/>
        <v>50</v>
      </c>
      <c r="I13" s="501">
        <f t="shared" si="5"/>
        <v>192.06</v>
      </c>
      <c r="J13" s="505"/>
      <c r="L13" s="65"/>
    </row>
    <row r="14" spans="1:12" x14ac:dyDescent="0.5">
      <c r="A14" s="378"/>
      <c r="B14" s="255" t="s">
        <v>51</v>
      </c>
      <c r="C14" s="256">
        <v>5</v>
      </c>
      <c r="D14" s="257" t="s">
        <v>47</v>
      </c>
      <c r="E14" s="258">
        <v>168</v>
      </c>
      <c r="F14" s="504">
        <f t="shared" si="3"/>
        <v>840</v>
      </c>
      <c r="G14" s="251">
        <v>75</v>
      </c>
      <c r="H14" s="501">
        <f t="shared" si="4"/>
        <v>375</v>
      </c>
      <c r="I14" s="248">
        <f t="shared" si="5"/>
        <v>1215</v>
      </c>
      <c r="J14" s="490"/>
      <c r="L14" s="77"/>
    </row>
    <row r="15" spans="1:12" x14ac:dyDescent="0.5">
      <c r="A15" s="378"/>
      <c r="B15" s="255" t="s">
        <v>50</v>
      </c>
      <c r="C15" s="256">
        <v>4</v>
      </c>
      <c r="D15" s="257" t="s">
        <v>47</v>
      </c>
      <c r="E15" s="258">
        <v>330</v>
      </c>
      <c r="F15" s="504">
        <f t="shared" si="3"/>
        <v>1320</v>
      </c>
      <c r="G15" s="251">
        <v>75</v>
      </c>
      <c r="H15" s="501">
        <f t="shared" si="4"/>
        <v>300</v>
      </c>
      <c r="I15" s="248">
        <f t="shared" si="5"/>
        <v>1620</v>
      </c>
      <c r="J15" s="490"/>
    </row>
    <row r="16" spans="1:12" x14ac:dyDescent="0.5">
      <c r="A16" s="361"/>
      <c r="B16" s="363" t="s">
        <v>83</v>
      </c>
      <c r="C16" s="514">
        <v>1</v>
      </c>
      <c r="D16" s="515" t="s">
        <v>39</v>
      </c>
      <c r="E16" s="363">
        <v>0</v>
      </c>
      <c r="F16" s="504">
        <f t="shared" ref="F16" si="6">SUM(C16*E16)</f>
        <v>0</v>
      </c>
      <c r="G16" s="364">
        <v>6198.13</v>
      </c>
      <c r="H16" s="501">
        <f t="shared" ref="H16" si="7">SUM(C16*G16)</f>
        <v>6198.13</v>
      </c>
      <c r="I16" s="248">
        <f t="shared" ref="I16" si="8">SUM(F16+H16)</f>
        <v>6198.13</v>
      </c>
      <c r="J16" s="496"/>
    </row>
    <row r="17" spans="1:12" x14ac:dyDescent="0.5">
      <c r="A17" s="367"/>
      <c r="B17" s="368" t="s">
        <v>85</v>
      </c>
      <c r="C17" s="369"/>
      <c r="D17" s="369"/>
      <c r="E17" s="369"/>
      <c r="F17" s="369"/>
      <c r="G17" s="370"/>
      <c r="H17" s="371"/>
      <c r="I17" s="372">
        <f>SUM(I10:I16)</f>
        <v>12060.39</v>
      </c>
      <c r="J17" s="498"/>
    </row>
    <row r="18" spans="1:12" x14ac:dyDescent="0.5">
      <c r="A18" s="361"/>
      <c r="B18" s="516" t="s">
        <v>109</v>
      </c>
      <c r="C18" s="495" t="s">
        <v>109</v>
      </c>
      <c r="D18" s="495" t="s">
        <v>109</v>
      </c>
      <c r="E18" s="495" t="s">
        <v>109</v>
      </c>
      <c r="F18" s="517" t="s">
        <v>109</v>
      </c>
      <c r="G18" s="518" t="s">
        <v>109</v>
      </c>
      <c r="H18" s="519" t="s">
        <v>109</v>
      </c>
      <c r="I18" s="520" t="s">
        <v>109</v>
      </c>
      <c r="J18" s="496"/>
    </row>
    <row r="19" spans="1:12" x14ac:dyDescent="0.5">
      <c r="A19" s="367"/>
      <c r="B19" s="368" t="s">
        <v>92</v>
      </c>
      <c r="C19" s="369"/>
      <c r="D19" s="369"/>
      <c r="E19" s="369"/>
      <c r="F19" s="369"/>
      <c r="G19" s="370"/>
      <c r="H19" s="371"/>
      <c r="I19" s="372">
        <f>I17</f>
        <v>12060.39</v>
      </c>
      <c r="J19" s="498"/>
    </row>
    <row r="20" spans="1:12" x14ac:dyDescent="0.5">
      <c r="A20" s="521"/>
      <c r="B20" s="522"/>
      <c r="C20" s="522"/>
      <c r="D20" s="523"/>
      <c r="E20" s="522"/>
      <c r="F20" s="522"/>
      <c r="G20" s="414"/>
      <c r="H20" s="524"/>
      <c r="I20" s="522"/>
      <c r="J20" s="525"/>
    </row>
    <row r="21" spans="1:12" x14ac:dyDescent="0.5">
      <c r="A21" s="38"/>
      <c r="B21" s="91"/>
      <c r="C21" s="94"/>
      <c r="D21" s="84"/>
      <c r="E21" s="91"/>
      <c r="F21" s="32"/>
      <c r="G21" s="32"/>
      <c r="H21" s="33"/>
      <c r="I21" s="32"/>
      <c r="J21" s="40"/>
    </row>
    <row r="22" spans="1:12" x14ac:dyDescent="0.5">
      <c r="A22" s="38"/>
      <c r="B22" s="91"/>
      <c r="C22" s="94"/>
      <c r="D22" s="92"/>
      <c r="E22" s="91"/>
      <c r="F22" s="32"/>
      <c r="G22" s="32"/>
      <c r="H22" s="33"/>
      <c r="I22" s="32"/>
      <c r="J22" s="40"/>
    </row>
    <row r="23" spans="1:12" x14ac:dyDescent="0.5">
      <c r="A23" s="38"/>
      <c r="B23" s="91"/>
      <c r="C23" s="91"/>
      <c r="D23" s="92"/>
      <c r="E23" s="91"/>
      <c r="F23" s="32"/>
      <c r="G23" s="32"/>
      <c r="H23" s="33"/>
      <c r="I23" s="32"/>
      <c r="J23" s="40"/>
    </row>
    <row r="24" spans="1:12" x14ac:dyDescent="0.5">
      <c r="A24" s="38"/>
      <c r="B24" s="91"/>
      <c r="C24" s="91"/>
      <c r="D24" s="92"/>
      <c r="E24" s="91"/>
      <c r="F24" s="32"/>
      <c r="G24" s="32"/>
      <c r="H24" s="33"/>
      <c r="I24" s="32"/>
      <c r="J24" s="40"/>
    </row>
    <row r="25" spans="1:12" x14ac:dyDescent="0.5">
      <c r="A25" s="38"/>
      <c r="B25" s="91"/>
      <c r="C25" s="91"/>
      <c r="D25" s="92"/>
      <c r="E25" s="91"/>
      <c r="F25" s="32"/>
      <c r="G25" s="32"/>
      <c r="H25" s="33"/>
      <c r="I25" s="32"/>
      <c r="J25" s="40"/>
      <c r="L25" s="65"/>
    </row>
    <row r="26" spans="1:12" x14ac:dyDescent="0.5">
      <c r="A26" s="90"/>
      <c r="B26" s="177"/>
      <c r="C26" s="83"/>
      <c r="D26" s="83"/>
      <c r="E26" s="83"/>
      <c r="F26" s="83"/>
      <c r="G26" s="32"/>
      <c r="H26" s="33"/>
      <c r="I26" s="32"/>
      <c r="J26" s="40"/>
      <c r="K26" s="50"/>
    </row>
    <row r="27" spans="1:12" x14ac:dyDescent="0.5">
      <c r="A27" s="90"/>
      <c r="B27" s="82"/>
      <c r="C27" s="83"/>
      <c r="D27" s="84"/>
      <c r="E27" s="83"/>
      <c r="F27" s="83"/>
      <c r="G27" s="32"/>
      <c r="H27" s="33"/>
      <c r="I27" s="32"/>
      <c r="J27" s="40"/>
    </row>
    <row r="28" spans="1:12" x14ac:dyDescent="0.5">
      <c r="A28" s="90"/>
      <c r="B28" s="82"/>
      <c r="C28" s="83"/>
      <c r="D28" s="84"/>
      <c r="E28" s="83"/>
      <c r="F28" s="83"/>
      <c r="G28" s="32"/>
      <c r="H28" s="33"/>
      <c r="I28" s="32"/>
      <c r="J28" s="40"/>
    </row>
    <row r="29" spans="1:12" x14ac:dyDescent="0.5">
      <c r="A29" s="38"/>
      <c r="B29" s="91"/>
      <c r="C29" s="91"/>
      <c r="D29" s="92"/>
      <c r="E29" s="91"/>
      <c r="F29" s="32"/>
      <c r="G29" s="32"/>
      <c r="H29" s="93"/>
      <c r="I29" s="32"/>
      <c r="J29" s="40"/>
    </row>
    <row r="30" spans="1:12" x14ac:dyDescent="0.5">
      <c r="A30" s="38"/>
      <c r="B30" s="91"/>
      <c r="C30" s="91"/>
      <c r="D30" s="92"/>
      <c r="E30" s="91"/>
      <c r="F30" s="32"/>
      <c r="G30" s="32"/>
      <c r="H30" s="93"/>
      <c r="I30" s="32"/>
      <c r="J30" s="40"/>
    </row>
    <row r="31" spans="1:12" x14ac:dyDescent="0.5">
      <c r="A31" s="38"/>
      <c r="B31" s="91"/>
      <c r="C31" s="91"/>
      <c r="D31" s="92"/>
      <c r="E31" s="91"/>
      <c r="F31" s="32"/>
      <c r="G31" s="32"/>
      <c r="H31" s="93"/>
      <c r="I31" s="32"/>
      <c r="J31" s="40"/>
    </row>
    <row r="32" spans="1:12" x14ac:dyDescent="0.5">
      <c r="A32" s="38"/>
      <c r="B32" s="91"/>
      <c r="C32" s="91"/>
      <c r="D32" s="92"/>
      <c r="E32" s="91"/>
      <c r="F32" s="32"/>
      <c r="G32" s="32"/>
      <c r="H32" s="93"/>
      <c r="I32" s="32"/>
      <c r="J32" s="40"/>
    </row>
    <row r="33" spans="1:12" x14ac:dyDescent="0.5">
      <c r="A33" s="38"/>
      <c r="B33" s="39"/>
      <c r="C33" s="39"/>
      <c r="D33" s="39"/>
      <c r="E33" s="39"/>
      <c r="F33" s="39"/>
      <c r="G33" s="32"/>
      <c r="H33" s="33"/>
      <c r="I33" s="34"/>
      <c r="J33" s="40"/>
    </row>
    <row r="34" spans="1:12" x14ac:dyDescent="0.5">
      <c r="A34" s="38"/>
      <c r="B34" s="39"/>
      <c r="C34" s="39"/>
      <c r="D34" s="39"/>
      <c r="E34" s="39"/>
      <c r="F34" s="39"/>
      <c r="G34" s="32"/>
      <c r="H34" s="33"/>
      <c r="I34" s="34"/>
      <c r="J34" s="40"/>
    </row>
    <row r="39" spans="1:12" x14ac:dyDescent="0.5">
      <c r="L39" s="65"/>
    </row>
  </sheetData>
  <mergeCells count="12">
    <mergeCell ref="J6:J7"/>
    <mergeCell ref="A6:A7"/>
    <mergeCell ref="B6:B7"/>
    <mergeCell ref="C6:C7"/>
    <mergeCell ref="D6:D7"/>
    <mergeCell ref="E6:F6"/>
    <mergeCell ref="G6:H6"/>
    <mergeCell ref="B1:I1"/>
    <mergeCell ref="A2:I2"/>
    <mergeCell ref="A3:I3"/>
    <mergeCell ref="A4:I4"/>
    <mergeCell ref="A5:I5"/>
  </mergeCells>
  <pageMargins left="0.5" right="0" top="0.75" bottom="0.5" header="0.3" footer="0.3"/>
  <pageSetup paperSize="9" orientation="landscape" horizontalDpi="4294967294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38"/>
  <sheetViews>
    <sheetView view="pageBreakPreview" topLeftCell="A7" zoomScale="115" zoomScaleNormal="100" zoomScaleSheetLayoutView="115" workbookViewId="0">
      <selection activeCell="B17" sqref="B17"/>
    </sheetView>
  </sheetViews>
  <sheetFormatPr defaultRowHeight="21.75" x14ac:dyDescent="0.5"/>
  <cols>
    <col min="1" max="1" width="8.28515625" customWidth="1"/>
    <col min="2" max="2" width="53.7109375" customWidth="1"/>
    <col min="3" max="3" width="8.7109375" customWidth="1"/>
    <col min="4" max="4" width="7.7109375" customWidth="1"/>
    <col min="5" max="8" width="10.7109375" customWidth="1"/>
    <col min="9" max="9" width="14.28515625" customWidth="1"/>
    <col min="10" max="10" width="17.28515625" customWidth="1"/>
    <col min="12" max="12" width="26.28515625" customWidth="1"/>
    <col min="13" max="13" width="21" customWidth="1"/>
    <col min="14" max="14" width="26.85546875" customWidth="1"/>
  </cols>
  <sheetData>
    <row r="1" spans="1:10" ht="27.75" x14ac:dyDescent="0.65">
      <c r="A1" s="5" t="s">
        <v>0</v>
      </c>
      <c r="B1" s="729" t="s">
        <v>7</v>
      </c>
      <c r="C1" s="729"/>
      <c r="D1" s="729"/>
      <c r="E1" s="729"/>
      <c r="F1" s="729"/>
      <c r="G1" s="729"/>
      <c r="H1" s="729"/>
      <c r="I1" s="729"/>
      <c r="J1" s="5"/>
    </row>
    <row r="2" spans="1:10" x14ac:dyDescent="0.5">
      <c r="A2" s="730" t="s">
        <v>247</v>
      </c>
      <c r="B2" s="730"/>
      <c r="C2" s="730"/>
      <c r="D2" s="730"/>
      <c r="E2" s="730"/>
      <c r="F2" s="730"/>
      <c r="G2" s="730"/>
      <c r="H2" s="730"/>
      <c r="I2" s="730"/>
    </row>
    <row r="3" spans="1:10" x14ac:dyDescent="0.5">
      <c r="A3" s="730" t="s">
        <v>20</v>
      </c>
      <c r="B3" s="730"/>
      <c r="C3" s="730"/>
      <c r="D3" s="730"/>
      <c r="E3" s="730"/>
      <c r="F3" s="730"/>
      <c r="G3" s="730"/>
      <c r="H3" s="730"/>
      <c r="I3" s="730"/>
    </row>
    <row r="4" spans="1:10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</row>
    <row r="5" spans="1:10" x14ac:dyDescent="0.5">
      <c r="A5" s="731" t="s">
        <v>332</v>
      </c>
      <c r="B5" s="731"/>
      <c r="C5" s="731"/>
      <c r="D5" s="731"/>
      <c r="E5" s="731"/>
      <c r="F5" s="731"/>
      <c r="G5" s="731"/>
      <c r="H5" s="731"/>
      <c r="I5" s="731"/>
      <c r="J5" s="20" t="s">
        <v>239</v>
      </c>
    </row>
    <row r="6" spans="1:10" x14ac:dyDescent="0.5">
      <c r="A6" s="748" t="s">
        <v>14</v>
      </c>
      <c r="B6" s="748" t="s">
        <v>1</v>
      </c>
      <c r="C6" s="748" t="s">
        <v>4</v>
      </c>
      <c r="D6" s="748" t="s">
        <v>2</v>
      </c>
      <c r="E6" s="734" t="s">
        <v>5</v>
      </c>
      <c r="F6" s="736"/>
      <c r="G6" s="734" t="s">
        <v>6</v>
      </c>
      <c r="H6" s="736"/>
      <c r="I6" s="127" t="s">
        <v>18</v>
      </c>
      <c r="J6" s="748" t="s">
        <v>8</v>
      </c>
    </row>
    <row r="7" spans="1:10" x14ac:dyDescent="0.5">
      <c r="A7" s="752"/>
      <c r="B7" s="752"/>
      <c r="C7" s="752"/>
      <c r="D7" s="752"/>
      <c r="E7" s="128" t="s">
        <v>16</v>
      </c>
      <c r="F7" s="128" t="s">
        <v>17</v>
      </c>
      <c r="G7" s="128" t="s">
        <v>16</v>
      </c>
      <c r="H7" s="128" t="s">
        <v>17</v>
      </c>
      <c r="I7" s="128" t="s">
        <v>19</v>
      </c>
      <c r="J7" s="752"/>
    </row>
    <row r="8" spans="1:10" x14ac:dyDescent="0.5">
      <c r="A8" s="373">
        <v>4.0999999999999996</v>
      </c>
      <c r="B8" s="374" t="s">
        <v>38</v>
      </c>
      <c r="C8" s="375"/>
      <c r="D8" s="375"/>
      <c r="E8" s="375"/>
      <c r="F8" s="375"/>
      <c r="G8" s="244"/>
      <c r="H8" s="376"/>
      <c r="I8" s="499"/>
      <c r="J8" s="246"/>
    </row>
    <row r="9" spans="1:10" x14ac:dyDescent="0.5">
      <c r="A9" s="378"/>
      <c r="B9" s="362" t="s">
        <v>350</v>
      </c>
      <c r="C9" s="249">
        <v>12</v>
      </c>
      <c r="D9" s="250" t="s">
        <v>39</v>
      </c>
      <c r="E9" s="251">
        <v>10833</v>
      </c>
      <c r="F9" s="251">
        <f t="shared" ref="F9:F17" si="0">SUM(C9*E9)</f>
        <v>129996</v>
      </c>
      <c r="G9" s="251">
        <v>0</v>
      </c>
      <c r="H9" s="248">
        <f t="shared" ref="H9:H11" si="1">SUM(C9*G9)</f>
        <v>0</v>
      </c>
      <c r="I9" s="252">
        <f t="shared" ref="I9:I16" si="2">SUM(F9)</f>
        <v>129996</v>
      </c>
      <c r="J9" s="490"/>
    </row>
    <row r="10" spans="1:10" x14ac:dyDescent="0.5">
      <c r="A10" s="378"/>
      <c r="B10" s="362" t="s">
        <v>48</v>
      </c>
      <c r="C10" s="249">
        <v>1</v>
      </c>
      <c r="D10" s="250" t="s">
        <v>39</v>
      </c>
      <c r="E10" s="251">
        <v>20660.43</v>
      </c>
      <c r="F10" s="251">
        <f t="shared" si="0"/>
        <v>20660.43</v>
      </c>
      <c r="G10" s="251">
        <v>0</v>
      </c>
      <c r="H10" s="248">
        <f t="shared" si="1"/>
        <v>0</v>
      </c>
      <c r="I10" s="252">
        <f t="shared" si="2"/>
        <v>20660.43</v>
      </c>
      <c r="J10" s="526"/>
    </row>
    <row r="11" spans="1:10" x14ac:dyDescent="0.5">
      <c r="A11" s="378"/>
      <c r="B11" s="362" t="s">
        <v>117</v>
      </c>
      <c r="C11" s="249">
        <v>1</v>
      </c>
      <c r="D11" s="250" t="s">
        <v>42</v>
      </c>
      <c r="E11" s="251">
        <v>36100</v>
      </c>
      <c r="F11" s="251">
        <f t="shared" si="0"/>
        <v>36100</v>
      </c>
      <c r="G11" s="251">
        <v>0</v>
      </c>
      <c r="H11" s="248">
        <f t="shared" si="1"/>
        <v>0</v>
      </c>
      <c r="I11" s="252">
        <f t="shared" si="2"/>
        <v>36100</v>
      </c>
      <c r="J11" s="526"/>
    </row>
    <row r="12" spans="1:10" x14ac:dyDescent="0.5">
      <c r="A12" s="378"/>
      <c r="B12" s="412" t="s">
        <v>134</v>
      </c>
      <c r="C12" s="256">
        <v>12</v>
      </c>
      <c r="D12" s="250" t="s">
        <v>69</v>
      </c>
      <c r="E12" s="258">
        <v>5500</v>
      </c>
      <c r="F12" s="248">
        <f t="shared" si="0"/>
        <v>66000</v>
      </c>
      <c r="G12" s="251">
        <v>0</v>
      </c>
      <c r="H12" s="248">
        <f>SUM(C12*G17)</f>
        <v>0</v>
      </c>
      <c r="I12" s="252">
        <f t="shared" si="2"/>
        <v>66000</v>
      </c>
      <c r="J12" s="490"/>
    </row>
    <row r="13" spans="1:10" x14ac:dyDescent="0.5">
      <c r="A13" s="378"/>
      <c r="B13" s="412" t="s">
        <v>135</v>
      </c>
      <c r="C13" s="514">
        <v>6</v>
      </c>
      <c r="D13" s="518" t="s">
        <v>69</v>
      </c>
      <c r="E13" s="363">
        <v>4500</v>
      </c>
      <c r="F13" s="248">
        <f t="shared" si="0"/>
        <v>27000</v>
      </c>
      <c r="G13" s="251">
        <v>0</v>
      </c>
      <c r="H13" s="248">
        <f t="shared" ref="H13:H14" si="3">SUM(C13*G18)</f>
        <v>0</v>
      </c>
      <c r="I13" s="252">
        <f>+F13</f>
        <v>27000</v>
      </c>
      <c r="J13" s="496"/>
    </row>
    <row r="14" spans="1:10" x14ac:dyDescent="0.5">
      <c r="A14" s="378"/>
      <c r="B14" s="412" t="s">
        <v>136</v>
      </c>
      <c r="C14" s="491">
        <v>1</v>
      </c>
      <c r="D14" s="492" t="s">
        <v>138</v>
      </c>
      <c r="E14" s="497">
        <v>105000</v>
      </c>
      <c r="F14" s="527">
        <f t="shared" si="0"/>
        <v>105000</v>
      </c>
      <c r="G14" s="251">
        <v>0</v>
      </c>
      <c r="H14" s="248">
        <f t="shared" si="3"/>
        <v>0</v>
      </c>
      <c r="I14" s="362">
        <f t="shared" si="2"/>
        <v>105000</v>
      </c>
      <c r="J14" s="490"/>
    </row>
    <row r="15" spans="1:10" x14ac:dyDescent="0.5">
      <c r="A15" s="378"/>
      <c r="B15" s="412" t="s">
        <v>163</v>
      </c>
      <c r="C15" s="491">
        <v>5</v>
      </c>
      <c r="D15" s="492" t="s">
        <v>39</v>
      </c>
      <c r="E15" s="258">
        <v>22000</v>
      </c>
      <c r="F15" s="251">
        <f t="shared" si="0"/>
        <v>110000</v>
      </c>
      <c r="G15" s="251">
        <v>0</v>
      </c>
      <c r="H15" s="248">
        <f>SUM(C15*G22)</f>
        <v>0</v>
      </c>
      <c r="I15" s="248">
        <f t="shared" si="2"/>
        <v>110000</v>
      </c>
      <c r="J15" s="490"/>
    </row>
    <row r="16" spans="1:10" x14ac:dyDescent="0.5">
      <c r="A16" s="378"/>
      <c r="B16" s="429" t="s">
        <v>182</v>
      </c>
      <c r="C16" s="491">
        <v>1</v>
      </c>
      <c r="D16" s="492" t="s">
        <v>45</v>
      </c>
      <c r="E16" s="258">
        <v>11250</v>
      </c>
      <c r="F16" s="251">
        <f t="shared" si="0"/>
        <v>11250</v>
      </c>
      <c r="G16" s="251">
        <v>0</v>
      </c>
      <c r="H16" s="248">
        <f>SUM(C16*G25)</f>
        <v>0</v>
      </c>
      <c r="I16" s="248">
        <f t="shared" si="2"/>
        <v>11250</v>
      </c>
      <c r="J16" s="490"/>
    </row>
    <row r="17" spans="1:10" x14ac:dyDescent="0.5">
      <c r="A17" s="361"/>
      <c r="B17" s="453" t="s">
        <v>337</v>
      </c>
      <c r="C17" s="494">
        <v>1</v>
      </c>
      <c r="D17" s="495" t="s">
        <v>45</v>
      </c>
      <c r="E17" s="363">
        <v>5700</v>
      </c>
      <c r="F17" s="364">
        <f t="shared" si="0"/>
        <v>5700</v>
      </c>
      <c r="G17" s="364">
        <v>0</v>
      </c>
      <c r="H17" s="248">
        <f>SUM(C17*G26)</f>
        <v>0</v>
      </c>
      <c r="I17" s="252">
        <v>5700</v>
      </c>
      <c r="J17" s="496"/>
    </row>
    <row r="18" spans="1:10" x14ac:dyDescent="0.5">
      <c r="A18" s="361"/>
      <c r="B18" s="429" t="s">
        <v>165</v>
      </c>
      <c r="C18" s="429">
        <v>2</v>
      </c>
      <c r="D18" s="386" t="s">
        <v>39</v>
      </c>
      <c r="E18" s="447">
        <v>25900</v>
      </c>
      <c r="F18" s="469">
        <f t="shared" ref="F18" si="4">SUM(C18*E18)</f>
        <v>51800</v>
      </c>
      <c r="G18" s="469">
        <v>0</v>
      </c>
      <c r="H18" s="469">
        <f t="shared" ref="H18" si="5">SUM(C18*G18)</f>
        <v>0</v>
      </c>
      <c r="I18" s="469">
        <f t="shared" ref="I18" si="6">SUM(H18+F18)</f>
        <v>51800</v>
      </c>
      <c r="J18" s="496"/>
    </row>
    <row r="19" spans="1:10" x14ac:dyDescent="0.5">
      <c r="A19" s="367"/>
      <c r="B19" s="368" t="s">
        <v>49</v>
      </c>
      <c r="C19" s="369"/>
      <c r="D19" s="369"/>
      <c r="E19" s="369"/>
      <c r="F19" s="369"/>
      <c r="G19" s="370"/>
      <c r="H19" s="371"/>
      <c r="I19" s="372">
        <f>SUM(I8:I18)</f>
        <v>563506.42999999993</v>
      </c>
      <c r="J19" s="498"/>
    </row>
    <row r="20" spans="1:10" x14ac:dyDescent="0.5">
      <c r="A20" s="22">
        <v>4.2</v>
      </c>
      <c r="B20" s="23" t="s">
        <v>195</v>
      </c>
      <c r="C20" s="594"/>
      <c r="D20" s="595"/>
      <c r="E20" s="596"/>
      <c r="F20" s="597"/>
      <c r="G20" s="598"/>
      <c r="H20" s="597"/>
      <c r="I20" s="597"/>
      <c r="J20" s="599"/>
    </row>
    <row r="21" spans="1:10" x14ac:dyDescent="0.5">
      <c r="A21" s="619"/>
      <c r="B21" s="593" t="s">
        <v>243</v>
      </c>
      <c r="C21" s="45">
        <v>1</v>
      </c>
      <c r="D21" s="21" t="s">
        <v>22</v>
      </c>
      <c r="E21" s="358">
        <v>3000</v>
      </c>
      <c r="F21" s="216">
        <f t="shared" ref="F21" si="7">E21*C21</f>
        <v>3000</v>
      </c>
      <c r="G21" s="36">
        <v>0</v>
      </c>
      <c r="H21" s="216">
        <f t="shared" ref="H21" si="8">C21*G21</f>
        <v>0</v>
      </c>
      <c r="I21" s="216">
        <f t="shared" ref="I21" si="9">F21+H21</f>
        <v>3000</v>
      </c>
      <c r="J21" s="599"/>
    </row>
    <row r="22" spans="1:10" x14ac:dyDescent="0.5">
      <c r="A22" s="367"/>
      <c r="B22" s="368" t="s">
        <v>194</v>
      </c>
      <c r="C22" s="369"/>
      <c r="D22" s="369"/>
      <c r="E22" s="369"/>
      <c r="F22" s="369"/>
      <c r="G22" s="370"/>
      <c r="H22" s="371"/>
      <c r="I22" s="372">
        <f>SUM(I20:I21)</f>
        <v>3000</v>
      </c>
      <c r="J22" s="498"/>
    </row>
    <row r="23" spans="1:10" x14ac:dyDescent="0.5">
      <c r="A23" s="361"/>
      <c r="B23" s="453"/>
      <c r="C23" s="494"/>
      <c r="D23" s="495"/>
      <c r="E23" s="363"/>
      <c r="F23" s="364"/>
      <c r="G23" s="364"/>
      <c r="H23" s="248"/>
      <c r="I23" s="252"/>
      <c r="J23" s="496"/>
    </row>
    <row r="24" spans="1:10" x14ac:dyDescent="0.5">
      <c r="A24" s="367"/>
      <c r="B24" s="368" t="s">
        <v>336</v>
      </c>
      <c r="C24" s="369"/>
      <c r="D24" s="369"/>
      <c r="E24" s="369"/>
      <c r="F24" s="369"/>
      <c r="G24" s="370"/>
      <c r="H24" s="371"/>
      <c r="I24" s="372">
        <f>SUM(I19,I22)</f>
        <v>566506.42999999993</v>
      </c>
      <c r="J24" s="498"/>
    </row>
    <row r="25" spans="1:10" x14ac:dyDescent="0.5">
      <c r="A25" s="87"/>
      <c r="B25" s="88"/>
      <c r="C25" s="89"/>
      <c r="D25" s="89"/>
      <c r="E25" s="89"/>
      <c r="F25" s="89"/>
      <c r="G25" s="54"/>
      <c r="H25" s="55"/>
      <c r="I25" s="54"/>
      <c r="J25" s="225"/>
    </row>
    <row r="26" spans="1:10" x14ac:dyDescent="0.5">
      <c r="A26" s="90"/>
      <c r="B26" s="82"/>
      <c r="C26" s="83"/>
      <c r="D26" s="84"/>
      <c r="E26" s="83"/>
      <c r="F26" s="83"/>
      <c r="G26" s="32"/>
      <c r="H26" s="33"/>
      <c r="I26" s="32"/>
      <c r="J26" s="40"/>
    </row>
    <row r="27" spans="1:10" x14ac:dyDescent="0.5">
      <c r="A27" s="90"/>
      <c r="B27" s="82"/>
      <c r="C27" s="178"/>
      <c r="D27" s="84"/>
      <c r="E27" s="83"/>
      <c r="F27" s="83"/>
      <c r="G27" s="32"/>
      <c r="H27" s="33"/>
      <c r="I27" s="32"/>
      <c r="J27" s="40"/>
    </row>
    <row r="28" spans="1:10" x14ac:dyDescent="0.5">
      <c r="A28" s="38"/>
      <c r="B28" s="91"/>
      <c r="C28" s="178"/>
      <c r="D28" s="92"/>
      <c r="E28" s="91"/>
      <c r="F28" s="32"/>
      <c r="G28" s="32"/>
      <c r="H28" s="93"/>
      <c r="I28" s="32"/>
      <c r="J28" s="40"/>
    </row>
    <row r="29" spans="1:10" x14ac:dyDescent="0.5">
      <c r="A29" s="38"/>
      <c r="B29" s="91"/>
      <c r="C29" s="178"/>
      <c r="D29" s="92"/>
      <c r="E29" s="91"/>
      <c r="F29" s="32"/>
      <c r="G29" s="32"/>
      <c r="H29" s="93"/>
      <c r="I29" s="32"/>
      <c r="J29" s="40"/>
    </row>
    <row r="30" spans="1:10" x14ac:dyDescent="0.5">
      <c r="A30" s="38"/>
      <c r="B30" s="91"/>
      <c r="C30" s="178"/>
      <c r="D30" s="92"/>
      <c r="E30" s="91"/>
      <c r="F30" s="32"/>
      <c r="G30" s="32"/>
      <c r="H30" s="93"/>
      <c r="I30" s="32"/>
      <c r="J30" s="40"/>
    </row>
    <row r="31" spans="1:10" x14ac:dyDescent="0.5">
      <c r="A31" s="38"/>
      <c r="B31" s="91"/>
      <c r="C31" s="91"/>
      <c r="D31" s="92"/>
      <c r="E31" s="91"/>
      <c r="F31" s="32"/>
      <c r="G31" s="32"/>
      <c r="H31" s="93"/>
      <c r="I31" s="32"/>
      <c r="J31" s="40"/>
    </row>
    <row r="32" spans="1:10" x14ac:dyDescent="0.5">
      <c r="A32" s="38"/>
      <c r="B32" s="39"/>
      <c r="C32" s="39"/>
      <c r="D32" s="39"/>
      <c r="E32" s="39"/>
      <c r="F32" s="39"/>
      <c r="G32" s="32"/>
      <c r="H32" s="33"/>
      <c r="I32" s="34"/>
      <c r="J32" s="40"/>
    </row>
    <row r="33" spans="1:10" x14ac:dyDescent="0.5">
      <c r="A33" s="38"/>
      <c r="B33" s="39"/>
      <c r="C33" s="39"/>
      <c r="D33" s="39"/>
      <c r="E33" s="39"/>
      <c r="F33" s="39"/>
      <c r="G33" s="32"/>
      <c r="H33" s="33"/>
      <c r="I33" s="34"/>
      <c r="J33" s="40"/>
    </row>
    <row r="34" spans="1:10" x14ac:dyDescent="0.5">
      <c r="B34" s="32"/>
      <c r="C34" s="39"/>
    </row>
    <row r="35" spans="1:10" x14ac:dyDescent="0.5">
      <c r="B35" s="178"/>
      <c r="C35" s="39"/>
    </row>
    <row r="36" spans="1:10" x14ac:dyDescent="0.5">
      <c r="B36" s="178"/>
    </row>
    <row r="37" spans="1:10" x14ac:dyDescent="0.5">
      <c r="B37" s="178"/>
    </row>
    <row r="38" spans="1:10" x14ac:dyDescent="0.5">
      <c r="B38" s="65"/>
      <c r="C38" s="179"/>
      <c r="E38" s="65"/>
    </row>
  </sheetData>
  <mergeCells count="12">
    <mergeCell ref="J6:J7"/>
    <mergeCell ref="A6:A7"/>
    <mergeCell ref="B6:B7"/>
    <mergeCell ref="C6:C7"/>
    <mergeCell ref="D6:D7"/>
    <mergeCell ref="E6:F6"/>
    <mergeCell ref="G6:H6"/>
    <mergeCell ref="B1:I1"/>
    <mergeCell ref="A2:I2"/>
    <mergeCell ref="A3:I3"/>
    <mergeCell ref="A4:I4"/>
    <mergeCell ref="A5:I5"/>
  </mergeCells>
  <pageMargins left="0.5" right="0" top="0.75" bottom="0.5" header="0.3" footer="0.3"/>
  <pageSetup paperSize="9" orientation="landscape" horizontalDpi="4294967294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38"/>
  <sheetViews>
    <sheetView topLeftCell="A7" zoomScaleNormal="100" workbookViewId="0">
      <selection activeCell="B17" sqref="B17"/>
    </sheetView>
  </sheetViews>
  <sheetFormatPr defaultRowHeight="21.75" x14ac:dyDescent="0.5"/>
  <cols>
    <col min="1" max="1" width="8.28515625" customWidth="1"/>
    <col min="2" max="2" width="53.7109375" customWidth="1"/>
    <col min="3" max="3" width="8.7109375" customWidth="1"/>
    <col min="4" max="4" width="7.7109375" customWidth="1"/>
    <col min="5" max="8" width="10.7109375" customWidth="1"/>
    <col min="9" max="9" width="14.28515625" customWidth="1"/>
    <col min="10" max="10" width="17.28515625" customWidth="1"/>
    <col min="12" max="12" width="26.28515625" customWidth="1"/>
    <col min="13" max="13" width="21" customWidth="1"/>
    <col min="14" max="14" width="26.85546875" customWidth="1"/>
  </cols>
  <sheetData>
    <row r="1" spans="1:10" ht="27.75" x14ac:dyDescent="0.65">
      <c r="A1" s="5" t="s">
        <v>0</v>
      </c>
      <c r="B1" s="729" t="s">
        <v>7</v>
      </c>
      <c r="C1" s="729"/>
      <c r="D1" s="729"/>
      <c r="E1" s="729"/>
      <c r="F1" s="729"/>
      <c r="G1" s="729"/>
      <c r="H1" s="729"/>
      <c r="I1" s="729"/>
      <c r="J1" s="5"/>
    </row>
    <row r="2" spans="1:10" x14ac:dyDescent="0.5">
      <c r="A2" s="730" t="s">
        <v>247</v>
      </c>
      <c r="B2" s="730"/>
      <c r="C2" s="730"/>
      <c r="D2" s="730"/>
      <c r="E2" s="730"/>
      <c r="F2" s="730"/>
      <c r="G2" s="730"/>
      <c r="H2" s="730"/>
      <c r="I2" s="730"/>
    </row>
    <row r="3" spans="1:10" x14ac:dyDescent="0.5">
      <c r="A3" s="730" t="s">
        <v>20</v>
      </c>
      <c r="B3" s="730"/>
      <c r="C3" s="730"/>
      <c r="D3" s="730"/>
      <c r="E3" s="730"/>
      <c r="F3" s="730"/>
      <c r="G3" s="730"/>
      <c r="H3" s="730"/>
      <c r="I3" s="730"/>
    </row>
    <row r="4" spans="1:10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</row>
    <row r="5" spans="1:10" x14ac:dyDescent="0.5">
      <c r="A5" s="731" t="s">
        <v>332</v>
      </c>
      <c r="B5" s="731"/>
      <c r="C5" s="731"/>
      <c r="D5" s="731"/>
      <c r="E5" s="731"/>
      <c r="F5" s="731"/>
      <c r="G5" s="731"/>
      <c r="H5" s="731"/>
      <c r="I5" s="731"/>
      <c r="J5" s="20" t="s">
        <v>240</v>
      </c>
    </row>
    <row r="6" spans="1:10" x14ac:dyDescent="0.5">
      <c r="A6" s="748" t="s">
        <v>14</v>
      </c>
      <c r="B6" s="748" t="s">
        <v>1</v>
      </c>
      <c r="C6" s="748" t="s">
        <v>4</v>
      </c>
      <c r="D6" s="748" t="s">
        <v>2</v>
      </c>
      <c r="E6" s="734" t="s">
        <v>5</v>
      </c>
      <c r="F6" s="736"/>
      <c r="G6" s="734" t="s">
        <v>6</v>
      </c>
      <c r="H6" s="736"/>
      <c r="I6" s="181" t="s">
        <v>18</v>
      </c>
      <c r="J6" s="748" t="s">
        <v>8</v>
      </c>
    </row>
    <row r="7" spans="1:10" x14ac:dyDescent="0.5">
      <c r="A7" s="752"/>
      <c r="B7" s="752"/>
      <c r="C7" s="752"/>
      <c r="D7" s="752"/>
      <c r="E7" s="182" t="s">
        <v>16</v>
      </c>
      <c r="F7" s="182" t="s">
        <v>17</v>
      </c>
      <c r="G7" s="182" t="s">
        <v>16</v>
      </c>
      <c r="H7" s="182" t="s">
        <v>17</v>
      </c>
      <c r="I7" s="182" t="s">
        <v>19</v>
      </c>
      <c r="J7" s="752"/>
    </row>
    <row r="8" spans="1:10" x14ac:dyDescent="0.5">
      <c r="A8" s="22">
        <v>5</v>
      </c>
      <c r="B8" s="23" t="s">
        <v>132</v>
      </c>
      <c r="C8" s="24"/>
      <c r="D8" s="24"/>
      <c r="E8" s="24"/>
      <c r="F8" s="24"/>
      <c r="G8" s="25"/>
      <c r="H8" s="26"/>
      <c r="I8" s="27"/>
      <c r="J8" s="4"/>
    </row>
    <row r="9" spans="1:10" x14ac:dyDescent="0.5">
      <c r="A9" s="44">
        <v>5.0999999999999996</v>
      </c>
      <c r="B9" s="321" t="s">
        <v>330</v>
      </c>
      <c r="C9" s="332"/>
      <c r="D9" s="332"/>
      <c r="E9" s="332"/>
      <c r="F9" s="332"/>
      <c r="G9" s="36"/>
      <c r="H9" s="608"/>
      <c r="I9" s="609"/>
      <c r="J9" s="37"/>
    </row>
    <row r="10" spans="1:10" x14ac:dyDescent="0.5">
      <c r="A10" s="1"/>
      <c r="B10" s="2" t="s">
        <v>133</v>
      </c>
      <c r="C10" s="45">
        <v>1</v>
      </c>
      <c r="D10" s="21" t="s">
        <v>89</v>
      </c>
      <c r="E10" s="6">
        <v>5000</v>
      </c>
      <c r="F10" s="184" t="s">
        <v>126</v>
      </c>
      <c r="G10" s="184" t="s">
        <v>126</v>
      </c>
      <c r="H10" s="184" t="s">
        <v>126</v>
      </c>
      <c r="I10" s="6">
        <v>5000</v>
      </c>
      <c r="J10" s="3"/>
    </row>
    <row r="11" spans="1:10" x14ac:dyDescent="0.5">
      <c r="A11" s="1"/>
      <c r="B11" s="2" t="s">
        <v>329</v>
      </c>
      <c r="C11" s="45">
        <v>1</v>
      </c>
      <c r="D11" s="21" t="s">
        <v>89</v>
      </c>
      <c r="E11" s="6">
        <v>4500</v>
      </c>
      <c r="F11" s="184" t="s">
        <v>126</v>
      </c>
      <c r="G11" s="184" t="s">
        <v>126</v>
      </c>
      <c r="H11" s="184" t="s">
        <v>126</v>
      </c>
      <c r="I11" s="6">
        <v>4500</v>
      </c>
      <c r="J11" s="3"/>
    </row>
    <row r="12" spans="1:10" x14ac:dyDescent="0.5">
      <c r="A12" s="1"/>
      <c r="B12" s="2"/>
      <c r="C12" s="45"/>
      <c r="D12" s="21"/>
      <c r="E12" s="184"/>
      <c r="F12" s="184"/>
      <c r="G12" s="184"/>
      <c r="H12" s="184"/>
      <c r="I12" s="6"/>
      <c r="J12" s="3"/>
    </row>
    <row r="13" spans="1:10" x14ac:dyDescent="0.5">
      <c r="A13" s="1"/>
      <c r="B13" s="2"/>
      <c r="C13" s="45"/>
      <c r="D13" s="21"/>
      <c r="E13" s="184"/>
      <c r="F13" s="184"/>
      <c r="G13" s="184"/>
      <c r="H13" s="184"/>
      <c r="I13" s="6"/>
      <c r="J13" s="3"/>
    </row>
    <row r="14" spans="1:10" x14ac:dyDescent="0.5">
      <c r="A14" s="367"/>
      <c r="B14" s="10" t="s">
        <v>331</v>
      </c>
      <c r="C14" s="369"/>
      <c r="D14" s="369"/>
      <c r="E14" s="369"/>
      <c r="F14" s="369"/>
      <c r="G14" s="370"/>
      <c r="H14" s="371"/>
      <c r="I14" s="372">
        <f>SUM(I8:I13)</f>
        <v>9500</v>
      </c>
      <c r="J14" s="498"/>
    </row>
    <row r="15" spans="1:10" x14ac:dyDescent="0.5">
      <c r="A15" s="409">
        <v>5.2</v>
      </c>
      <c r="B15" s="488" t="s">
        <v>90</v>
      </c>
      <c r="C15" s="489"/>
      <c r="D15" s="250"/>
      <c r="E15" s="489"/>
      <c r="F15" s="489"/>
      <c r="G15" s="251"/>
      <c r="H15" s="248"/>
      <c r="I15" s="252"/>
      <c r="J15" s="490"/>
    </row>
    <row r="16" spans="1:10" x14ac:dyDescent="0.5">
      <c r="A16" s="409"/>
      <c r="B16" s="365" t="s">
        <v>87</v>
      </c>
      <c r="C16" s="640">
        <v>269.75</v>
      </c>
      <c r="D16" s="250" t="s">
        <v>32</v>
      </c>
      <c r="E16" s="489">
        <v>15</v>
      </c>
      <c r="F16" s="489">
        <f t="shared" ref="F16:F20" si="0">SUM(C16*E16)</f>
        <v>4046.25</v>
      </c>
      <c r="G16" s="251">
        <v>20</v>
      </c>
      <c r="H16" s="248">
        <f>SUM(C16*G16)</f>
        <v>5395</v>
      </c>
      <c r="I16" s="248">
        <f t="shared" ref="I16:I20" si="1">SUM(F16+H16)</f>
        <v>9441.25</v>
      </c>
      <c r="J16" s="490"/>
    </row>
    <row r="17" spans="1:10" x14ac:dyDescent="0.5">
      <c r="A17" s="378"/>
      <c r="B17" s="412" t="s">
        <v>347</v>
      </c>
      <c r="C17" s="641">
        <v>50</v>
      </c>
      <c r="D17" s="492" t="s">
        <v>22</v>
      </c>
      <c r="E17" s="258">
        <v>25</v>
      </c>
      <c r="F17" s="489">
        <f t="shared" si="0"/>
        <v>1250</v>
      </c>
      <c r="G17" s="251">
        <v>20</v>
      </c>
      <c r="H17" s="248">
        <f t="shared" ref="H17:H20" si="2">SUM(C17*G17)</f>
        <v>1000</v>
      </c>
      <c r="I17" s="252">
        <f t="shared" si="1"/>
        <v>2250</v>
      </c>
      <c r="J17" s="490"/>
    </row>
    <row r="18" spans="1:10" x14ac:dyDescent="0.5">
      <c r="A18" s="361"/>
      <c r="B18" s="493" t="s">
        <v>346</v>
      </c>
      <c r="C18" s="642">
        <v>120</v>
      </c>
      <c r="D18" s="495" t="s">
        <v>22</v>
      </c>
      <c r="E18" s="363">
        <v>25</v>
      </c>
      <c r="F18" s="489">
        <f t="shared" si="0"/>
        <v>3000</v>
      </c>
      <c r="G18" s="251">
        <v>20</v>
      </c>
      <c r="H18" s="248">
        <f t="shared" si="2"/>
        <v>2400</v>
      </c>
      <c r="I18" s="252">
        <f t="shared" si="1"/>
        <v>5400</v>
      </c>
      <c r="J18" s="496"/>
    </row>
    <row r="19" spans="1:10" x14ac:dyDescent="0.5">
      <c r="A19" s="378"/>
      <c r="B19" s="497" t="s">
        <v>348</v>
      </c>
      <c r="C19" s="641">
        <v>20</v>
      </c>
      <c r="D19" s="492" t="s">
        <v>22</v>
      </c>
      <c r="E19" s="258">
        <v>30</v>
      </c>
      <c r="F19" s="489">
        <f t="shared" si="0"/>
        <v>600</v>
      </c>
      <c r="G19" s="251">
        <v>20</v>
      </c>
      <c r="H19" s="248">
        <f t="shared" si="2"/>
        <v>400</v>
      </c>
      <c r="I19" s="248">
        <f t="shared" si="1"/>
        <v>1000</v>
      </c>
      <c r="J19" s="490"/>
    </row>
    <row r="20" spans="1:10" x14ac:dyDescent="0.5">
      <c r="A20" s="361"/>
      <c r="B20" s="412" t="s">
        <v>349</v>
      </c>
      <c r="C20" s="642">
        <v>60</v>
      </c>
      <c r="D20" s="606" t="s">
        <v>22</v>
      </c>
      <c r="E20" s="255">
        <v>75</v>
      </c>
      <c r="F20" s="605">
        <f t="shared" si="0"/>
        <v>4500</v>
      </c>
      <c r="G20" s="251">
        <v>20</v>
      </c>
      <c r="H20" s="248">
        <f t="shared" si="2"/>
        <v>1200</v>
      </c>
      <c r="I20" s="248">
        <f t="shared" si="1"/>
        <v>5700</v>
      </c>
      <c r="J20" s="496"/>
    </row>
    <row r="21" spans="1:10" x14ac:dyDescent="0.5">
      <c r="A21" s="361"/>
      <c r="B21" s="412" t="s">
        <v>328</v>
      </c>
      <c r="C21" s="639">
        <v>269.75</v>
      </c>
      <c r="D21" s="503" t="s">
        <v>32</v>
      </c>
      <c r="E21" s="579">
        <v>18.149999999999999</v>
      </c>
      <c r="F21" s="607">
        <f t="shared" ref="F21" si="3">SUM(C21*E21)</f>
        <v>4895.9624999999996</v>
      </c>
      <c r="G21" s="251">
        <v>12.1</v>
      </c>
      <c r="H21" s="248">
        <f t="shared" ref="H21" si="4">SUM(C21*G21)</f>
        <v>3263.9749999999999</v>
      </c>
      <c r="I21" s="248">
        <f t="shared" ref="I21" si="5">SUM(F21+H21)</f>
        <v>8159.9375</v>
      </c>
      <c r="J21" s="496"/>
    </row>
    <row r="22" spans="1:10" x14ac:dyDescent="0.5">
      <c r="A22" s="367"/>
      <c r="B22" s="368" t="s">
        <v>91</v>
      </c>
      <c r="C22" s="369"/>
      <c r="D22" s="369"/>
      <c r="E22" s="369"/>
      <c r="F22" s="369"/>
      <c r="G22" s="370"/>
      <c r="H22" s="371"/>
      <c r="I22" s="372">
        <f>SUM(I16:I21)</f>
        <v>31951.1875</v>
      </c>
      <c r="J22" s="498"/>
    </row>
    <row r="23" spans="1:10" x14ac:dyDescent="0.5">
      <c r="A23" s="97"/>
      <c r="B23" s="76"/>
      <c r="C23" s="101"/>
      <c r="D23" s="71"/>
      <c r="E23" s="126"/>
      <c r="F23" s="98"/>
      <c r="G23" s="8"/>
      <c r="H23" s="46"/>
      <c r="I23" s="75"/>
      <c r="J23" s="41"/>
    </row>
    <row r="24" spans="1:10" x14ac:dyDescent="0.5">
      <c r="A24" s="9"/>
      <c r="B24" s="10" t="s">
        <v>181</v>
      </c>
      <c r="C24" s="180"/>
      <c r="D24" s="180"/>
      <c r="E24" s="180"/>
      <c r="F24" s="180"/>
      <c r="G24" s="11"/>
      <c r="H24" s="12"/>
      <c r="I24" s="13">
        <f>SUM(I14,I22,)</f>
        <v>41451.1875</v>
      </c>
      <c r="J24" s="14"/>
    </row>
    <row r="25" spans="1:10" x14ac:dyDescent="0.5">
      <c r="A25" s="87"/>
      <c r="B25" s="88"/>
      <c r="C25" s="89"/>
      <c r="D25" s="89"/>
      <c r="E25" s="89"/>
      <c r="F25" s="89"/>
      <c r="G25" s="54"/>
      <c r="H25" s="55"/>
      <c r="I25" s="54"/>
      <c r="J25" s="17"/>
    </row>
    <row r="26" spans="1:10" x14ac:dyDescent="0.5">
      <c r="A26" s="90"/>
      <c r="B26" s="82"/>
      <c r="C26" s="83"/>
      <c r="D26" s="84"/>
      <c r="E26" s="83"/>
      <c r="F26" s="83"/>
      <c r="G26" s="32"/>
      <c r="H26" s="33"/>
      <c r="I26" s="32"/>
      <c r="J26" s="40"/>
    </row>
    <row r="27" spans="1:10" x14ac:dyDescent="0.5">
      <c r="A27" s="90"/>
      <c r="B27" s="82"/>
      <c r="C27" s="178"/>
      <c r="D27" s="84"/>
      <c r="E27" s="83"/>
      <c r="F27" s="83"/>
      <c r="G27" s="32"/>
      <c r="H27" s="33"/>
      <c r="I27" s="32"/>
      <c r="J27" s="40"/>
    </row>
    <row r="28" spans="1:10" x14ac:dyDescent="0.5">
      <c r="A28" s="38"/>
      <c r="B28" s="91"/>
      <c r="C28" s="178"/>
      <c r="D28" s="92"/>
      <c r="E28" s="91"/>
      <c r="F28" s="32"/>
      <c r="G28" s="32"/>
      <c r="H28" s="93"/>
      <c r="I28" s="32"/>
      <c r="J28" s="40"/>
    </row>
    <row r="29" spans="1:10" x14ac:dyDescent="0.5">
      <c r="A29" s="38"/>
      <c r="B29" s="91"/>
      <c r="C29" s="178"/>
      <c r="D29" s="92"/>
      <c r="E29" s="91"/>
      <c r="F29" s="32"/>
      <c r="G29" s="32"/>
      <c r="H29" s="93"/>
      <c r="I29" s="32"/>
      <c r="J29" s="40"/>
    </row>
    <row r="30" spans="1:10" x14ac:dyDescent="0.5">
      <c r="A30" s="38"/>
      <c r="B30" s="91"/>
      <c r="C30" s="178"/>
      <c r="D30" s="92"/>
      <c r="E30" s="91"/>
      <c r="F30" s="32"/>
      <c r="G30" s="32"/>
      <c r="H30" s="93"/>
      <c r="I30" s="32"/>
      <c r="J30" s="40"/>
    </row>
    <row r="31" spans="1:10" x14ac:dyDescent="0.5">
      <c r="A31" s="38"/>
      <c r="B31" s="91"/>
      <c r="C31" s="91"/>
      <c r="D31" s="92"/>
      <c r="E31" s="91"/>
      <c r="F31" s="32"/>
      <c r="G31" s="32"/>
      <c r="H31" s="93"/>
      <c r="I31" s="32"/>
      <c r="J31" s="40"/>
    </row>
    <row r="32" spans="1:10" x14ac:dyDescent="0.5">
      <c r="A32" s="38"/>
      <c r="B32" s="39"/>
      <c r="C32" s="39"/>
      <c r="D32" s="39"/>
      <c r="E32" s="39"/>
      <c r="F32" s="39"/>
      <c r="G32" s="32"/>
      <c r="H32" s="33"/>
      <c r="I32" s="34"/>
      <c r="J32" s="40"/>
    </row>
    <row r="33" spans="1:10" x14ac:dyDescent="0.5">
      <c r="A33" s="38"/>
      <c r="B33" s="39"/>
      <c r="C33" s="39"/>
      <c r="D33" s="39"/>
      <c r="E33" s="39"/>
      <c r="F33" s="39"/>
      <c r="G33" s="32"/>
      <c r="H33" s="33"/>
      <c r="I33" s="34"/>
      <c r="J33" s="40"/>
    </row>
    <row r="34" spans="1:10" x14ac:dyDescent="0.5">
      <c r="B34" s="32"/>
      <c r="C34" s="39"/>
    </row>
    <row r="35" spans="1:10" x14ac:dyDescent="0.5">
      <c r="B35" s="178"/>
      <c r="C35" s="39"/>
    </row>
    <row r="36" spans="1:10" x14ac:dyDescent="0.5">
      <c r="B36" s="178"/>
    </row>
    <row r="37" spans="1:10" x14ac:dyDescent="0.5">
      <c r="B37" s="178"/>
    </row>
    <row r="38" spans="1:10" x14ac:dyDescent="0.5">
      <c r="B38" s="65"/>
      <c r="C38" s="179"/>
      <c r="E38" s="65"/>
    </row>
  </sheetData>
  <mergeCells count="12">
    <mergeCell ref="G6:H6"/>
    <mergeCell ref="J6:J7"/>
    <mergeCell ref="B1:I1"/>
    <mergeCell ref="A2:I2"/>
    <mergeCell ref="A3:I3"/>
    <mergeCell ref="A4:I4"/>
    <mergeCell ref="A5:I5"/>
    <mergeCell ref="A6:A7"/>
    <mergeCell ref="B6:B7"/>
    <mergeCell ref="C6:C7"/>
    <mergeCell ref="D6:D7"/>
    <mergeCell ref="E6:F6"/>
  </mergeCells>
  <pageMargins left="0.5" right="0" top="0.75" bottom="0.5" header="0.3" footer="0.3"/>
  <pageSetup paperSize="9" orientation="landscape" horizontalDpi="4294967294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7352-C261-409C-ADF3-83B3569326D7}">
  <sheetPr>
    <tabColor rgb="FF00B050"/>
  </sheetPr>
  <dimension ref="A1:K36"/>
  <sheetViews>
    <sheetView view="pageBreakPreview" zoomScale="60" zoomScaleNormal="100" workbookViewId="0">
      <selection activeCell="B18" sqref="B18"/>
    </sheetView>
  </sheetViews>
  <sheetFormatPr defaultRowHeight="21.75" x14ac:dyDescent="0.5"/>
  <cols>
    <col min="1" max="1" width="8.28515625" customWidth="1"/>
    <col min="2" max="2" width="53.7109375" customWidth="1"/>
    <col min="3" max="3" width="8.7109375" customWidth="1"/>
    <col min="4" max="4" width="7.7109375" customWidth="1"/>
    <col min="5" max="8" width="10.7109375" customWidth="1"/>
    <col min="9" max="9" width="14.28515625" customWidth="1"/>
    <col min="10" max="10" width="17.28515625" customWidth="1"/>
    <col min="12" max="12" width="26.28515625" customWidth="1"/>
    <col min="13" max="13" width="21" customWidth="1"/>
    <col min="14" max="14" width="26.85546875" customWidth="1"/>
  </cols>
  <sheetData>
    <row r="1" spans="1:11" ht="27.75" x14ac:dyDescent="0.65">
      <c r="A1" s="5" t="s">
        <v>0</v>
      </c>
      <c r="B1" s="729" t="s">
        <v>7</v>
      </c>
      <c r="C1" s="729"/>
      <c r="D1" s="729"/>
      <c r="E1" s="729"/>
      <c r="F1" s="729"/>
      <c r="G1" s="729"/>
      <c r="H1" s="729"/>
      <c r="I1" s="729"/>
      <c r="J1" s="5"/>
    </row>
    <row r="2" spans="1:11" x14ac:dyDescent="0.5">
      <c r="A2" s="730" t="s">
        <v>247</v>
      </c>
      <c r="B2" s="730"/>
      <c r="C2" s="730"/>
      <c r="D2" s="730"/>
      <c r="E2" s="730"/>
      <c r="F2" s="730"/>
      <c r="G2" s="730"/>
      <c r="H2" s="730"/>
      <c r="I2" s="730"/>
    </row>
    <row r="3" spans="1:11" x14ac:dyDescent="0.5">
      <c r="A3" s="730" t="s">
        <v>20</v>
      </c>
      <c r="B3" s="730"/>
      <c r="C3" s="730"/>
      <c r="D3" s="730"/>
      <c r="E3" s="730"/>
      <c r="F3" s="730"/>
      <c r="G3" s="730"/>
      <c r="H3" s="730"/>
      <c r="I3" s="730"/>
    </row>
    <row r="4" spans="1:11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</row>
    <row r="5" spans="1:11" x14ac:dyDescent="0.5">
      <c r="A5" s="731" t="s">
        <v>332</v>
      </c>
      <c r="B5" s="731"/>
      <c r="C5" s="731"/>
      <c r="D5" s="731"/>
      <c r="E5" s="731"/>
      <c r="F5" s="731"/>
      <c r="G5" s="731"/>
      <c r="H5" s="731"/>
      <c r="I5" s="731"/>
      <c r="J5" s="20" t="s">
        <v>241</v>
      </c>
    </row>
    <row r="6" spans="1:11" x14ac:dyDescent="0.5">
      <c r="A6" s="748" t="s">
        <v>14</v>
      </c>
      <c r="B6" s="748" t="s">
        <v>1</v>
      </c>
      <c r="C6" s="748" t="s">
        <v>4</v>
      </c>
      <c r="D6" s="748" t="s">
        <v>2</v>
      </c>
      <c r="E6" s="734" t="s">
        <v>5</v>
      </c>
      <c r="F6" s="736"/>
      <c r="G6" s="734" t="s">
        <v>6</v>
      </c>
      <c r="H6" s="736"/>
      <c r="I6" s="233" t="s">
        <v>18</v>
      </c>
      <c r="J6" s="748" t="s">
        <v>8</v>
      </c>
      <c r="K6" s="600"/>
    </row>
    <row r="7" spans="1:11" x14ac:dyDescent="0.5">
      <c r="A7" s="752"/>
      <c r="B7" s="752"/>
      <c r="C7" s="749"/>
      <c r="D7" s="749"/>
      <c r="E7" s="234" t="s">
        <v>16</v>
      </c>
      <c r="F7" s="234" t="s">
        <v>17</v>
      </c>
      <c r="G7" s="583" t="s">
        <v>16</v>
      </c>
      <c r="H7" s="234" t="s">
        <v>17</v>
      </c>
      <c r="I7" s="582" t="s">
        <v>19</v>
      </c>
      <c r="J7" s="749"/>
    </row>
    <row r="8" spans="1:11" x14ac:dyDescent="0.5">
      <c r="A8" s="22">
        <v>6</v>
      </c>
      <c r="B8" s="23" t="s">
        <v>195</v>
      </c>
      <c r="C8" s="594"/>
      <c r="D8" s="595"/>
      <c r="E8" s="596"/>
      <c r="F8" s="597"/>
      <c r="G8" s="598"/>
      <c r="H8" s="597"/>
      <c r="I8" s="597"/>
      <c r="J8" s="599"/>
    </row>
    <row r="9" spans="1:11" x14ac:dyDescent="0.5">
      <c r="A9" s="44"/>
      <c r="B9" s="322" t="s">
        <v>207</v>
      </c>
      <c r="C9" s="45">
        <v>2</v>
      </c>
      <c r="D9" s="21" t="s">
        <v>22</v>
      </c>
      <c r="E9" s="358">
        <v>7000</v>
      </c>
      <c r="F9" s="216">
        <f t="shared" ref="F9:F13" si="0">E9*C9</f>
        <v>14000</v>
      </c>
      <c r="G9" s="36">
        <v>1500</v>
      </c>
      <c r="H9" s="216">
        <f t="shared" ref="H9:H13" si="1">C9*G9</f>
        <v>3000</v>
      </c>
      <c r="I9" s="216">
        <f t="shared" ref="I9:I13" si="2">F9+H9</f>
        <v>17000</v>
      </c>
      <c r="J9" s="37"/>
    </row>
    <row r="10" spans="1:11" x14ac:dyDescent="0.5">
      <c r="A10" s="44"/>
      <c r="B10" s="322" t="s">
        <v>211</v>
      </c>
      <c r="C10" s="45">
        <v>1</v>
      </c>
      <c r="D10" s="21" t="s">
        <v>22</v>
      </c>
      <c r="E10" s="358">
        <v>2000</v>
      </c>
      <c r="F10" s="216">
        <f t="shared" si="0"/>
        <v>2000</v>
      </c>
      <c r="G10" s="36">
        <v>1000</v>
      </c>
      <c r="H10" s="216">
        <f t="shared" si="1"/>
        <v>1000</v>
      </c>
      <c r="I10" s="216">
        <f t="shared" si="2"/>
        <v>3000</v>
      </c>
      <c r="J10" s="37"/>
    </row>
    <row r="11" spans="1:11" x14ac:dyDescent="0.5">
      <c r="A11" s="44"/>
      <c r="B11" s="322" t="s">
        <v>210</v>
      </c>
      <c r="C11" s="45">
        <v>1</v>
      </c>
      <c r="D11" s="21" t="s">
        <v>22</v>
      </c>
      <c r="E11" s="358">
        <v>4000</v>
      </c>
      <c r="F11" s="216">
        <f t="shared" si="0"/>
        <v>4000</v>
      </c>
      <c r="G11" s="36">
        <v>1200</v>
      </c>
      <c r="H11" s="216">
        <f t="shared" si="1"/>
        <v>1200</v>
      </c>
      <c r="I11" s="216">
        <f t="shared" si="2"/>
        <v>5200</v>
      </c>
      <c r="J11" s="37"/>
    </row>
    <row r="12" spans="1:11" x14ac:dyDescent="0.5">
      <c r="A12" s="44"/>
      <c r="B12" s="322" t="s">
        <v>209</v>
      </c>
      <c r="C12" s="45">
        <v>1</v>
      </c>
      <c r="D12" s="21" t="s">
        <v>22</v>
      </c>
      <c r="E12" s="358">
        <v>18000</v>
      </c>
      <c r="F12" s="216">
        <f t="shared" si="0"/>
        <v>18000</v>
      </c>
      <c r="G12" s="36">
        <v>2500</v>
      </c>
      <c r="H12" s="216">
        <f t="shared" si="1"/>
        <v>2500</v>
      </c>
      <c r="I12" s="216">
        <f t="shared" si="2"/>
        <v>20500</v>
      </c>
      <c r="J12" s="37"/>
    </row>
    <row r="13" spans="1:11" x14ac:dyDescent="0.5">
      <c r="A13" s="44"/>
      <c r="B13" s="322" t="s">
        <v>208</v>
      </c>
      <c r="C13" s="45">
        <v>1</v>
      </c>
      <c r="D13" s="21" t="s">
        <v>22</v>
      </c>
      <c r="E13" s="358">
        <v>5500</v>
      </c>
      <c r="F13" s="216">
        <f t="shared" si="0"/>
        <v>5500</v>
      </c>
      <c r="G13" s="36">
        <v>1000</v>
      </c>
      <c r="H13" s="216">
        <f t="shared" si="1"/>
        <v>1000</v>
      </c>
      <c r="I13" s="216">
        <f t="shared" si="2"/>
        <v>6500</v>
      </c>
      <c r="J13" s="37"/>
    </row>
    <row r="14" spans="1:11" x14ac:dyDescent="0.5">
      <c r="A14" s="44"/>
      <c r="B14" s="322"/>
      <c r="C14" s="45"/>
      <c r="D14" s="21"/>
      <c r="E14" s="358"/>
      <c r="F14" s="216"/>
      <c r="G14" s="36"/>
      <c r="H14" s="216"/>
      <c r="I14" s="216"/>
      <c r="J14" s="37"/>
    </row>
    <row r="15" spans="1:11" x14ac:dyDescent="0.5">
      <c r="A15" s="44"/>
      <c r="B15" s="593"/>
      <c r="C15" s="45"/>
      <c r="D15" s="21"/>
      <c r="E15" s="358"/>
      <c r="F15" s="216"/>
      <c r="G15" s="36"/>
      <c r="H15" s="216"/>
      <c r="I15" s="216"/>
      <c r="J15" s="37"/>
    </row>
    <row r="16" spans="1:11" x14ac:dyDescent="0.5">
      <c r="A16" s="44"/>
      <c r="B16" s="321"/>
      <c r="C16" s="45"/>
      <c r="D16" s="21"/>
      <c r="E16" s="184"/>
      <c r="F16" s="184"/>
      <c r="G16" s="184"/>
      <c r="H16" s="184"/>
      <c r="I16" s="6"/>
      <c r="J16" s="37"/>
    </row>
    <row r="17" spans="1:10" x14ac:dyDescent="0.5">
      <c r="A17" s="44"/>
      <c r="B17" s="321"/>
      <c r="C17" s="45"/>
      <c r="D17" s="21"/>
      <c r="E17" s="184"/>
      <c r="F17" s="184"/>
      <c r="G17" s="184"/>
      <c r="H17" s="184"/>
      <c r="I17" s="6"/>
      <c r="J17" s="37"/>
    </row>
    <row r="18" spans="1:10" x14ac:dyDescent="0.5">
      <c r="A18" s="44"/>
      <c r="B18" s="321"/>
      <c r="C18" s="45"/>
      <c r="D18" s="21"/>
      <c r="E18" s="184"/>
      <c r="F18" s="184"/>
      <c r="G18" s="184"/>
      <c r="H18" s="184"/>
      <c r="I18" s="6"/>
      <c r="J18" s="37"/>
    </row>
    <row r="19" spans="1:10" x14ac:dyDescent="0.5">
      <c r="A19" s="44"/>
      <c r="B19" s="321"/>
      <c r="C19" s="45"/>
      <c r="D19" s="21"/>
      <c r="E19" s="184"/>
      <c r="F19" s="184"/>
      <c r="G19" s="184"/>
      <c r="H19" s="184"/>
      <c r="I19" s="6"/>
      <c r="J19" s="37"/>
    </row>
    <row r="20" spans="1:10" x14ac:dyDescent="0.5">
      <c r="A20" s="1"/>
      <c r="B20" s="2"/>
      <c r="C20" s="45"/>
      <c r="D20" s="21"/>
      <c r="E20" s="184"/>
      <c r="F20" s="184"/>
      <c r="G20" s="184"/>
      <c r="H20" s="184"/>
      <c r="I20" s="6"/>
      <c r="J20" s="3"/>
    </row>
    <row r="21" spans="1:10" x14ac:dyDescent="0.5">
      <c r="A21" s="97"/>
      <c r="B21" s="76"/>
      <c r="C21" s="101"/>
      <c r="D21" s="71"/>
      <c r="E21" s="126"/>
      <c r="F21" s="98"/>
      <c r="G21" s="8"/>
      <c r="H21" s="46"/>
      <c r="I21" s="75"/>
      <c r="J21" s="41"/>
    </row>
    <row r="22" spans="1:10" x14ac:dyDescent="0.5">
      <c r="A22" s="9"/>
      <c r="B22" s="10" t="s">
        <v>194</v>
      </c>
      <c r="C22" s="232"/>
      <c r="D22" s="232"/>
      <c r="E22" s="232"/>
      <c r="F22" s="232"/>
      <c r="G22" s="11"/>
      <c r="H22" s="12"/>
      <c r="I22" s="13">
        <f>SUM(I9:I15)</f>
        <v>52200</v>
      </c>
      <c r="J22" s="14"/>
    </row>
    <row r="23" spans="1:10" x14ac:dyDescent="0.5">
      <c r="A23" s="87"/>
      <c r="B23" s="88"/>
      <c r="C23" s="89"/>
      <c r="D23" s="89"/>
      <c r="E23" s="89"/>
      <c r="F23" s="89"/>
      <c r="G23" s="54"/>
      <c r="H23" s="55"/>
      <c r="I23" s="54"/>
      <c r="J23" s="17"/>
    </row>
    <row r="24" spans="1:10" x14ac:dyDescent="0.5">
      <c r="A24" s="90"/>
      <c r="B24" s="82"/>
      <c r="C24" s="83"/>
      <c r="D24" s="84"/>
      <c r="E24" s="83"/>
      <c r="F24" s="83"/>
      <c r="G24" s="32"/>
      <c r="H24" s="33"/>
      <c r="I24" s="32"/>
      <c r="J24" s="40"/>
    </row>
    <row r="25" spans="1:10" x14ac:dyDescent="0.5">
      <c r="A25" s="90"/>
      <c r="B25" s="82"/>
      <c r="C25" s="178"/>
      <c r="D25" s="84"/>
      <c r="E25" s="83"/>
      <c r="F25" s="83"/>
      <c r="G25" s="32"/>
      <c r="H25" s="33"/>
      <c r="I25" s="32"/>
      <c r="J25" s="40"/>
    </row>
    <row r="26" spans="1:10" x14ac:dyDescent="0.5">
      <c r="A26" s="38"/>
      <c r="B26" s="91"/>
      <c r="C26" s="178"/>
      <c r="D26" s="92"/>
      <c r="E26" s="91"/>
      <c r="F26" s="32"/>
      <c r="G26" s="32"/>
      <c r="H26" s="93"/>
      <c r="I26" s="32"/>
      <c r="J26" s="40"/>
    </row>
    <row r="27" spans="1:10" x14ac:dyDescent="0.5">
      <c r="A27" s="38"/>
      <c r="B27" s="91"/>
      <c r="C27" s="178"/>
      <c r="D27" s="92"/>
      <c r="E27" s="91"/>
      <c r="F27" s="32"/>
      <c r="G27" s="32"/>
      <c r="H27" s="93"/>
      <c r="I27" s="32"/>
      <c r="J27" s="40"/>
    </row>
    <row r="28" spans="1:10" x14ac:dyDescent="0.5">
      <c r="A28" s="38"/>
      <c r="B28" s="91"/>
      <c r="C28" s="178"/>
      <c r="D28" s="92"/>
      <c r="E28" s="91"/>
      <c r="F28" s="32"/>
      <c r="G28" s="32"/>
      <c r="H28" s="93"/>
      <c r="I28" s="32"/>
      <c r="J28" s="40"/>
    </row>
    <row r="29" spans="1:10" x14ac:dyDescent="0.5">
      <c r="A29" s="38"/>
      <c r="B29" s="91"/>
      <c r="C29" s="91"/>
      <c r="D29" s="92"/>
      <c r="E29" s="91"/>
      <c r="F29" s="32"/>
      <c r="G29" s="32"/>
      <c r="H29" s="93"/>
      <c r="I29" s="32"/>
      <c r="J29" s="40"/>
    </row>
    <row r="30" spans="1:10" x14ac:dyDescent="0.5">
      <c r="A30" s="38"/>
      <c r="B30" s="39"/>
      <c r="C30" s="39"/>
      <c r="D30" s="39"/>
      <c r="E30" s="39"/>
      <c r="F30" s="39"/>
      <c r="G30" s="32"/>
      <c r="H30" s="33"/>
      <c r="I30" s="34"/>
      <c r="J30" s="40"/>
    </row>
    <row r="31" spans="1:10" x14ac:dyDescent="0.5">
      <c r="A31" s="38"/>
      <c r="B31" s="39"/>
      <c r="C31" s="39"/>
      <c r="D31" s="39"/>
      <c r="E31" s="39"/>
      <c r="F31" s="39"/>
      <c r="G31" s="32"/>
      <c r="H31" s="33"/>
      <c r="I31" s="34"/>
      <c r="J31" s="40"/>
    </row>
    <row r="32" spans="1:10" x14ac:dyDescent="0.5">
      <c r="B32" s="32"/>
      <c r="C32" s="39"/>
    </row>
    <row r="33" spans="2:5" x14ac:dyDescent="0.5">
      <c r="B33" s="178"/>
      <c r="C33" s="39"/>
    </row>
    <row r="34" spans="2:5" x14ac:dyDescent="0.5">
      <c r="B34" s="178"/>
    </row>
    <row r="35" spans="2:5" x14ac:dyDescent="0.5">
      <c r="B35" s="178"/>
    </row>
    <row r="36" spans="2:5" x14ac:dyDescent="0.5">
      <c r="B36" s="65"/>
      <c r="C36" s="179"/>
      <c r="E36" s="65"/>
    </row>
  </sheetData>
  <mergeCells count="12">
    <mergeCell ref="G6:H6"/>
    <mergeCell ref="J6:J7"/>
    <mergeCell ref="B1:I1"/>
    <mergeCell ref="A2:I2"/>
    <mergeCell ref="A3:I3"/>
    <mergeCell ref="A4:I4"/>
    <mergeCell ref="A5:I5"/>
    <mergeCell ref="A6:A7"/>
    <mergeCell ref="B6:B7"/>
    <mergeCell ref="C6:C7"/>
    <mergeCell ref="D6:D7"/>
    <mergeCell ref="E6:F6"/>
  </mergeCells>
  <pageMargins left="0.5" right="0" top="0.75" bottom="0.5" header="0.3" footer="0.3"/>
  <pageSetup paperSize="9" orientation="landscape" horizontalDpi="4294967294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M38" sqref="M38"/>
    </sheetView>
  </sheetViews>
  <sheetFormatPr defaultRowHeight="21.75" x14ac:dyDescent="0.5"/>
  <sheetData>
    <row r="1" spans="1:10" x14ac:dyDescent="0.5">
      <c r="A1" s="183"/>
      <c r="B1" s="183"/>
      <c r="C1" s="183"/>
      <c r="D1" s="183"/>
      <c r="E1" s="183"/>
      <c r="F1" s="183"/>
      <c r="G1" s="183"/>
      <c r="H1" s="183"/>
      <c r="I1" s="183"/>
      <c r="J1" s="183"/>
    </row>
    <row r="2" spans="1:10" x14ac:dyDescent="0.5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x14ac:dyDescent="0.5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x14ac:dyDescent="0.5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x14ac:dyDescent="0.5">
      <c r="A5" s="183"/>
      <c r="B5" s="183"/>
      <c r="C5" s="183"/>
      <c r="D5" s="183"/>
      <c r="E5" s="183"/>
      <c r="F5" s="183"/>
      <c r="G5" s="183"/>
      <c r="H5" s="183"/>
      <c r="I5" s="183"/>
      <c r="J5" s="183"/>
    </row>
    <row r="6" spans="1:10" x14ac:dyDescent="0.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5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x14ac:dyDescent="0.5">
      <c r="A8" s="183"/>
      <c r="B8" s="183"/>
      <c r="C8" s="183"/>
      <c r="D8" s="183"/>
      <c r="E8" s="183"/>
      <c r="F8" s="183"/>
      <c r="G8" s="183"/>
      <c r="H8" s="183"/>
      <c r="I8" s="183"/>
      <c r="J8" s="183"/>
    </row>
    <row r="9" spans="1:10" x14ac:dyDescent="0.5">
      <c r="A9" s="183"/>
      <c r="B9" s="183"/>
      <c r="C9" s="183"/>
      <c r="D9" s="183"/>
      <c r="E9" s="183"/>
      <c r="F9" s="183"/>
      <c r="G9" s="183"/>
      <c r="H9" s="183"/>
      <c r="I9" s="183"/>
      <c r="J9" s="183"/>
    </row>
    <row r="10" spans="1:10" x14ac:dyDescent="0.5">
      <c r="A10" s="183"/>
      <c r="B10" s="183"/>
      <c r="C10" s="183"/>
      <c r="D10" s="183"/>
      <c r="E10" s="183"/>
      <c r="F10" s="183"/>
      <c r="G10" s="183"/>
      <c r="H10" s="183"/>
      <c r="I10" s="183"/>
      <c r="J10" s="183"/>
    </row>
    <row r="11" spans="1:10" x14ac:dyDescent="0.5">
      <c r="A11" s="183"/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x14ac:dyDescent="0.5">
      <c r="A12" s="183"/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 x14ac:dyDescent="0.5">
      <c r="A13" s="183"/>
      <c r="B13" s="183"/>
      <c r="C13" s="183"/>
      <c r="D13" s="183"/>
      <c r="E13" s="183"/>
      <c r="F13" s="183"/>
      <c r="G13" s="183"/>
      <c r="H13" s="183"/>
      <c r="I13" s="183"/>
      <c r="J13" s="183"/>
    </row>
    <row r="14" spans="1:10" x14ac:dyDescent="0.5">
      <c r="A14" s="183"/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 x14ac:dyDescent="0.5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 x14ac:dyDescent="0.5">
      <c r="A16" s="183"/>
      <c r="B16" s="183"/>
      <c r="C16" s="183"/>
      <c r="D16" s="183"/>
      <c r="E16" s="183"/>
      <c r="F16" s="183"/>
      <c r="G16" s="183"/>
      <c r="H16" s="183"/>
      <c r="I16" s="183"/>
      <c r="J16" s="183"/>
    </row>
    <row r="17" spans="1:10" x14ac:dyDescent="0.5">
      <c r="A17" s="183"/>
      <c r="B17" s="183"/>
      <c r="C17" s="183"/>
      <c r="D17" s="183"/>
      <c r="E17" s="183"/>
      <c r="F17" s="183"/>
      <c r="G17" s="183"/>
      <c r="H17" s="183"/>
      <c r="I17" s="183"/>
      <c r="J17" s="183"/>
    </row>
    <row r="18" spans="1:10" x14ac:dyDescent="0.5">
      <c r="A18" s="183"/>
      <c r="B18" s="183"/>
      <c r="C18" s="183"/>
      <c r="D18" s="183"/>
      <c r="E18" s="183"/>
      <c r="F18" s="183"/>
      <c r="G18" s="183"/>
      <c r="H18" s="183"/>
      <c r="I18" s="183"/>
      <c r="J18" s="183"/>
    </row>
    <row r="19" spans="1:10" x14ac:dyDescent="0.5">
      <c r="A19" s="183"/>
      <c r="B19" s="183"/>
      <c r="C19" s="183"/>
      <c r="D19" s="183"/>
      <c r="E19" s="183"/>
      <c r="F19" s="183"/>
      <c r="G19" s="183"/>
      <c r="H19" s="183"/>
      <c r="I19" s="183"/>
      <c r="J19" s="183"/>
    </row>
    <row r="20" spans="1:10" x14ac:dyDescent="0.5">
      <c r="A20" s="183"/>
      <c r="B20" s="183"/>
      <c r="C20" s="183"/>
      <c r="D20" s="183"/>
      <c r="E20" s="183"/>
      <c r="F20" s="183"/>
      <c r="G20" s="183"/>
      <c r="H20" s="183"/>
      <c r="I20" s="183"/>
      <c r="J20" s="183"/>
    </row>
    <row r="21" spans="1:10" x14ac:dyDescent="0.5">
      <c r="A21" s="183"/>
      <c r="B21" s="183"/>
      <c r="C21" s="183"/>
      <c r="D21" s="183"/>
      <c r="E21" s="183"/>
      <c r="F21" s="183"/>
      <c r="G21" s="183"/>
      <c r="H21" s="183"/>
      <c r="I21" s="183"/>
      <c r="J21" s="183"/>
    </row>
    <row r="22" spans="1:10" x14ac:dyDescent="0.5">
      <c r="A22" s="183"/>
      <c r="B22" s="183"/>
      <c r="C22" s="183"/>
      <c r="D22" s="183"/>
      <c r="E22" s="183"/>
      <c r="F22" s="183"/>
      <c r="G22" s="183"/>
      <c r="H22" s="183"/>
      <c r="I22" s="183"/>
      <c r="J22" s="183"/>
    </row>
    <row r="23" spans="1:10" x14ac:dyDescent="0.5">
      <c r="A23" s="183"/>
      <c r="B23" s="183"/>
      <c r="C23" s="183"/>
      <c r="D23" s="183"/>
      <c r="E23" s="183"/>
      <c r="F23" s="183"/>
      <c r="G23" s="183"/>
      <c r="H23" s="183"/>
      <c r="I23" s="183"/>
      <c r="J23" s="183"/>
    </row>
    <row r="24" spans="1:10" x14ac:dyDescent="0.5">
      <c r="A24" s="183"/>
      <c r="B24" s="183"/>
      <c r="C24" s="183"/>
      <c r="D24" s="183"/>
      <c r="E24" s="183"/>
      <c r="F24" s="183"/>
      <c r="G24" s="183"/>
      <c r="H24" s="183"/>
      <c r="I24" s="183"/>
      <c r="J24" s="183"/>
    </row>
    <row r="25" spans="1:10" x14ac:dyDescent="0.5">
      <c r="A25" s="183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x14ac:dyDescent="0.5">
      <c r="A26" s="183"/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x14ac:dyDescent="0.5">
      <c r="A27" s="183"/>
      <c r="B27" s="183"/>
      <c r="C27" s="183"/>
      <c r="D27" s="183"/>
      <c r="E27" s="183"/>
      <c r="F27" s="183"/>
      <c r="G27" s="183"/>
      <c r="H27" s="183"/>
      <c r="I27" s="183"/>
      <c r="J27" s="183"/>
    </row>
    <row r="28" spans="1:10" x14ac:dyDescent="0.5">
      <c r="A28" s="183"/>
      <c r="B28" s="183"/>
      <c r="C28" s="183"/>
      <c r="D28" s="183"/>
      <c r="E28" s="183"/>
      <c r="F28" s="183"/>
      <c r="G28" s="183"/>
      <c r="H28" s="183"/>
      <c r="I28" s="183"/>
      <c r="J28" s="183"/>
    </row>
    <row r="29" spans="1:10" x14ac:dyDescent="0.5">
      <c r="A29" s="183"/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x14ac:dyDescent="0.5">
      <c r="A30" s="183"/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0" x14ac:dyDescent="0.5">
      <c r="A31" s="183"/>
      <c r="B31" s="183"/>
      <c r="C31" s="183"/>
      <c r="D31" s="183"/>
      <c r="E31" s="183"/>
      <c r="F31" s="183"/>
      <c r="G31" s="183"/>
      <c r="H31" s="183"/>
      <c r="I31" s="183"/>
      <c r="J31" s="183"/>
    </row>
    <row r="32" spans="1:10" x14ac:dyDescent="0.5">
      <c r="A32" s="183"/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x14ac:dyDescent="0.5">
      <c r="A33" s="183"/>
      <c r="B33" s="183"/>
      <c r="C33" s="183"/>
      <c r="D33" s="183"/>
      <c r="E33" s="183"/>
      <c r="F33" s="183"/>
      <c r="G33" s="183"/>
      <c r="H33" s="183"/>
      <c r="I33" s="183"/>
      <c r="J33" s="183"/>
    </row>
    <row r="34" spans="1:10" x14ac:dyDescent="0.5">
      <c r="A34" s="183"/>
      <c r="B34" s="183"/>
      <c r="C34" s="183"/>
      <c r="D34" s="183"/>
      <c r="E34" s="183"/>
      <c r="F34" s="183"/>
      <c r="G34" s="183"/>
      <c r="H34" s="183"/>
      <c r="I34" s="183"/>
      <c r="J34" s="183"/>
    </row>
    <row r="35" spans="1:10" x14ac:dyDescent="0.5">
      <c r="A35" s="183"/>
      <c r="B35" s="183"/>
      <c r="C35" s="183"/>
      <c r="D35" s="183"/>
      <c r="E35" s="183"/>
      <c r="F35" s="183"/>
      <c r="G35" s="183"/>
      <c r="H35" s="183"/>
      <c r="I35" s="183"/>
      <c r="J35" s="18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C8FC-3C5F-4D41-8D0A-B7E9843A9746}">
  <sheetPr>
    <pageSetUpPr fitToPage="1"/>
  </sheetPr>
  <dimension ref="A1:L36"/>
  <sheetViews>
    <sheetView view="pageBreakPreview" topLeftCell="A16" zoomScale="90" zoomScaleNormal="100" zoomScaleSheetLayoutView="90" workbookViewId="0">
      <selection activeCell="F27" sqref="F27"/>
    </sheetView>
  </sheetViews>
  <sheetFormatPr defaultRowHeight="24" x14ac:dyDescent="0.55000000000000004"/>
  <cols>
    <col min="1" max="1" width="7" style="336" customWidth="1"/>
    <col min="2" max="2" width="28.5703125" style="336" customWidth="1"/>
    <col min="3" max="3" width="19" style="336" customWidth="1"/>
    <col min="4" max="4" width="10.85546875" style="336" customWidth="1"/>
    <col min="5" max="6" width="17.5703125" style="336" customWidth="1"/>
    <col min="7" max="16384" width="9.140625" style="336"/>
  </cols>
  <sheetData>
    <row r="1" spans="1:12" ht="27.75" x14ac:dyDescent="0.65">
      <c r="A1" s="714" t="s">
        <v>291</v>
      </c>
      <c r="B1" s="714"/>
      <c r="C1" s="714"/>
      <c r="D1" s="714"/>
      <c r="E1" s="714"/>
      <c r="F1" s="714"/>
    </row>
    <row r="2" spans="1:12" ht="27.75" x14ac:dyDescent="0.65">
      <c r="A2" s="715" t="s">
        <v>290</v>
      </c>
      <c r="B2" s="715"/>
      <c r="C2" s="715"/>
      <c r="D2" s="715"/>
      <c r="E2" s="715"/>
      <c r="F2" s="715"/>
    </row>
    <row r="3" spans="1:12" x14ac:dyDescent="0.55000000000000004">
      <c r="A3" s="575" t="s">
        <v>294</v>
      </c>
      <c r="B3" s="575"/>
      <c r="C3" s="575"/>
      <c r="D3" s="574"/>
      <c r="E3" s="574"/>
      <c r="F3" s="574"/>
    </row>
    <row r="4" spans="1:12" x14ac:dyDescent="0.55000000000000004">
      <c r="A4" s="720" t="s">
        <v>295</v>
      </c>
      <c r="B4" s="720"/>
      <c r="C4" s="720"/>
      <c r="D4" s="720"/>
      <c r="E4" s="720"/>
      <c r="F4" s="720"/>
    </row>
    <row r="5" spans="1:12" x14ac:dyDescent="0.55000000000000004">
      <c r="A5" s="574" t="s">
        <v>289</v>
      </c>
      <c r="B5" s="574"/>
      <c r="C5" s="574"/>
      <c r="D5" s="574"/>
      <c r="E5" s="574"/>
      <c r="F5" s="574"/>
    </row>
    <row r="6" spans="1:12" x14ac:dyDescent="0.55000000000000004">
      <c r="A6" s="574" t="s">
        <v>296</v>
      </c>
      <c r="B6" s="574"/>
      <c r="C6" s="574"/>
      <c r="D6" s="574"/>
      <c r="E6" s="574"/>
      <c r="F6" s="574"/>
    </row>
    <row r="7" spans="1:12" x14ac:dyDescent="0.55000000000000004">
      <c r="A7" s="574" t="s">
        <v>297</v>
      </c>
      <c r="B7" s="574"/>
      <c r="C7" s="574"/>
      <c r="D7" s="574"/>
      <c r="E7" s="574"/>
      <c r="F7" s="574"/>
    </row>
    <row r="8" spans="1:12" x14ac:dyDescent="0.55000000000000004">
      <c r="A8" s="574" t="s">
        <v>334</v>
      </c>
      <c r="B8" s="574"/>
      <c r="C8" s="574"/>
      <c r="D8" s="574"/>
      <c r="E8" s="574"/>
      <c r="F8" s="574"/>
    </row>
    <row r="9" spans="1:12" ht="24.75" thickBot="1" x14ac:dyDescent="0.6">
      <c r="F9" s="573" t="s">
        <v>288</v>
      </c>
    </row>
    <row r="10" spans="1:12" s="571" customFormat="1" ht="25.5" thickTop="1" thickBot="1" x14ac:dyDescent="0.6">
      <c r="A10" s="572" t="s">
        <v>287</v>
      </c>
      <c r="B10" s="572" t="s">
        <v>1</v>
      </c>
      <c r="C10" s="572" t="s">
        <v>286</v>
      </c>
      <c r="D10" s="572" t="s">
        <v>102</v>
      </c>
      <c r="E10" s="572" t="s">
        <v>271</v>
      </c>
      <c r="F10" s="572" t="s">
        <v>8</v>
      </c>
    </row>
    <row r="11" spans="1:12" ht="24.75" thickTop="1" x14ac:dyDescent="0.55000000000000004">
      <c r="A11" s="566">
        <v>1</v>
      </c>
      <c r="B11" s="566" t="s">
        <v>35</v>
      </c>
      <c r="C11" s="567">
        <f>'1 งานสถาปัตยฯ'!I92</f>
        <v>2258409.0872999998</v>
      </c>
      <c r="D11" s="568">
        <f>'สูตรการหา Factor F'!E18</f>
        <v>1.304</v>
      </c>
      <c r="E11" s="567">
        <f>SUM(C11*D11)</f>
        <v>2944965.4498391999</v>
      </c>
      <c r="F11" s="569"/>
    </row>
    <row r="12" spans="1:12" x14ac:dyDescent="0.55000000000000004">
      <c r="A12" s="566">
        <v>2</v>
      </c>
      <c r="B12" s="566" t="s">
        <v>13</v>
      </c>
      <c r="C12" s="567">
        <f>'2 งานไฟฟ้า'!I88</f>
        <v>697544.07000000007</v>
      </c>
      <c r="D12" s="568">
        <f>'สูตรการหา Factor F'!E18</f>
        <v>1.304</v>
      </c>
      <c r="E12" s="567">
        <f>ROUNDDOWN((C12*D12), 2)</f>
        <v>909597.46</v>
      </c>
      <c r="F12" s="566"/>
      <c r="L12" s="528"/>
    </row>
    <row r="13" spans="1:12" x14ac:dyDescent="0.55000000000000004">
      <c r="A13" s="566">
        <v>3</v>
      </c>
      <c r="B13" s="566" t="s">
        <v>86</v>
      </c>
      <c r="C13" s="567">
        <f>'3 งานภูมิทัศน์'!I19</f>
        <v>12060.39</v>
      </c>
      <c r="D13" s="568">
        <f>'สูตรการหา Factor F'!E18</f>
        <v>1.304</v>
      </c>
      <c r="E13" s="567">
        <f>SUM(C13*D13)</f>
        <v>15726.74856</v>
      </c>
      <c r="F13" s="566"/>
    </row>
    <row r="14" spans="1:12" x14ac:dyDescent="0.55000000000000004">
      <c r="A14" s="566"/>
      <c r="B14" s="566"/>
      <c r="C14" s="567"/>
      <c r="D14" s="568"/>
      <c r="E14" s="567"/>
      <c r="F14" s="566"/>
    </row>
    <row r="15" spans="1:12" x14ac:dyDescent="0.55000000000000004">
      <c r="A15" s="566"/>
      <c r="B15" s="566" t="s">
        <v>299</v>
      </c>
      <c r="C15" s="567"/>
      <c r="D15" s="568"/>
      <c r="E15" s="567"/>
      <c r="F15" s="566"/>
    </row>
    <row r="16" spans="1:12" x14ac:dyDescent="0.55000000000000004">
      <c r="A16" s="566"/>
      <c r="B16" s="566" t="s">
        <v>298</v>
      </c>
      <c r="C16" s="567"/>
      <c r="D16" s="568"/>
      <c r="E16" s="567"/>
      <c r="F16" s="566"/>
    </row>
    <row r="17" spans="1:6" x14ac:dyDescent="0.55000000000000004">
      <c r="A17" s="566"/>
      <c r="B17" s="566" t="s">
        <v>320</v>
      </c>
      <c r="C17" s="567"/>
      <c r="D17" s="566"/>
      <c r="E17" s="567"/>
      <c r="F17" s="566"/>
    </row>
    <row r="18" spans="1:6" x14ac:dyDescent="0.55000000000000004">
      <c r="A18" s="566"/>
      <c r="B18" s="566" t="s">
        <v>285</v>
      </c>
      <c r="C18" s="566"/>
      <c r="D18" s="566"/>
      <c r="E18" s="566"/>
      <c r="F18" s="566"/>
    </row>
    <row r="19" spans="1:6" ht="24.75" thickBot="1" x14ac:dyDescent="0.6">
      <c r="A19" s="565"/>
      <c r="B19" s="565" t="s">
        <v>284</v>
      </c>
      <c r="C19" s="565"/>
      <c r="D19" s="565"/>
      <c r="E19" s="565"/>
      <c r="F19" s="565"/>
    </row>
    <row r="20" spans="1:6" ht="25.5" thickTop="1" thickBot="1" x14ac:dyDescent="0.6">
      <c r="C20" s="716" t="s">
        <v>283</v>
      </c>
      <c r="D20" s="717"/>
      <c r="E20" s="564">
        <f>SUM(E11:E19)</f>
        <v>3870289.6583992001</v>
      </c>
    </row>
    <row r="21" spans="1:6" ht="24.75" thickTop="1" x14ac:dyDescent="0.55000000000000004">
      <c r="C21" s="718"/>
      <c r="D21" s="718"/>
      <c r="E21" s="353"/>
    </row>
    <row r="22" spans="1:6" x14ac:dyDescent="0.55000000000000004">
      <c r="B22" s="336" t="s">
        <v>352</v>
      </c>
    </row>
    <row r="24" spans="1:6" x14ac:dyDescent="0.55000000000000004">
      <c r="A24" s="719"/>
      <c r="B24" s="719"/>
      <c r="C24" s="719"/>
      <c r="D24" s="719"/>
      <c r="E24" s="719"/>
      <c r="F24" s="719"/>
    </row>
    <row r="25" spans="1:6" x14ac:dyDescent="0.55000000000000004">
      <c r="A25" s="719"/>
      <c r="B25" s="719"/>
      <c r="C25" s="719"/>
      <c r="D25" s="719"/>
      <c r="E25" s="719"/>
      <c r="F25" s="719"/>
    </row>
    <row r="26" spans="1:6" x14ac:dyDescent="0.55000000000000004">
      <c r="A26" s="719"/>
      <c r="B26" s="719"/>
      <c r="C26" s="719"/>
      <c r="D26" s="719"/>
      <c r="E26" s="719"/>
      <c r="F26" s="719"/>
    </row>
    <row r="28" spans="1:6" ht="9" customHeight="1" x14ac:dyDescent="0.55000000000000004">
      <c r="E28" s="721"/>
      <c r="F28" s="721"/>
    </row>
    <row r="29" spans="1:6" x14ac:dyDescent="0.55000000000000004">
      <c r="E29" s="721"/>
      <c r="F29" s="721"/>
    </row>
    <row r="30" spans="1:6" x14ac:dyDescent="0.55000000000000004">
      <c r="E30" s="721"/>
      <c r="F30" s="721"/>
    </row>
    <row r="31" spans="1:6" x14ac:dyDescent="0.55000000000000004">
      <c r="E31" s="531"/>
      <c r="F31" s="531"/>
    </row>
    <row r="32" spans="1:6" x14ac:dyDescent="0.55000000000000004">
      <c r="E32" s="531"/>
      <c r="F32" s="531"/>
    </row>
    <row r="33" spans="1:6" x14ac:dyDescent="0.55000000000000004">
      <c r="E33" s="531"/>
      <c r="F33" s="531"/>
    </row>
    <row r="35" spans="1:6" ht="26.25" customHeight="1" x14ac:dyDescent="0.55000000000000004">
      <c r="A35" s="563"/>
      <c r="B35" s="562"/>
      <c r="C35" s="562"/>
      <c r="D35" s="562"/>
    </row>
    <row r="36" spans="1:6" x14ac:dyDescent="0.55000000000000004">
      <c r="A36" s="562"/>
      <c r="B36" s="562"/>
      <c r="C36" s="562"/>
      <c r="D36" s="562"/>
    </row>
  </sheetData>
  <mergeCells count="11">
    <mergeCell ref="A26:F26"/>
    <mergeCell ref="E28:F28"/>
    <mergeCell ref="E29:F29"/>
    <mergeCell ref="E30:F30"/>
    <mergeCell ref="A25:F25"/>
    <mergeCell ref="A1:F1"/>
    <mergeCell ref="A2:F2"/>
    <mergeCell ref="C20:D20"/>
    <mergeCell ref="C21:D21"/>
    <mergeCell ref="A24:F24"/>
    <mergeCell ref="A4:F4"/>
  </mergeCells>
  <pageMargins left="0.7" right="0.7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6F896-70B0-4A8A-8589-410B13D383EF}">
  <sheetPr>
    <pageSetUpPr fitToPage="1"/>
  </sheetPr>
  <dimension ref="A1:L35"/>
  <sheetViews>
    <sheetView view="pageBreakPreview" zoomScale="60" zoomScaleNormal="100" workbookViewId="0">
      <selection activeCell="A8" sqref="A8"/>
    </sheetView>
  </sheetViews>
  <sheetFormatPr defaultRowHeight="24" x14ac:dyDescent="0.55000000000000004"/>
  <cols>
    <col min="1" max="1" width="7" style="336" customWidth="1"/>
    <col min="2" max="2" width="28.5703125" style="336" customWidth="1"/>
    <col min="3" max="3" width="19" style="336" customWidth="1"/>
    <col min="4" max="4" width="10.85546875" style="336" customWidth="1"/>
    <col min="5" max="6" width="17.5703125" style="336" customWidth="1"/>
    <col min="7" max="16384" width="9.140625" style="336"/>
  </cols>
  <sheetData>
    <row r="1" spans="1:12" ht="27.75" x14ac:dyDescent="0.65">
      <c r="A1" s="714" t="s">
        <v>292</v>
      </c>
      <c r="B1" s="714"/>
      <c r="C1" s="714"/>
      <c r="D1" s="714"/>
      <c r="E1" s="714"/>
      <c r="F1" s="714"/>
    </row>
    <row r="2" spans="1:12" ht="27.75" x14ac:dyDescent="0.65">
      <c r="A2" s="715" t="s">
        <v>290</v>
      </c>
      <c r="B2" s="715"/>
      <c r="C2" s="715"/>
      <c r="D2" s="715"/>
      <c r="E2" s="715"/>
      <c r="F2" s="715"/>
    </row>
    <row r="3" spans="1:12" x14ac:dyDescent="0.55000000000000004">
      <c r="A3" s="575" t="s">
        <v>294</v>
      </c>
      <c r="B3" s="575"/>
      <c r="C3" s="575"/>
      <c r="D3" s="574"/>
      <c r="E3" s="574"/>
      <c r="F3" s="574"/>
    </row>
    <row r="4" spans="1:12" x14ac:dyDescent="0.55000000000000004">
      <c r="A4" s="720" t="s">
        <v>295</v>
      </c>
      <c r="B4" s="720"/>
      <c r="C4" s="720"/>
      <c r="D4" s="720"/>
      <c r="E4" s="720"/>
      <c r="F4" s="720"/>
    </row>
    <row r="5" spans="1:12" x14ac:dyDescent="0.55000000000000004">
      <c r="A5" s="574" t="s">
        <v>289</v>
      </c>
      <c r="B5" s="574"/>
      <c r="C5" s="574"/>
      <c r="D5" s="574"/>
      <c r="E5" s="574"/>
      <c r="F5" s="574"/>
    </row>
    <row r="6" spans="1:12" x14ac:dyDescent="0.55000000000000004">
      <c r="A6" s="574" t="s">
        <v>296</v>
      </c>
      <c r="B6" s="574"/>
      <c r="C6" s="574"/>
      <c r="D6" s="574"/>
      <c r="E6" s="574"/>
      <c r="F6" s="574"/>
    </row>
    <row r="7" spans="1:12" x14ac:dyDescent="0.55000000000000004">
      <c r="A7" s="574" t="s">
        <v>297</v>
      </c>
      <c r="B7" s="574"/>
      <c r="C7" s="574"/>
      <c r="D7" s="574"/>
      <c r="E7" s="574"/>
      <c r="F7" s="574"/>
    </row>
    <row r="8" spans="1:12" x14ac:dyDescent="0.55000000000000004">
      <c r="A8" s="574" t="s">
        <v>334</v>
      </c>
      <c r="B8" s="574"/>
      <c r="C8" s="574"/>
      <c r="D8" s="574"/>
      <c r="E8" s="574"/>
      <c r="F8" s="574"/>
    </row>
    <row r="9" spans="1:12" ht="24.75" thickBot="1" x14ac:dyDescent="0.6">
      <c r="F9" s="573" t="s">
        <v>288</v>
      </c>
    </row>
    <row r="10" spans="1:12" s="571" customFormat="1" ht="25.5" thickTop="1" thickBot="1" x14ac:dyDescent="0.6">
      <c r="A10" s="572" t="s">
        <v>287</v>
      </c>
      <c r="B10" s="572" t="s">
        <v>1</v>
      </c>
      <c r="C10" s="572" t="s">
        <v>286</v>
      </c>
      <c r="D10" s="572" t="s">
        <v>300</v>
      </c>
      <c r="E10" s="572" t="s">
        <v>271</v>
      </c>
      <c r="F10" s="572" t="s">
        <v>8</v>
      </c>
    </row>
    <row r="11" spans="1:12" ht="24.75" thickTop="1" x14ac:dyDescent="0.55000000000000004">
      <c r="A11" s="569">
        <v>1</v>
      </c>
      <c r="B11" s="569" t="s">
        <v>38</v>
      </c>
      <c r="C11" s="570">
        <f>'ใบสรุป ปร.4'!I17</f>
        <v>566506.42999999993</v>
      </c>
      <c r="D11" s="578" t="s">
        <v>301</v>
      </c>
      <c r="E11" s="570">
        <f>C11*107%</f>
        <v>606161.88009999995</v>
      </c>
      <c r="F11" s="569"/>
    </row>
    <row r="12" spans="1:12" x14ac:dyDescent="0.55000000000000004">
      <c r="A12" s="566"/>
      <c r="B12" s="566"/>
      <c r="C12" s="567"/>
      <c r="D12" s="568"/>
      <c r="E12" s="567"/>
      <c r="F12" s="566"/>
      <c r="L12" s="528"/>
    </row>
    <row r="13" spans="1:12" x14ac:dyDescent="0.55000000000000004">
      <c r="A13" s="566"/>
      <c r="B13" s="566"/>
      <c r="C13" s="567"/>
      <c r="D13" s="566"/>
      <c r="E13" s="567"/>
      <c r="F13" s="566"/>
    </row>
    <row r="14" spans="1:12" x14ac:dyDescent="0.55000000000000004">
      <c r="A14" s="566"/>
      <c r="B14" s="566"/>
      <c r="C14" s="566"/>
      <c r="D14" s="566"/>
      <c r="E14" s="566"/>
      <c r="F14" s="566"/>
    </row>
    <row r="15" spans="1:12" ht="24.75" thickBot="1" x14ac:dyDescent="0.6">
      <c r="A15" s="565"/>
      <c r="B15" s="565"/>
      <c r="C15" s="565"/>
      <c r="D15" s="565"/>
      <c r="E15" s="565"/>
      <c r="F15" s="565"/>
    </row>
    <row r="16" spans="1:12" ht="25.5" thickTop="1" thickBot="1" x14ac:dyDescent="0.6">
      <c r="C16" s="716" t="s">
        <v>283</v>
      </c>
      <c r="D16" s="717"/>
      <c r="E16" s="564">
        <f>SUM(E11:E15)</f>
        <v>606161.88009999995</v>
      </c>
    </row>
    <row r="17" spans="1:6" ht="24.75" thickTop="1" x14ac:dyDescent="0.55000000000000004">
      <c r="C17" s="718"/>
      <c r="D17" s="718"/>
      <c r="E17" s="353"/>
    </row>
    <row r="20" spans="1:6" x14ac:dyDescent="0.55000000000000004">
      <c r="A20" s="719"/>
      <c r="B20" s="719"/>
      <c r="C20" s="719"/>
      <c r="D20" s="719"/>
      <c r="E20" s="719"/>
      <c r="F20" s="719"/>
    </row>
    <row r="21" spans="1:6" x14ac:dyDescent="0.55000000000000004">
      <c r="A21" s="719"/>
      <c r="B21" s="719"/>
      <c r="C21" s="719"/>
      <c r="D21" s="719"/>
      <c r="E21" s="719"/>
      <c r="F21" s="719"/>
    </row>
    <row r="22" spans="1:6" x14ac:dyDescent="0.55000000000000004">
      <c r="A22" s="719"/>
      <c r="B22" s="719"/>
      <c r="C22" s="719"/>
      <c r="D22" s="719"/>
      <c r="E22" s="719"/>
      <c r="F22" s="719"/>
    </row>
    <row r="24" spans="1:6" x14ac:dyDescent="0.55000000000000004">
      <c r="E24" s="721"/>
      <c r="F24" s="721"/>
    </row>
    <row r="25" spans="1:6" x14ac:dyDescent="0.55000000000000004">
      <c r="E25" s="721"/>
      <c r="F25" s="721"/>
    </row>
    <row r="26" spans="1:6" x14ac:dyDescent="0.55000000000000004">
      <c r="E26" s="721"/>
      <c r="F26" s="721"/>
    </row>
    <row r="27" spans="1:6" x14ac:dyDescent="0.55000000000000004">
      <c r="E27" s="531"/>
      <c r="F27" s="531"/>
    </row>
    <row r="28" spans="1:6" ht="9" customHeight="1" x14ac:dyDescent="0.55000000000000004">
      <c r="E28" s="531"/>
      <c r="F28" s="531"/>
    </row>
    <row r="29" spans="1:6" x14ac:dyDescent="0.55000000000000004">
      <c r="E29" s="531"/>
      <c r="F29" s="531"/>
    </row>
    <row r="31" spans="1:6" x14ac:dyDescent="0.55000000000000004">
      <c r="A31" s="563"/>
      <c r="B31" s="562"/>
      <c r="C31" s="562"/>
      <c r="D31" s="562"/>
    </row>
    <row r="32" spans="1:6" x14ac:dyDescent="0.55000000000000004">
      <c r="A32" s="562"/>
      <c r="B32" s="562"/>
      <c r="C32" s="562"/>
      <c r="D32" s="562"/>
    </row>
    <row r="35" ht="26.25" customHeight="1" x14ac:dyDescent="0.55000000000000004"/>
  </sheetData>
  <mergeCells count="11">
    <mergeCell ref="A22:F22"/>
    <mergeCell ref="E24:F24"/>
    <mergeCell ref="E25:F25"/>
    <mergeCell ref="E26:F26"/>
    <mergeCell ref="A21:F21"/>
    <mergeCell ref="A1:F1"/>
    <mergeCell ref="A2:F2"/>
    <mergeCell ref="C16:D16"/>
    <mergeCell ref="C17:D17"/>
    <mergeCell ref="A20:F20"/>
    <mergeCell ref="A4:F4"/>
  </mergeCell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E379-9A33-419C-96AF-F7CFBC7DBC81}">
  <dimension ref="A1:I18"/>
  <sheetViews>
    <sheetView view="pageBreakPreview" topLeftCell="B1" zoomScale="106" zoomScaleNormal="100" zoomScaleSheetLayoutView="106" workbookViewId="0">
      <selection activeCell="Q8" sqref="Q8"/>
    </sheetView>
  </sheetViews>
  <sheetFormatPr defaultRowHeight="24" x14ac:dyDescent="0.55000000000000004"/>
  <cols>
    <col min="1" max="1" width="7.5703125" style="336" customWidth="1"/>
    <col min="2" max="3" width="9.140625" style="336"/>
    <col min="4" max="4" width="11.85546875" style="336" customWidth="1"/>
    <col min="5" max="5" width="16.140625" style="336" customWidth="1"/>
    <col min="6" max="6" width="14.28515625" style="336" customWidth="1"/>
    <col min="7" max="7" width="13" style="336" customWidth="1"/>
    <col min="8" max="8" width="14.140625" style="336" customWidth="1"/>
    <col min="9" max="16384" width="9.140625" style="336"/>
  </cols>
  <sheetData>
    <row r="1" spans="1:9" ht="27.75" x14ac:dyDescent="0.65">
      <c r="A1" s="715" t="s">
        <v>265</v>
      </c>
      <c r="B1" s="715"/>
      <c r="C1" s="715"/>
      <c r="D1" s="715"/>
      <c r="E1" s="715"/>
      <c r="F1" s="715"/>
      <c r="G1" s="715"/>
      <c r="H1" s="715"/>
      <c r="I1" s="715"/>
    </row>
    <row r="3" spans="1:9" x14ac:dyDescent="0.55000000000000004">
      <c r="A3" s="336">
        <v>1</v>
      </c>
      <c r="B3" s="721" t="s">
        <v>305</v>
      </c>
      <c r="C3" s="721"/>
      <c r="D3" s="721"/>
      <c r="E3" s="721"/>
      <c r="F3" s="721"/>
      <c r="G3" s="721"/>
      <c r="H3" s="721"/>
      <c r="I3" s="721"/>
    </row>
    <row r="4" spans="1:9" x14ac:dyDescent="0.55000000000000004">
      <c r="A4" s="336">
        <v>2</v>
      </c>
      <c r="B4" s="531" t="s">
        <v>302</v>
      </c>
      <c r="C4" s="531"/>
      <c r="D4" s="531"/>
      <c r="E4" s="531"/>
      <c r="F4" s="531"/>
      <c r="G4" s="531"/>
      <c r="H4" s="531"/>
      <c r="I4" s="531"/>
    </row>
    <row r="5" spans="1:9" x14ac:dyDescent="0.55000000000000004">
      <c r="A5" s="336">
        <v>3</v>
      </c>
      <c r="B5" s="721" t="s">
        <v>264</v>
      </c>
      <c r="C5" s="721"/>
      <c r="D5" s="721"/>
      <c r="E5" s="530">
        <v>6500000</v>
      </c>
      <c r="F5" s="336" t="s">
        <v>263</v>
      </c>
    </row>
    <row r="6" spans="1:9" x14ac:dyDescent="0.55000000000000004">
      <c r="A6" s="336">
        <v>4</v>
      </c>
      <c r="B6" s="721" t="s">
        <v>303</v>
      </c>
      <c r="C6" s="721"/>
      <c r="D6" s="721"/>
      <c r="E6" s="721"/>
      <c r="F6" s="721"/>
      <c r="G6" s="721"/>
      <c r="H6" s="721"/>
      <c r="I6" s="721"/>
    </row>
    <row r="7" spans="1:9" x14ac:dyDescent="0.55000000000000004">
      <c r="A7" s="336">
        <v>5</v>
      </c>
      <c r="B7" s="721" t="s">
        <v>351</v>
      </c>
      <c r="C7" s="721"/>
      <c r="D7" s="721"/>
      <c r="E7" s="721"/>
      <c r="F7" s="721"/>
      <c r="G7" s="529">
        <f>'ใบสรุป ปร.4'!I22</f>
        <v>4570102.7332792003</v>
      </c>
      <c r="H7" s="336" t="s">
        <v>261</v>
      </c>
    </row>
    <row r="8" spans="1:9" x14ac:dyDescent="0.55000000000000004">
      <c r="A8" s="336">
        <v>6</v>
      </c>
      <c r="B8" s="721" t="s">
        <v>262</v>
      </c>
      <c r="C8" s="721"/>
      <c r="D8" s="721"/>
      <c r="E8" s="721"/>
      <c r="F8" s="721"/>
      <c r="G8" s="721"/>
      <c r="H8" s="721"/>
      <c r="I8" s="721"/>
    </row>
    <row r="9" spans="1:9" x14ac:dyDescent="0.55000000000000004">
      <c r="B9" s="336">
        <v>6.1</v>
      </c>
      <c r="C9" s="721" t="s">
        <v>35</v>
      </c>
      <c r="D9" s="721"/>
      <c r="E9" s="721"/>
      <c r="F9" s="350">
        <f>'ปร.5(ก)'!E11</f>
        <v>2944965.4498391999</v>
      </c>
      <c r="G9" s="528" t="s">
        <v>261</v>
      </c>
    </row>
    <row r="10" spans="1:9" x14ac:dyDescent="0.55000000000000004">
      <c r="B10" s="336">
        <v>6.2</v>
      </c>
      <c r="C10" s="721" t="s">
        <v>13</v>
      </c>
      <c r="D10" s="721"/>
      <c r="E10" s="721"/>
      <c r="F10" s="350">
        <f>'ปร.5(ก)'!E12</f>
        <v>909597.46</v>
      </c>
      <c r="G10" s="528" t="s">
        <v>261</v>
      </c>
    </row>
    <row r="11" spans="1:9" x14ac:dyDescent="0.55000000000000004">
      <c r="B11" s="336">
        <v>6.3</v>
      </c>
      <c r="C11" s="721" t="s">
        <v>86</v>
      </c>
      <c r="D11" s="721"/>
      <c r="E11" s="721"/>
      <c r="F11" s="350">
        <f>'ปร.5(ก)'!E13</f>
        <v>15726.74856</v>
      </c>
      <c r="G11" s="528" t="s">
        <v>261</v>
      </c>
    </row>
    <row r="12" spans="1:9" x14ac:dyDescent="0.55000000000000004">
      <c r="B12" s="336">
        <v>6.4</v>
      </c>
      <c r="C12" s="721" t="s">
        <v>38</v>
      </c>
      <c r="D12" s="721"/>
      <c r="E12" s="721"/>
      <c r="F12" s="350">
        <f>'ใบสรุป ปร.4'!I19</f>
        <v>606161.88009999995</v>
      </c>
      <c r="G12" s="528" t="s">
        <v>261</v>
      </c>
    </row>
    <row r="13" spans="1:9" x14ac:dyDescent="0.55000000000000004">
      <c r="B13" s="336">
        <v>6.5</v>
      </c>
      <c r="C13" s="721" t="s">
        <v>132</v>
      </c>
      <c r="D13" s="721"/>
      <c r="E13" s="721"/>
      <c r="F13" s="350">
        <f>'ใบสรุป ปร.4'!I20</f>
        <v>41451.1875</v>
      </c>
      <c r="G13" s="528" t="s">
        <v>261</v>
      </c>
    </row>
    <row r="14" spans="1:9" x14ac:dyDescent="0.55000000000000004">
      <c r="B14" s="336">
        <v>6.6</v>
      </c>
      <c r="C14" s="721" t="s">
        <v>306</v>
      </c>
      <c r="D14" s="721"/>
      <c r="E14" s="721"/>
      <c r="F14" s="350">
        <f>'ใบสรุป ปร.4'!I21</f>
        <v>52200</v>
      </c>
      <c r="G14" s="528" t="s">
        <v>261</v>
      </c>
    </row>
    <row r="15" spans="1:9" x14ac:dyDescent="0.55000000000000004">
      <c r="A15" s="336">
        <v>7</v>
      </c>
      <c r="B15" s="721" t="s">
        <v>260</v>
      </c>
      <c r="C15" s="721"/>
      <c r="D15" s="721"/>
      <c r="E15" s="721"/>
      <c r="F15" s="721"/>
      <c r="G15" s="721"/>
      <c r="H15" s="721"/>
      <c r="I15" s="721"/>
    </row>
    <row r="16" spans="1:9" x14ac:dyDescent="0.55000000000000004">
      <c r="B16" s="336">
        <v>6.1</v>
      </c>
      <c r="C16" s="721" t="s">
        <v>304</v>
      </c>
      <c r="D16" s="721"/>
      <c r="E16" s="721"/>
      <c r="F16" s="336" t="s">
        <v>259</v>
      </c>
    </row>
    <row r="17" spans="2:6" x14ac:dyDescent="0.55000000000000004">
      <c r="B17" s="336">
        <v>6.2</v>
      </c>
      <c r="C17" s="721" t="s">
        <v>258</v>
      </c>
      <c r="D17" s="721"/>
      <c r="E17" s="721"/>
      <c r="F17" s="336" t="s">
        <v>257</v>
      </c>
    </row>
    <row r="18" spans="2:6" x14ac:dyDescent="0.55000000000000004">
      <c r="B18" s="336">
        <v>6.3</v>
      </c>
      <c r="C18" s="721" t="s">
        <v>353</v>
      </c>
      <c r="D18" s="721"/>
      <c r="E18" s="721"/>
      <c r="F18" s="336" t="s">
        <v>257</v>
      </c>
    </row>
  </sheetData>
  <mergeCells count="16">
    <mergeCell ref="B8:I8"/>
    <mergeCell ref="A1:I1"/>
    <mergeCell ref="B3:I3"/>
    <mergeCell ref="B5:D5"/>
    <mergeCell ref="B6:I6"/>
    <mergeCell ref="B7:F7"/>
    <mergeCell ref="B15:I15"/>
    <mergeCell ref="C16:E16"/>
    <mergeCell ref="C17:E17"/>
    <mergeCell ref="C18:E18"/>
    <mergeCell ref="C9:E9"/>
    <mergeCell ref="C10:E10"/>
    <mergeCell ref="C11:E11"/>
    <mergeCell ref="C12:E12"/>
    <mergeCell ref="C13:E13"/>
    <mergeCell ref="C14:E14"/>
  </mergeCells>
  <pageMargins left="0.7" right="0.56000000000000005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3942-3FA5-4C8D-9507-56882BD62ECF}">
  <dimension ref="A1:T18"/>
  <sheetViews>
    <sheetView workbookViewId="0">
      <selection activeCell="M20" sqref="M20"/>
    </sheetView>
  </sheetViews>
  <sheetFormatPr defaultRowHeight="24" x14ac:dyDescent="0.55000000000000004"/>
  <cols>
    <col min="1" max="3" width="10.28515625" style="336" customWidth="1"/>
    <col min="4" max="4" width="2.42578125" style="336" customWidth="1"/>
    <col min="5" max="5" width="34.28515625" style="336" bestFit="1" customWidth="1"/>
    <col min="6" max="6" width="2" style="336" customWidth="1"/>
    <col min="7" max="7" width="16.42578125" style="336" bestFit="1" customWidth="1"/>
    <col min="8" max="8" width="1" style="336" customWidth="1"/>
    <col min="9" max="9" width="1.42578125" style="336" customWidth="1"/>
    <col min="10" max="10" width="1.7109375" style="336" customWidth="1"/>
    <col min="11" max="11" width="16" style="336" customWidth="1"/>
    <col min="12" max="12" width="1.85546875" style="336" customWidth="1"/>
    <col min="13" max="13" width="18.85546875" style="336" customWidth="1"/>
    <col min="14" max="15" width="1.5703125" style="336" customWidth="1"/>
    <col min="16" max="16" width="31.5703125" style="336" customWidth="1"/>
    <col min="17" max="17" width="13.5703125" style="336" customWidth="1"/>
    <col min="18" max="18" width="16.5703125" style="336" customWidth="1"/>
    <col min="19" max="19" width="13.7109375" style="336" customWidth="1"/>
    <col min="20" max="16384" width="9.140625" style="336"/>
  </cols>
  <sheetData>
    <row r="1" spans="1:20" x14ac:dyDescent="0.55000000000000004">
      <c r="A1" s="337" t="s">
        <v>229</v>
      </c>
    </row>
    <row r="2" spans="1:20" x14ac:dyDescent="0.55000000000000004">
      <c r="A2" s="337" t="s">
        <v>228</v>
      </c>
      <c r="B2" s="337" t="s">
        <v>212</v>
      </c>
      <c r="C2" s="337" t="s">
        <v>227</v>
      </c>
      <c r="G2" s="354">
        <f>'ใบสรุป ปร.4'!I13</f>
        <v>2968013.5473000002</v>
      </c>
    </row>
    <row r="3" spans="1:20" x14ac:dyDescent="0.55000000000000004">
      <c r="A3" s="337" t="s">
        <v>226</v>
      </c>
      <c r="B3" s="337" t="s">
        <v>212</v>
      </c>
      <c r="C3" s="337" t="s">
        <v>225</v>
      </c>
      <c r="G3" s="353">
        <v>2000000</v>
      </c>
      <c r="Q3" s="336" t="str">
        <f>IF(G2&gt;=20000000,"20000000",IF(G2&gt;=15000000,"15000000",IF(G2&gt;=10000000,"10000000",IF(G2&gt;=5000000,"5000000",IF(G2&gt;=2000000,"2000000",IF(G2&gt;=1000000,"1000000",IF(G2&gt;=500000,"500000")))))))</f>
        <v>2000000</v>
      </c>
      <c r="R3" s="336" t="b">
        <f>IF(G2&gt;=80000000,"80000000",IF(G2&gt;=70000000,"70000000",IF(G2&gt;=60000000,"60000000",IF(G2&gt;=50000000,"50000000",IF(G2&gt;=40000000,"40000000",IF(G2&gt;=30000000,"30000000",IF(G2&gt;=25000000,"25000000")))))))</f>
        <v>0</v>
      </c>
      <c r="S3" s="336" t="b">
        <f>IF(G2&gt;=350000000,"350000000",IF(G2&gt;=300000000,"300000000",IF(G2&gt;=250000000,"250000000",IF(G2&gt;=200000000,"200000000",IF(G2&gt;=150000000,"150000000",IF(G2&gt;=100000000,"100000000",IF(G2&gt;=90000000,"90000000")))))))</f>
        <v>0</v>
      </c>
      <c r="T3" s="336" t="b">
        <f>IF(G2&gt;=400000000,"400000000")</f>
        <v>0</v>
      </c>
    </row>
    <row r="4" spans="1:20" x14ac:dyDescent="0.55000000000000004">
      <c r="A4" s="337" t="s">
        <v>224</v>
      </c>
      <c r="B4" s="337" t="s">
        <v>212</v>
      </c>
      <c r="C4" s="337" t="s">
        <v>223</v>
      </c>
      <c r="G4" s="353">
        <v>5000000</v>
      </c>
      <c r="Q4" s="336" t="str">
        <f>IF(G2&gt;20000000,"25000000",IF(G2&gt;15000000,"20000000",IF(G2&gt;10000000,"15000000",IF(G2&gt;5000000,"10000000",IF(G2&gt;2000000,"5000000",IF(G2&gt;1000000,"2000000",IF(G2&gt;500000,"1000000")))))))</f>
        <v>5000000</v>
      </c>
      <c r="R4" s="336" t="b">
        <f>IF(G2&gt;80000000,"90000000",IF(G2&gt;70000000,"80000000",IF(G2&gt;60000000,"70000000",IF(G2&gt;50000000,"60000000",IF(G2&gt;40000000,"50000000",IF(G2&gt;30000000,"40000000",IF(G2&gt;25000000,"30000000")))))))</f>
        <v>0</v>
      </c>
      <c r="S4" s="336" t="b">
        <f>IF(G2&gt;350000000,"400000000",IF(G2&gt;300000000,"350000000",IF(G2&gt;250000000,"300000000",IF(G2&gt;200000000,"250000000",IF(G2&gt;150000000,"200000000",IF(G2&gt;100000000,"150000000",IF(G2&gt;90000000,"100000000")))))))</f>
        <v>0</v>
      </c>
      <c r="T4" s="336" t="b">
        <f>IF(G2&gt;400000000,"500000000")</f>
        <v>0</v>
      </c>
    </row>
    <row r="5" spans="1:20" x14ac:dyDescent="0.55000000000000004">
      <c r="A5" s="337" t="s">
        <v>222</v>
      </c>
      <c r="B5" s="337" t="s">
        <v>212</v>
      </c>
      <c r="C5" s="337" t="s">
        <v>221</v>
      </c>
      <c r="G5" s="352">
        <v>1.3050999999999999</v>
      </c>
      <c r="Q5" s="336" t="str">
        <f>IF(G2&gt;=20000000,"1.2500",IF(G2&gt;=15000000,"1.2576",IF(G2&gt;=10000000,"1.2926",IF(G2&gt;=5000000,"1.2985",IF(G2&gt;=2000000,"1.3017",IF(G2&gt;=1000000,"1.3033",IF(G2&gt;=500000,"1.3056")))))))</f>
        <v>1.3017</v>
      </c>
      <c r="R5" s="336" t="b">
        <f>IF(G2&gt;=80000000,"1.2032",IF(G2&gt;=70000000,"1.2032",IF(G2&gt;=60000000,"1.2043",IF(G2&gt;=50000000,"1.2142",IF(G2&gt;=40000000,"1.2143",IF(G2&gt;=30000000,"1.2147",IF(G2&gt;=25000000,"1.2230")))))))</f>
        <v>0</v>
      </c>
      <c r="S5" s="336" t="b">
        <f>IF(G2&gt;=350000000,"1.1848",IF(G2&gt;=300000000,"1.1934",IF(G2&gt;=250000000,"1.1996",IF(G2&gt;=200000000,"1.2005",IF(G2&gt;=150000000,"1.2005",IF(G2&gt;=100000000,"1.2032",IF(G2&gt;=90000000,"1.2032")))))))</f>
        <v>0</v>
      </c>
      <c r="T5" s="336" t="b">
        <f>IF(G2&gt;=400000000,"1.1840")</f>
        <v>0</v>
      </c>
    </row>
    <row r="6" spans="1:20" x14ac:dyDescent="0.55000000000000004">
      <c r="A6" s="337" t="s">
        <v>220</v>
      </c>
      <c r="B6" s="337" t="s">
        <v>212</v>
      </c>
      <c r="C6" s="337" t="s">
        <v>219</v>
      </c>
      <c r="G6" s="351">
        <v>1.302</v>
      </c>
      <c r="Q6" s="336" t="str">
        <f>IF(G2&gt;20000000,"1.2230",IF(G2&gt;15000000,"1.2500",IF(G2&gt;10000000,"1.2576",IF(G2&gt;5000000,"1.2926",IF(G2&gt;2000000,"1.2985",IF(G2&gt;1000000,"1.3017",IF(G2&gt;500000,"1.3033")))))))</f>
        <v>1.2985</v>
      </c>
      <c r="R6" s="336" t="b">
        <f>IF(G2&gt;80000000,"1.2032",IF(G2&gt;70000000,"1.2032",IF(G2&gt;60000000,"1.2032",IF(G2&gt;50000000,"1.2043",IF(G2&gt;40000000,"1.2142",IF(G2&gt;30000000,"1.2143",IF(G2&gt;25000000,"1.2147")))))))</f>
        <v>0</v>
      </c>
      <c r="S6" s="336" t="b">
        <f>IF(G2&gt;350000000,"1.1840",IF(G2&gt;300000000,"1.1848",IF(G2&gt;250000000,"1.1934",IF(G2&gt;200000000,"1.1996",IF(G2&gt;150000000,"1.2005",IF(G2&gt;100000000,"1.2005",IF(G2&gt;90000000,"1.2032")))))))</f>
        <v>0</v>
      </c>
      <c r="T6" s="336" t="b">
        <f>IF(G2&gt;400000000,"1.1835")</f>
        <v>0</v>
      </c>
    </row>
    <row r="7" spans="1:20" x14ac:dyDescent="0.55000000000000004">
      <c r="S7" s="350"/>
    </row>
    <row r="8" spans="1:20" x14ac:dyDescent="0.55000000000000004">
      <c r="A8" s="337" t="s">
        <v>218</v>
      </c>
      <c r="B8" s="337" t="s">
        <v>102</v>
      </c>
      <c r="C8" s="338">
        <f>G5</f>
        <v>1.3050999999999999</v>
      </c>
      <c r="D8" s="337" t="s">
        <v>217</v>
      </c>
      <c r="E8" s="349">
        <f>G5</f>
        <v>1.3050999999999999</v>
      </c>
      <c r="F8" s="342" t="s">
        <v>109</v>
      </c>
      <c r="G8" s="343">
        <f>G6</f>
        <v>1.302</v>
      </c>
      <c r="H8" s="342" t="s">
        <v>214</v>
      </c>
      <c r="I8" s="348"/>
      <c r="J8" s="342" t="s">
        <v>215</v>
      </c>
      <c r="K8" s="341">
        <f>G2</f>
        <v>2968013.5473000002</v>
      </c>
      <c r="L8" s="342" t="s">
        <v>109</v>
      </c>
      <c r="M8" s="341">
        <f>G3</f>
        <v>2000000</v>
      </c>
      <c r="N8" s="337" t="s">
        <v>216</v>
      </c>
      <c r="O8" s="337"/>
      <c r="P8" s="337"/>
    </row>
    <row r="9" spans="1:20" x14ac:dyDescent="0.55000000000000004">
      <c r="A9" s="337"/>
      <c r="B9" s="337"/>
      <c r="D9" s="337"/>
      <c r="E9" s="725">
        <f>G4</f>
        <v>5000000</v>
      </c>
      <c r="F9" s="725"/>
      <c r="G9" s="725"/>
      <c r="H9" s="725"/>
      <c r="I9" s="347" t="s">
        <v>109</v>
      </c>
      <c r="J9" s="726">
        <f>G3</f>
        <v>2000000</v>
      </c>
      <c r="K9" s="726"/>
      <c r="L9" s="346"/>
      <c r="M9" s="346"/>
      <c r="N9" s="337"/>
      <c r="O9" s="337"/>
      <c r="P9" s="337"/>
    </row>
    <row r="10" spans="1:20" x14ac:dyDescent="0.55000000000000004">
      <c r="C10" s="345">
        <f>G5</f>
        <v>1.3050999999999999</v>
      </c>
      <c r="D10" s="337" t="s">
        <v>109</v>
      </c>
      <c r="E10" s="727">
        <f>E8-G8</f>
        <v>3.0999999999998806E-3</v>
      </c>
      <c r="F10" s="727"/>
      <c r="G10" s="727"/>
      <c r="H10" s="342" t="s">
        <v>214</v>
      </c>
      <c r="I10" s="342" t="s">
        <v>213</v>
      </c>
      <c r="J10" s="342" t="s">
        <v>215</v>
      </c>
      <c r="K10" s="728">
        <f>K8-M8</f>
        <v>968013.54730000021</v>
      </c>
      <c r="L10" s="728"/>
      <c r="M10" s="344"/>
      <c r="N10" s="337" t="s">
        <v>214</v>
      </c>
      <c r="O10" s="337"/>
      <c r="P10" s="337"/>
    </row>
    <row r="11" spans="1:20" x14ac:dyDescent="0.55000000000000004">
      <c r="E11" s="723">
        <f>G4-G3</f>
        <v>3000000</v>
      </c>
      <c r="F11" s="724"/>
      <c r="G11" s="724"/>
      <c r="H11" s="724"/>
      <c r="I11" s="724"/>
      <c r="J11" s="724"/>
      <c r="K11" s="724"/>
      <c r="L11" s="724"/>
      <c r="M11" s="724"/>
    </row>
    <row r="12" spans="1:20" x14ac:dyDescent="0.55000000000000004">
      <c r="C12" s="338">
        <f>G5</f>
        <v>1.3050999999999999</v>
      </c>
      <c r="D12" s="337" t="s">
        <v>109</v>
      </c>
      <c r="E12" s="343">
        <f>E10</f>
        <v>3.0999999999998806E-3</v>
      </c>
      <c r="F12" s="342" t="s">
        <v>213</v>
      </c>
      <c r="G12" s="341">
        <f>K10</f>
        <v>968013.54730000021</v>
      </c>
    </row>
    <row r="13" spans="1:20" x14ac:dyDescent="0.55000000000000004">
      <c r="E13" s="723">
        <f>E11</f>
        <v>3000000</v>
      </c>
      <c r="F13" s="724"/>
      <c r="G13" s="724"/>
    </row>
    <row r="14" spans="1:20" x14ac:dyDescent="0.55000000000000004">
      <c r="E14" s="340"/>
      <c r="F14" s="339"/>
      <c r="G14" s="339"/>
    </row>
    <row r="15" spans="1:20" x14ac:dyDescent="0.55000000000000004">
      <c r="C15" s="338">
        <f>G5</f>
        <v>1.3050999999999999</v>
      </c>
      <c r="D15" s="337" t="s">
        <v>109</v>
      </c>
      <c r="E15" s="722">
        <f>E12*G12</f>
        <v>3000.8419966298852</v>
      </c>
      <c r="F15" s="722"/>
      <c r="G15" s="722"/>
    </row>
    <row r="16" spans="1:20" x14ac:dyDescent="0.55000000000000004">
      <c r="E16" s="723">
        <f>E13</f>
        <v>3000000</v>
      </c>
      <c r="F16" s="724"/>
      <c r="G16" s="724"/>
    </row>
    <row r="17" spans="3:16" x14ac:dyDescent="0.55000000000000004">
      <c r="C17" s="338">
        <f>G5</f>
        <v>1.3050999999999999</v>
      </c>
      <c r="D17" s="337" t="s">
        <v>109</v>
      </c>
      <c r="E17" s="650">
        <f>E15/E16</f>
        <v>1.000280665543295E-3</v>
      </c>
    </row>
    <row r="18" spans="3:16" x14ac:dyDescent="0.55000000000000004">
      <c r="D18" s="337" t="s">
        <v>212</v>
      </c>
      <c r="E18" s="651">
        <f>ROUNDDOWN((C17-E17), 4)</f>
        <v>1.304</v>
      </c>
      <c r="P18" s="649">
        <f>C17-E17</f>
        <v>1.3040997193344566</v>
      </c>
    </row>
  </sheetData>
  <mergeCells count="8">
    <mergeCell ref="E15:G15"/>
    <mergeCell ref="E16:G16"/>
    <mergeCell ref="E9:H9"/>
    <mergeCell ref="J9:K9"/>
    <mergeCell ref="E10:G10"/>
    <mergeCell ref="K10:L10"/>
    <mergeCell ref="E11:M11"/>
    <mergeCell ref="E13:G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38"/>
  <sheetViews>
    <sheetView topLeftCell="F13" zoomScale="85" zoomScaleNormal="85" workbookViewId="0">
      <selection activeCell="L37" sqref="L37"/>
    </sheetView>
  </sheetViews>
  <sheetFormatPr defaultRowHeight="21.75" x14ac:dyDescent="0.5"/>
  <cols>
    <col min="2" max="2" width="41.5703125" customWidth="1"/>
    <col min="3" max="3" width="8.7109375" customWidth="1"/>
    <col min="4" max="4" width="7.7109375" customWidth="1"/>
    <col min="5" max="6" width="10.7109375" customWidth="1"/>
    <col min="7" max="7" width="7.140625" customWidth="1"/>
    <col min="8" max="8" width="10.7109375" customWidth="1"/>
    <col min="9" max="9" width="20.7109375" customWidth="1"/>
    <col min="10" max="10" width="15.7109375" customWidth="1"/>
    <col min="12" max="12" width="11.140625" customWidth="1"/>
    <col min="13" max="13" width="18.28515625" customWidth="1"/>
    <col min="14" max="14" width="18.140625" customWidth="1"/>
    <col min="15" max="15" width="22.7109375" customWidth="1"/>
    <col min="18" max="18" width="25" customWidth="1"/>
  </cols>
  <sheetData>
    <row r="1" spans="1:15" ht="27.75" x14ac:dyDescent="0.65">
      <c r="A1" s="5" t="s">
        <v>0</v>
      </c>
      <c r="B1" s="729" t="s">
        <v>7</v>
      </c>
      <c r="C1" s="729"/>
      <c r="D1" s="729"/>
      <c r="E1" s="729"/>
      <c r="F1" s="729"/>
      <c r="G1" s="729"/>
      <c r="H1" s="729"/>
      <c r="I1" s="729"/>
      <c r="J1" s="5"/>
    </row>
    <row r="2" spans="1:15" x14ac:dyDescent="0.5">
      <c r="A2" s="730" t="s">
        <v>247</v>
      </c>
      <c r="B2" s="730"/>
      <c r="C2" s="730"/>
      <c r="D2" s="730"/>
      <c r="E2" s="730"/>
      <c r="F2" s="730"/>
      <c r="G2" s="730"/>
      <c r="H2" s="730"/>
      <c r="I2" s="730"/>
    </row>
    <row r="3" spans="1:15" x14ac:dyDescent="0.5">
      <c r="A3" s="730" t="s">
        <v>20</v>
      </c>
      <c r="B3" s="730"/>
      <c r="C3" s="730"/>
      <c r="D3" s="730"/>
      <c r="E3" s="730"/>
      <c r="F3" s="730"/>
      <c r="G3" s="730"/>
      <c r="H3" s="730"/>
      <c r="I3" s="730"/>
    </row>
    <row r="4" spans="1:15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</row>
    <row r="5" spans="1:15" x14ac:dyDescent="0.5">
      <c r="A5" s="731" t="s">
        <v>332</v>
      </c>
      <c r="B5" s="731"/>
      <c r="C5" s="731"/>
      <c r="D5" s="731"/>
      <c r="E5" s="731"/>
      <c r="F5" s="731"/>
      <c r="G5" s="731"/>
      <c r="H5" s="731"/>
      <c r="I5" s="731"/>
      <c r="J5" s="20" t="s">
        <v>230</v>
      </c>
    </row>
    <row r="6" spans="1:15" s="68" customFormat="1" ht="30" customHeight="1" x14ac:dyDescent="0.5">
      <c r="A6" s="67" t="s">
        <v>14</v>
      </c>
      <c r="B6" s="734" t="s">
        <v>1</v>
      </c>
      <c r="C6" s="735"/>
      <c r="D6" s="735"/>
      <c r="E6" s="735"/>
      <c r="F6" s="735"/>
      <c r="G6" s="735"/>
      <c r="H6" s="736"/>
      <c r="I6" s="51" t="s">
        <v>67</v>
      </c>
      <c r="J6" s="51" t="s">
        <v>8</v>
      </c>
      <c r="N6" s="229">
        <f>SUM(I7:I11)</f>
        <v>2968013.5473000002</v>
      </c>
    </row>
    <row r="7" spans="1:15" x14ac:dyDescent="0.5">
      <c r="A7" s="18">
        <v>1</v>
      </c>
      <c r="B7" s="7" t="s">
        <v>35</v>
      </c>
      <c r="C7" s="58"/>
      <c r="D7" s="58"/>
      <c r="E7" s="58"/>
      <c r="F7" s="58"/>
      <c r="G7" s="58"/>
      <c r="H7" s="69"/>
      <c r="I7" s="59">
        <f>'1 งานสถาปัตยฯ'!I92</f>
        <v>2258409.0872999998</v>
      </c>
      <c r="J7" s="66"/>
      <c r="L7" s="79">
        <f>+C14</f>
        <v>1.304</v>
      </c>
      <c r="M7" s="80">
        <f>SUM(I7*L7)</f>
        <v>2944965.4498391999</v>
      </c>
    </row>
    <row r="8" spans="1:15" x14ac:dyDescent="0.5">
      <c r="A8" s="15">
        <v>2</v>
      </c>
      <c r="B8" s="7" t="s">
        <v>13</v>
      </c>
      <c r="C8" s="60"/>
      <c r="D8" s="60"/>
      <c r="E8" s="60"/>
      <c r="F8" s="60"/>
      <c r="G8" s="58"/>
      <c r="H8" s="69"/>
      <c r="I8" s="59">
        <f>'2 งานไฟฟ้า'!I88</f>
        <v>697544.07000000007</v>
      </c>
      <c r="J8" s="28"/>
      <c r="L8" s="79">
        <f>SUM(C14)</f>
        <v>1.304</v>
      </c>
      <c r="M8" s="80">
        <f>ROUNDDOWN((C14*I8), 2)</f>
        <v>909597.46</v>
      </c>
      <c r="N8" s="226"/>
      <c r="O8" s="35"/>
    </row>
    <row r="9" spans="1:15" x14ac:dyDescent="0.5">
      <c r="A9" s="15">
        <v>3</v>
      </c>
      <c r="B9" s="7" t="s">
        <v>86</v>
      </c>
      <c r="C9" s="58"/>
      <c r="D9" s="58"/>
      <c r="E9" s="58"/>
      <c r="F9" s="58"/>
      <c r="G9" s="58"/>
      <c r="H9" s="69"/>
      <c r="I9" s="59">
        <f>'3 งานภูมิทัศน์'!I19</f>
        <v>12060.39</v>
      </c>
      <c r="J9" s="29"/>
      <c r="L9" s="79">
        <f>SUM(C14)</f>
        <v>1.304</v>
      </c>
      <c r="M9" s="80">
        <f>SUM(I9*L9)</f>
        <v>15726.74856</v>
      </c>
      <c r="N9" s="227"/>
      <c r="O9" s="35"/>
    </row>
    <row r="10" spans="1:15" x14ac:dyDescent="0.5">
      <c r="A10" s="15"/>
      <c r="B10" s="7"/>
      <c r="C10" s="60"/>
      <c r="D10" s="60"/>
      <c r="E10" s="60"/>
      <c r="F10" s="60"/>
      <c r="G10" s="58"/>
      <c r="H10" s="69"/>
      <c r="I10" s="59"/>
      <c r="J10" s="28"/>
      <c r="L10" s="79">
        <f>SUM(C14)</f>
        <v>1.304</v>
      </c>
      <c r="M10" s="80">
        <f>SUM(I10*L10)</f>
        <v>0</v>
      </c>
      <c r="N10" s="35"/>
      <c r="O10" s="35"/>
    </row>
    <row r="11" spans="1:15" x14ac:dyDescent="0.5">
      <c r="A11" s="15"/>
      <c r="B11" s="7"/>
      <c r="C11" s="58"/>
      <c r="D11" s="58"/>
      <c r="E11" s="58"/>
      <c r="F11" s="58"/>
      <c r="G11" s="58"/>
      <c r="H11" s="69"/>
      <c r="I11" s="59"/>
      <c r="J11" s="28"/>
      <c r="L11" s="79">
        <f>SUM(C14)</f>
        <v>1.304</v>
      </c>
      <c r="M11" s="218">
        <f>SUM(I11*L11)</f>
        <v>0</v>
      </c>
      <c r="N11" s="107"/>
      <c r="O11" s="226"/>
    </row>
    <row r="12" spans="1:15" x14ac:dyDescent="0.5">
      <c r="A12" s="15"/>
      <c r="B12" s="7"/>
      <c r="C12" s="58"/>
      <c r="D12" s="58"/>
      <c r="E12" s="58"/>
      <c r="F12" s="58"/>
      <c r="G12" s="58"/>
      <c r="H12" s="69"/>
      <c r="I12" s="59"/>
      <c r="J12" s="28"/>
      <c r="M12" s="65">
        <f>SUM(M7:M11)</f>
        <v>3870289.6583992001</v>
      </c>
      <c r="N12" s="35"/>
      <c r="O12" s="35"/>
    </row>
    <row r="13" spans="1:15" x14ac:dyDescent="0.5">
      <c r="A13" s="15"/>
      <c r="B13" s="48" t="s">
        <v>200</v>
      </c>
      <c r="C13" s="58"/>
      <c r="D13" s="58"/>
      <c r="E13" s="58"/>
      <c r="F13" s="58"/>
      <c r="G13" s="58"/>
      <c r="H13" s="69"/>
      <c r="I13" s="70">
        <f>SUM(I7:I11)</f>
        <v>2968013.5473000002</v>
      </c>
      <c r="J13" s="30"/>
      <c r="L13" s="81" t="s">
        <v>65</v>
      </c>
      <c r="M13" s="77">
        <f>SUM(M12-I13)</f>
        <v>902276.11109919986</v>
      </c>
      <c r="N13" s="35"/>
      <c r="O13" s="228"/>
    </row>
    <row r="14" spans="1:15" x14ac:dyDescent="0.5">
      <c r="A14" s="15"/>
      <c r="B14" s="57" t="s">
        <v>65</v>
      </c>
      <c r="C14" s="220">
        <f>'สูตรการหา Factor F'!E18</f>
        <v>1.304</v>
      </c>
      <c r="D14" s="58"/>
      <c r="E14" s="58"/>
      <c r="F14" s="58"/>
      <c r="G14" s="58"/>
      <c r="H14" s="69"/>
      <c r="I14" s="59">
        <f>+M13</f>
        <v>902276.11109919986</v>
      </c>
      <c r="J14" s="30"/>
      <c r="M14" s="65">
        <f>+I13*C14</f>
        <v>3870289.6656792006</v>
      </c>
    </row>
    <row r="15" spans="1:15" x14ac:dyDescent="0.5">
      <c r="A15" s="15"/>
      <c r="B15" s="48" t="s">
        <v>70</v>
      </c>
      <c r="C15" s="58"/>
      <c r="D15" s="58"/>
      <c r="E15" s="58"/>
      <c r="F15" s="58"/>
      <c r="G15" s="58"/>
      <c r="H15" s="69"/>
      <c r="I15" s="70">
        <f>+I13+I14</f>
        <v>3870289.6583992001</v>
      </c>
      <c r="J15" s="30"/>
    </row>
    <row r="16" spans="1:15" x14ac:dyDescent="0.5">
      <c r="A16" s="15"/>
      <c r="B16" s="48"/>
      <c r="C16" s="58"/>
      <c r="D16" s="58"/>
      <c r="E16" s="58"/>
      <c r="F16" s="58"/>
      <c r="G16" s="58"/>
      <c r="H16" s="69"/>
      <c r="I16" s="59"/>
      <c r="J16" s="28"/>
      <c r="M16" s="65">
        <f>+I17</f>
        <v>566506.42999999993</v>
      </c>
    </row>
    <row r="17" spans="1:18" x14ac:dyDescent="0.5">
      <c r="A17" s="15">
        <v>4</v>
      </c>
      <c r="B17" s="19" t="s">
        <v>38</v>
      </c>
      <c r="C17" s="61"/>
      <c r="D17" s="61"/>
      <c r="E17" s="61"/>
      <c r="F17" s="61"/>
      <c r="G17" s="58"/>
      <c r="H17" s="69"/>
      <c r="I17" s="59">
        <f>'4 งานครุภัณฑ์'!I24</f>
        <v>566506.42999999993</v>
      </c>
      <c r="J17" s="28"/>
      <c r="M17">
        <v>1.07</v>
      </c>
    </row>
    <row r="18" spans="1:18" x14ac:dyDescent="0.5">
      <c r="A18" s="15"/>
      <c r="B18" s="73" t="s">
        <v>66</v>
      </c>
      <c r="C18" s="61"/>
      <c r="D18" s="61"/>
      <c r="E18" s="61"/>
      <c r="F18" s="61"/>
      <c r="G18" s="58"/>
      <c r="H18" s="69"/>
      <c r="I18" s="59">
        <f>+M19-M16</f>
        <v>39655.450100000016</v>
      </c>
      <c r="J18" s="28"/>
    </row>
    <row r="19" spans="1:18" x14ac:dyDescent="0.5">
      <c r="A19" s="15"/>
      <c r="B19" s="48" t="s">
        <v>49</v>
      </c>
      <c r="C19" s="61"/>
      <c r="D19" s="61"/>
      <c r="E19" s="61"/>
      <c r="F19" s="61"/>
      <c r="G19" s="58"/>
      <c r="H19" s="69"/>
      <c r="I19" s="70">
        <f>+I17+I18</f>
        <v>606161.88009999995</v>
      </c>
      <c r="J19" s="28"/>
      <c r="M19" s="78">
        <f>+M16*M17</f>
        <v>606161.88009999995</v>
      </c>
      <c r="R19" s="65">
        <f>I22</f>
        <v>4570102.7332792003</v>
      </c>
    </row>
    <row r="20" spans="1:18" x14ac:dyDescent="0.5">
      <c r="A20" s="18">
        <v>5</v>
      </c>
      <c r="B20" s="95" t="s">
        <v>132</v>
      </c>
      <c r="C20" s="323"/>
      <c r="D20" s="61"/>
      <c r="E20" s="323"/>
      <c r="F20" s="323"/>
      <c r="G20" s="324"/>
      <c r="H20" s="69"/>
      <c r="I20" s="222">
        <f>'5 ค่าใช้จ่ายพิเศษ'!I24</f>
        <v>41451.1875</v>
      </c>
      <c r="J20" s="29"/>
      <c r="M20" s="78">
        <f>I20</f>
        <v>41451.1875</v>
      </c>
      <c r="O20" s="65"/>
      <c r="R20" s="78">
        <v>2924435.57</v>
      </c>
    </row>
    <row r="21" spans="1:18" ht="20.25" customHeight="1" x14ac:dyDescent="0.5">
      <c r="A21" s="18">
        <v>6</v>
      </c>
      <c r="B21" s="62" t="s">
        <v>195</v>
      </c>
      <c r="C21" s="63"/>
      <c r="D21" s="325"/>
      <c r="E21" s="63"/>
      <c r="F21" s="63"/>
      <c r="G21" s="64"/>
      <c r="H21" s="326"/>
      <c r="I21" s="222">
        <f>'6. ค่าใช้จ่ายที่เกิดจากบ.ไม่เสร'!I22</f>
        <v>52200</v>
      </c>
      <c r="J21" s="29"/>
      <c r="L21" s="223"/>
      <c r="M21" s="222">
        <f>'6. ค่าใช้จ่ายที่เกิดจากบ.ไม่เสร'!I22</f>
        <v>52200</v>
      </c>
      <c r="R21" s="65">
        <f>R19-R20</f>
        <v>1645667.1632792004</v>
      </c>
    </row>
    <row r="22" spans="1:18" x14ac:dyDescent="0.5">
      <c r="A22" s="9"/>
      <c r="B22" s="737" t="s">
        <v>82</v>
      </c>
      <c r="C22" s="738"/>
      <c r="D22" s="738"/>
      <c r="E22" s="738"/>
      <c r="F22" s="738"/>
      <c r="G22" s="738"/>
      <c r="H22" s="739"/>
      <c r="I22" s="219">
        <f>+M22</f>
        <v>4570102.7332792003</v>
      </c>
      <c r="J22" s="31"/>
      <c r="M22" s="77">
        <f>+M14+M19+M20+M21</f>
        <v>4570102.7332792003</v>
      </c>
    </row>
    <row r="23" spans="1:18" x14ac:dyDescent="0.5">
      <c r="A23" s="16"/>
      <c r="B23" s="355" t="s">
        <v>215</v>
      </c>
      <c r="C23" s="356" t="str">
        <f>BAHTTEXT(I22)</f>
        <v>สี่ล้านห้าแสนเจ็ดหมื่นหนึ่งร้อยสองบาทเจ็ดสิบสามสตางค์</v>
      </c>
      <c r="D23" s="357"/>
      <c r="E23" s="357"/>
      <c r="F23" s="357"/>
      <c r="G23" s="357"/>
      <c r="H23" s="357" t="s">
        <v>214</v>
      </c>
      <c r="I23" s="357"/>
      <c r="J23" s="17"/>
    </row>
    <row r="24" spans="1:18" x14ac:dyDescent="0.5">
      <c r="A24" s="35"/>
      <c r="B24" s="231"/>
      <c r="C24" s="35"/>
      <c r="D24" s="35"/>
      <c r="E24" s="35"/>
      <c r="F24" s="35"/>
      <c r="G24" s="35"/>
      <c r="H24" s="329" t="s">
        <v>335</v>
      </c>
      <c r="I24" s="328"/>
      <c r="J24" s="328"/>
    </row>
    <row r="25" spans="1:18" x14ac:dyDescent="0.5">
      <c r="A25" s="35"/>
      <c r="B25" s="230"/>
      <c r="C25" s="35"/>
      <c r="D25" s="35"/>
      <c r="E25" s="35"/>
      <c r="F25" s="35"/>
      <c r="G25" s="35"/>
      <c r="H25" s="35"/>
      <c r="I25" s="327" t="s">
        <v>196</v>
      </c>
      <c r="J25" s="327"/>
    </row>
    <row r="26" spans="1:18" x14ac:dyDescent="0.5">
      <c r="A26" s="35"/>
      <c r="B26" s="327"/>
      <c r="C26" s="327"/>
      <c r="D26" s="327"/>
      <c r="E26" s="327"/>
      <c r="F26" s="35"/>
      <c r="G26" s="35"/>
      <c r="H26" s="740" t="s">
        <v>242</v>
      </c>
      <c r="I26" s="740"/>
      <c r="J26" s="740"/>
    </row>
    <row r="27" spans="1:18" x14ac:dyDescent="0.5">
      <c r="A27" s="35"/>
      <c r="B27" s="131"/>
      <c r="C27" s="108"/>
      <c r="D27" s="35"/>
      <c r="E27" s="35"/>
      <c r="F27" s="35"/>
      <c r="G27" s="35"/>
      <c r="H27" s="35"/>
      <c r="I27" s="733"/>
      <c r="J27" s="733"/>
    </row>
    <row r="28" spans="1:18" x14ac:dyDescent="0.5">
      <c r="A28" s="35"/>
      <c r="B28" s="105"/>
      <c r="C28" s="35"/>
      <c r="D28" s="35"/>
      <c r="E28" s="35"/>
      <c r="F28" s="35"/>
      <c r="G28" s="35"/>
      <c r="H28" s="35"/>
      <c r="I28" s="35"/>
    </row>
    <row r="29" spans="1:18" x14ac:dyDescent="0.5">
      <c r="A29" s="35"/>
      <c r="B29" s="107"/>
      <c r="C29" s="108"/>
      <c r="D29" s="35"/>
      <c r="E29" s="35"/>
      <c r="F29" s="35"/>
      <c r="G29" s="35"/>
      <c r="H29" s="35"/>
      <c r="I29" s="35"/>
    </row>
    <row r="30" spans="1:18" x14ac:dyDescent="0.5">
      <c r="A30" s="35"/>
      <c r="B30" s="105"/>
      <c r="C30" s="108"/>
      <c r="D30" s="35"/>
      <c r="E30" s="35"/>
      <c r="F30" s="35"/>
      <c r="G30" s="35"/>
      <c r="H30" s="35"/>
      <c r="I30" s="35"/>
    </row>
    <row r="31" spans="1:18" x14ac:dyDescent="0.5">
      <c r="A31" s="35"/>
      <c r="B31" s="106"/>
      <c r="C31" s="35"/>
      <c r="D31" s="35"/>
      <c r="E31" s="35"/>
      <c r="F31" s="35"/>
      <c r="G31" s="35"/>
      <c r="H31" s="35"/>
      <c r="I31" s="35"/>
    </row>
    <row r="32" spans="1:18" x14ac:dyDescent="0.5">
      <c r="A32" s="35"/>
      <c r="B32" s="108"/>
      <c r="C32" s="35"/>
      <c r="D32" s="35"/>
      <c r="E32" s="35"/>
      <c r="F32" s="35"/>
      <c r="G32" s="35"/>
      <c r="H32" s="35"/>
      <c r="I32" s="35"/>
    </row>
    <row r="33" spans="1:9" x14ac:dyDescent="0.5">
      <c r="A33" s="35"/>
      <c r="B33" s="106"/>
      <c r="C33" s="732"/>
      <c r="D33" s="732"/>
      <c r="E33" s="732"/>
      <c r="F33" s="732"/>
      <c r="G33" s="732"/>
      <c r="H33" s="35"/>
      <c r="I33" s="107">
        <f>I22</f>
        <v>4570102.7332792003</v>
      </c>
    </row>
    <row r="34" spans="1:9" x14ac:dyDescent="0.5">
      <c r="H34">
        <v>1</v>
      </c>
      <c r="I34" s="65">
        <f>I33*40%</f>
        <v>1828041.0933116802</v>
      </c>
    </row>
    <row r="35" spans="1:9" x14ac:dyDescent="0.5">
      <c r="H35">
        <v>2</v>
      </c>
      <c r="I35" s="65">
        <f>I33*30%</f>
        <v>1371030.8199837601</v>
      </c>
    </row>
    <row r="36" spans="1:9" x14ac:dyDescent="0.5">
      <c r="H36">
        <v>3</v>
      </c>
      <c r="I36" s="65">
        <f>I33*30%</f>
        <v>1371030.8199837601</v>
      </c>
    </row>
    <row r="37" spans="1:9" x14ac:dyDescent="0.5">
      <c r="I37" s="65"/>
    </row>
    <row r="38" spans="1:9" x14ac:dyDescent="0.5">
      <c r="I38" s="65">
        <f>SUM(I34:I36)</f>
        <v>4570102.7332792003</v>
      </c>
    </row>
  </sheetData>
  <mergeCells count="10">
    <mergeCell ref="C33:G33"/>
    <mergeCell ref="I27:J27"/>
    <mergeCell ref="B6:H6"/>
    <mergeCell ref="B22:H22"/>
    <mergeCell ref="H26:J26"/>
    <mergeCell ref="B1:I1"/>
    <mergeCell ref="A2:I2"/>
    <mergeCell ref="A3:I3"/>
    <mergeCell ref="A4:I4"/>
    <mergeCell ref="A5:I5"/>
  </mergeCells>
  <pageMargins left="0.83" right="0.5" top="0.54" bottom="0" header="0.3" footer="0.17"/>
  <pageSetup paperSize="9" orientation="landscape" horizontalDpi="4294967294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55"/>
  <sheetViews>
    <sheetView zoomScaleNormal="100" workbookViewId="0">
      <selection activeCell="A28" sqref="A28:I28"/>
    </sheetView>
  </sheetViews>
  <sheetFormatPr defaultRowHeight="21.75" x14ac:dyDescent="0.5"/>
  <cols>
    <col min="1" max="1" width="8.28515625" customWidth="1"/>
    <col min="2" max="2" width="53.7109375" customWidth="1"/>
    <col min="3" max="3" width="8.7109375" customWidth="1"/>
    <col min="4" max="4" width="7.7109375" customWidth="1"/>
    <col min="5" max="8" width="10.7109375" customWidth="1"/>
    <col min="9" max="9" width="14.28515625" customWidth="1"/>
    <col min="10" max="10" width="17.28515625" customWidth="1"/>
    <col min="11" max="11" width="18.85546875" customWidth="1"/>
    <col min="12" max="12" width="26.28515625" customWidth="1"/>
    <col min="13" max="13" width="21" customWidth="1"/>
    <col min="14" max="14" width="26.85546875" customWidth="1"/>
  </cols>
  <sheetData>
    <row r="1" spans="1:14" ht="27.75" x14ac:dyDescent="0.65">
      <c r="A1" s="236" t="s">
        <v>0</v>
      </c>
      <c r="B1" s="745" t="s">
        <v>7</v>
      </c>
      <c r="C1" s="745"/>
      <c r="D1" s="745"/>
      <c r="E1" s="745"/>
      <c r="F1" s="745"/>
      <c r="G1" s="745"/>
      <c r="H1" s="745"/>
      <c r="I1" s="745"/>
      <c r="J1" s="236"/>
    </row>
    <row r="2" spans="1:14" x14ac:dyDescent="0.5">
      <c r="A2" s="746" t="s">
        <v>183</v>
      </c>
      <c r="B2" s="746"/>
      <c r="C2" s="746"/>
      <c r="D2" s="746"/>
      <c r="E2" s="746"/>
      <c r="F2" s="746"/>
      <c r="G2" s="746"/>
      <c r="H2" s="746"/>
      <c r="I2" s="746"/>
      <c r="J2" s="237"/>
    </row>
    <row r="3" spans="1:14" x14ac:dyDescent="0.5">
      <c r="A3" s="746" t="s">
        <v>185</v>
      </c>
      <c r="B3" s="746"/>
      <c r="C3" s="746"/>
      <c r="D3" s="746"/>
      <c r="E3" s="746"/>
      <c r="F3" s="746"/>
      <c r="G3" s="746"/>
      <c r="H3" s="746"/>
      <c r="I3" s="746"/>
      <c r="J3" s="237"/>
    </row>
    <row r="4" spans="1:14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  <c r="J4" s="237"/>
    </row>
    <row r="5" spans="1:14" x14ac:dyDescent="0.5">
      <c r="A5" s="731" t="s">
        <v>186</v>
      </c>
      <c r="B5" s="731"/>
      <c r="C5" s="731"/>
      <c r="D5" s="731"/>
      <c r="E5" s="731"/>
      <c r="F5" s="731"/>
      <c r="G5" s="731"/>
      <c r="H5" s="731"/>
      <c r="I5" s="731"/>
      <c r="J5" s="238" t="s">
        <v>199</v>
      </c>
    </row>
    <row r="6" spans="1:14" ht="23.25" x14ac:dyDescent="0.5">
      <c r="A6" s="741" t="s">
        <v>14</v>
      </c>
      <c r="B6" s="741" t="s">
        <v>1</v>
      </c>
      <c r="C6" s="741" t="s">
        <v>4</v>
      </c>
      <c r="D6" s="741" t="s">
        <v>2</v>
      </c>
      <c r="E6" s="743" t="s">
        <v>5</v>
      </c>
      <c r="F6" s="744"/>
      <c r="G6" s="743" t="s">
        <v>6</v>
      </c>
      <c r="H6" s="744"/>
      <c r="I6" s="239" t="s">
        <v>18</v>
      </c>
      <c r="J6" s="741" t="s">
        <v>8</v>
      </c>
      <c r="L6" s="35"/>
      <c r="M6" s="102" t="s">
        <v>101</v>
      </c>
      <c r="N6" s="102" t="s">
        <v>102</v>
      </c>
    </row>
    <row r="7" spans="1:14" x14ac:dyDescent="0.5">
      <c r="A7" s="742"/>
      <c r="B7" s="742"/>
      <c r="C7" s="742"/>
      <c r="D7" s="742"/>
      <c r="E7" s="240" t="s">
        <v>16</v>
      </c>
      <c r="F7" s="240" t="s">
        <v>17</v>
      </c>
      <c r="G7" s="240" t="s">
        <v>16</v>
      </c>
      <c r="H7" s="240" t="s">
        <v>17</v>
      </c>
      <c r="I7" s="240" t="s">
        <v>19</v>
      </c>
      <c r="J7" s="742"/>
      <c r="L7" s="35"/>
    </row>
    <row r="8" spans="1:14" x14ac:dyDescent="0.5">
      <c r="A8" s="241">
        <v>1</v>
      </c>
      <c r="B8" s="242" t="s">
        <v>9</v>
      </c>
      <c r="C8" s="243"/>
      <c r="D8" s="243"/>
      <c r="E8" s="243"/>
      <c r="F8" s="243"/>
      <c r="G8" s="244"/>
      <c r="H8" s="245"/>
      <c r="I8" s="245"/>
      <c r="J8" s="246"/>
      <c r="L8" s="35"/>
      <c r="M8" s="65"/>
      <c r="N8" s="103"/>
    </row>
    <row r="9" spans="1:14" ht="24" x14ac:dyDescent="0.5">
      <c r="A9" s="247"/>
      <c r="B9" s="282" t="s">
        <v>111</v>
      </c>
      <c r="C9" s="249">
        <v>1</v>
      </c>
      <c r="D9" s="250" t="s">
        <v>42</v>
      </c>
      <c r="E9" s="251">
        <v>0</v>
      </c>
      <c r="F9" s="251">
        <f t="shared" ref="F9:F16" si="0">SUM(C9*E9)</f>
        <v>0</v>
      </c>
      <c r="G9" s="251">
        <v>9850</v>
      </c>
      <c r="H9" s="248">
        <f t="shared" ref="H9:H16" si="1">SUM(C9*G9)</f>
        <v>9850</v>
      </c>
      <c r="I9" s="252">
        <f>SUM(F9+H9)</f>
        <v>9850</v>
      </c>
      <c r="J9" s="253"/>
      <c r="M9" s="78"/>
    </row>
    <row r="10" spans="1:14" ht="24" x14ac:dyDescent="0.5">
      <c r="A10" s="254"/>
      <c r="B10" s="282" t="s">
        <v>72</v>
      </c>
      <c r="C10" s="251">
        <v>45.56</v>
      </c>
      <c r="D10" s="250" t="s">
        <v>32</v>
      </c>
      <c r="E10" s="251">
        <v>0</v>
      </c>
      <c r="F10" s="251">
        <f t="shared" si="0"/>
        <v>0</v>
      </c>
      <c r="G10" s="251">
        <v>50</v>
      </c>
      <c r="H10" s="248">
        <f t="shared" si="1"/>
        <v>2278</v>
      </c>
      <c r="I10" s="252">
        <f t="shared" ref="I10:I16" si="2">SUM(F10+H10)</f>
        <v>2278</v>
      </c>
      <c r="J10" s="253"/>
      <c r="M10" s="78"/>
    </row>
    <row r="11" spans="1:14" ht="24" x14ac:dyDescent="0.5">
      <c r="A11" s="254"/>
      <c r="B11" s="282" t="s">
        <v>34</v>
      </c>
      <c r="C11" s="249">
        <v>1</v>
      </c>
      <c r="D11" s="250" t="s">
        <v>42</v>
      </c>
      <c r="E11" s="251">
        <v>0</v>
      </c>
      <c r="F11" s="251">
        <f t="shared" si="0"/>
        <v>0</v>
      </c>
      <c r="G11" s="251">
        <v>1240</v>
      </c>
      <c r="H11" s="248">
        <f t="shared" si="1"/>
        <v>1240</v>
      </c>
      <c r="I11" s="252">
        <f t="shared" si="2"/>
        <v>1240</v>
      </c>
      <c r="J11" s="253"/>
      <c r="M11" s="78"/>
    </row>
    <row r="12" spans="1:14" ht="24" x14ac:dyDescent="0.5">
      <c r="A12" s="254"/>
      <c r="B12" s="282" t="s">
        <v>94</v>
      </c>
      <c r="C12" s="249">
        <v>1</v>
      </c>
      <c r="D12" s="250" t="s">
        <v>42</v>
      </c>
      <c r="E12" s="251">
        <v>0</v>
      </c>
      <c r="F12" s="251">
        <f t="shared" si="0"/>
        <v>0</v>
      </c>
      <c r="G12" s="251">
        <v>10000</v>
      </c>
      <c r="H12" s="248">
        <f t="shared" si="1"/>
        <v>10000</v>
      </c>
      <c r="I12" s="252">
        <f t="shared" si="2"/>
        <v>10000</v>
      </c>
      <c r="J12" s="253"/>
      <c r="M12" s="78"/>
    </row>
    <row r="13" spans="1:14" ht="24" x14ac:dyDescent="0.5">
      <c r="A13" s="254"/>
      <c r="B13" s="283" t="s">
        <v>73</v>
      </c>
      <c r="C13" s="256">
        <v>1</v>
      </c>
      <c r="D13" s="257" t="s">
        <v>42</v>
      </c>
      <c r="E13" s="258">
        <v>0</v>
      </c>
      <c r="F13" s="251">
        <f>SUM(C13*E13)</f>
        <v>0</v>
      </c>
      <c r="G13" s="251">
        <v>2800</v>
      </c>
      <c r="H13" s="248">
        <f>SUM(C13*G13)</f>
        <v>2800</v>
      </c>
      <c r="I13" s="252">
        <f>SUM(F13+H13)</f>
        <v>2800</v>
      </c>
      <c r="J13" s="253"/>
      <c r="L13" s="111"/>
      <c r="M13" s="112"/>
      <c r="N13" s="113"/>
    </row>
    <row r="14" spans="1:14" ht="24" x14ac:dyDescent="0.5">
      <c r="A14" s="254"/>
      <c r="B14" s="283" t="s">
        <v>71</v>
      </c>
      <c r="C14" s="256">
        <v>1</v>
      </c>
      <c r="D14" s="257" t="s">
        <v>42</v>
      </c>
      <c r="E14" s="258">
        <v>0</v>
      </c>
      <c r="F14" s="251">
        <f>SUM(C14*E14)</f>
        <v>0</v>
      </c>
      <c r="G14" s="251">
        <v>2480</v>
      </c>
      <c r="H14" s="248">
        <f>SUM(C14*G14)</f>
        <v>2480</v>
      </c>
      <c r="I14" s="252">
        <f>SUM(F14+H14)</f>
        <v>2480</v>
      </c>
      <c r="J14" s="253"/>
      <c r="L14" s="35"/>
      <c r="M14" s="106"/>
      <c r="N14" s="114"/>
    </row>
    <row r="15" spans="1:14" ht="24" x14ac:dyDescent="0.5">
      <c r="A15" s="254"/>
      <c r="B15" s="283" t="s">
        <v>74</v>
      </c>
      <c r="C15" s="256">
        <v>1</v>
      </c>
      <c r="D15" s="250" t="s">
        <v>42</v>
      </c>
      <c r="E15" s="258">
        <v>0</v>
      </c>
      <c r="F15" s="251">
        <f>SUM(C15*E15)</f>
        <v>0</v>
      </c>
      <c r="G15" s="251">
        <v>5700</v>
      </c>
      <c r="H15" s="248">
        <f>SUM(C15*G15)</f>
        <v>5700</v>
      </c>
      <c r="I15" s="252">
        <f>SUM(F15+H15)</f>
        <v>5700</v>
      </c>
      <c r="J15" s="253"/>
    </row>
    <row r="16" spans="1:14" ht="24" x14ac:dyDescent="0.5">
      <c r="A16" s="254"/>
      <c r="B16" s="283" t="s">
        <v>81</v>
      </c>
      <c r="C16" s="256">
        <v>1</v>
      </c>
      <c r="D16" s="257" t="s">
        <v>42</v>
      </c>
      <c r="E16" s="258">
        <v>0</v>
      </c>
      <c r="F16" s="251">
        <f t="shared" si="0"/>
        <v>0</v>
      </c>
      <c r="G16" s="251">
        <v>310</v>
      </c>
      <c r="H16" s="248">
        <f t="shared" si="1"/>
        <v>310</v>
      </c>
      <c r="I16" s="252">
        <f t="shared" si="2"/>
        <v>310</v>
      </c>
      <c r="J16" s="253"/>
    </row>
    <row r="17" spans="1:12" ht="24" x14ac:dyDescent="0.5">
      <c r="A17" s="259"/>
      <c r="B17" s="283" t="s">
        <v>137</v>
      </c>
      <c r="C17" s="256">
        <v>1</v>
      </c>
      <c r="D17" s="257" t="s">
        <v>1</v>
      </c>
      <c r="E17" s="258">
        <v>0</v>
      </c>
      <c r="F17" s="251">
        <f t="shared" ref="F17" si="3">SUM(C17*E17)</f>
        <v>0</v>
      </c>
      <c r="G17" s="251">
        <v>1240</v>
      </c>
      <c r="H17" s="248">
        <v>1240</v>
      </c>
      <c r="I17" s="252">
        <v>1240</v>
      </c>
      <c r="J17" s="253"/>
      <c r="K17" s="217"/>
    </row>
    <row r="18" spans="1:12" ht="24" x14ac:dyDescent="0.5">
      <c r="A18" s="259"/>
      <c r="B18" s="260" t="s">
        <v>52</v>
      </c>
      <c r="C18" s="258"/>
      <c r="D18" s="257"/>
      <c r="E18" s="258"/>
      <c r="F18" s="251"/>
      <c r="G18" s="251"/>
      <c r="H18" s="248"/>
      <c r="I18" s="252"/>
      <c r="J18" s="253"/>
    </row>
    <row r="19" spans="1:12" ht="24" x14ac:dyDescent="0.5">
      <c r="A19" s="259"/>
      <c r="B19" s="261" t="s">
        <v>104</v>
      </c>
      <c r="C19" s="258"/>
      <c r="D19" s="257"/>
      <c r="E19" s="258"/>
      <c r="F19" s="251"/>
      <c r="G19" s="251"/>
      <c r="H19" s="248"/>
      <c r="I19" s="248"/>
      <c r="J19" s="253"/>
    </row>
    <row r="20" spans="1:12" ht="24" x14ac:dyDescent="0.5">
      <c r="A20" s="259"/>
      <c r="B20" s="284" t="s">
        <v>103</v>
      </c>
      <c r="C20" s="262">
        <v>2</v>
      </c>
      <c r="D20" s="263" t="s">
        <v>69</v>
      </c>
      <c r="E20" s="255">
        <v>0</v>
      </c>
      <c r="F20" s="248">
        <f>SUM(C20*E20)</f>
        <v>0</v>
      </c>
      <c r="G20" s="248">
        <v>35</v>
      </c>
      <c r="H20" s="248">
        <f>SUM(C20*G20)</f>
        <v>70</v>
      </c>
      <c r="I20" s="248">
        <f>SUM(F20+H20)</f>
        <v>70</v>
      </c>
      <c r="J20" s="253"/>
    </row>
    <row r="21" spans="1:12" ht="24" x14ac:dyDescent="0.5">
      <c r="A21" s="259"/>
      <c r="B21" s="261" t="s">
        <v>77</v>
      </c>
      <c r="C21" s="248"/>
      <c r="D21" s="264"/>
      <c r="E21" s="248"/>
      <c r="F21" s="248"/>
      <c r="G21" s="248"/>
      <c r="H21" s="248"/>
      <c r="I21" s="248"/>
      <c r="J21" s="253"/>
    </row>
    <row r="22" spans="1:12" ht="24" x14ac:dyDescent="0.5">
      <c r="A22" s="259"/>
      <c r="B22" s="284" t="s">
        <v>75</v>
      </c>
      <c r="C22" s="265">
        <v>1</v>
      </c>
      <c r="D22" s="264" t="s">
        <v>68</v>
      </c>
      <c r="E22" s="248">
        <v>0</v>
      </c>
      <c r="F22" s="248">
        <f>SUM(C22*E22)</f>
        <v>0</v>
      </c>
      <c r="G22" s="248">
        <v>35</v>
      </c>
      <c r="H22" s="248">
        <f>SUM(C22*G22)</f>
        <v>35</v>
      </c>
      <c r="I22" s="248">
        <f>SUM(F22+H22)</f>
        <v>35</v>
      </c>
      <c r="J22" s="253"/>
    </row>
    <row r="23" spans="1:12" ht="24" x14ac:dyDescent="0.5">
      <c r="A23" s="259"/>
      <c r="B23" s="284" t="s">
        <v>162</v>
      </c>
      <c r="C23" s="265">
        <v>1</v>
      </c>
      <c r="D23" s="264" t="s">
        <v>45</v>
      </c>
      <c r="E23" s="248">
        <v>0</v>
      </c>
      <c r="F23" s="248">
        <f>SUM(C23*E23)</f>
        <v>0</v>
      </c>
      <c r="G23" s="248">
        <v>700</v>
      </c>
      <c r="H23" s="248">
        <f>SUM(C23*G23)</f>
        <v>700</v>
      </c>
      <c r="I23" s="248">
        <f>SUM(F23+H23)</f>
        <v>700</v>
      </c>
      <c r="J23" s="253"/>
      <c r="L23" s="99"/>
    </row>
    <row r="24" spans="1:12" ht="24" x14ac:dyDescent="0.5">
      <c r="A24" s="266"/>
      <c r="B24" s="285" t="s">
        <v>76</v>
      </c>
      <c r="C24" s="267">
        <v>10</v>
      </c>
      <c r="D24" s="268" t="s">
        <v>80</v>
      </c>
      <c r="E24" s="269">
        <v>0</v>
      </c>
      <c r="F24" s="270">
        <f>SUM(C24*E24)</f>
        <v>0</v>
      </c>
      <c r="G24" s="270">
        <v>35</v>
      </c>
      <c r="H24" s="270">
        <f>SUM(C24*G24)</f>
        <v>350</v>
      </c>
      <c r="I24" s="270">
        <f>SUM(F24+H24)</f>
        <v>350</v>
      </c>
      <c r="J24" s="271"/>
      <c r="K24" s="65">
        <f>SUM(I9:I24)</f>
        <v>37053</v>
      </c>
      <c r="L24" s="99"/>
    </row>
    <row r="25" spans="1:12" ht="27.75" x14ac:dyDescent="0.65">
      <c r="A25" s="236" t="s">
        <v>0</v>
      </c>
      <c r="B25" s="745" t="s">
        <v>7</v>
      </c>
      <c r="C25" s="745"/>
      <c r="D25" s="745"/>
      <c r="E25" s="745"/>
      <c r="F25" s="745"/>
      <c r="G25" s="745"/>
      <c r="H25" s="745"/>
      <c r="I25" s="745"/>
      <c r="J25" s="236"/>
    </row>
    <row r="26" spans="1:12" x14ac:dyDescent="0.5">
      <c r="A26" s="747" t="s">
        <v>184</v>
      </c>
      <c r="B26" s="747"/>
      <c r="C26" s="747"/>
      <c r="D26" s="747"/>
      <c r="E26" s="747"/>
      <c r="F26" s="747"/>
      <c r="G26" s="747"/>
      <c r="H26" s="747"/>
      <c r="I26" s="747"/>
      <c r="J26" s="272"/>
    </row>
    <row r="27" spans="1:12" x14ac:dyDescent="0.5">
      <c r="A27" s="747" t="s">
        <v>185</v>
      </c>
      <c r="B27" s="747"/>
      <c r="C27" s="747"/>
      <c r="D27" s="747"/>
      <c r="E27" s="747"/>
      <c r="F27" s="747"/>
      <c r="G27" s="747"/>
      <c r="H27" s="747"/>
      <c r="I27" s="747"/>
      <c r="J27" s="272"/>
    </row>
    <row r="28" spans="1:12" x14ac:dyDescent="0.5">
      <c r="A28" s="730" t="s">
        <v>201</v>
      </c>
      <c r="B28" s="730"/>
      <c r="C28" s="730"/>
      <c r="D28" s="730"/>
      <c r="E28" s="730"/>
      <c r="F28" s="730"/>
      <c r="G28" s="730"/>
      <c r="H28" s="730"/>
      <c r="I28" s="730"/>
      <c r="J28" s="272"/>
    </row>
    <row r="29" spans="1:12" x14ac:dyDescent="0.5">
      <c r="A29" s="731" t="s">
        <v>186</v>
      </c>
      <c r="B29" s="731"/>
      <c r="C29" s="731"/>
      <c r="D29" s="731"/>
      <c r="E29" s="731"/>
      <c r="F29" s="731"/>
      <c r="G29" s="731"/>
      <c r="H29" s="731"/>
      <c r="I29" s="731"/>
      <c r="J29" s="238" t="s">
        <v>198</v>
      </c>
    </row>
    <row r="30" spans="1:12" x14ac:dyDescent="0.5">
      <c r="A30" s="741" t="s">
        <v>14</v>
      </c>
      <c r="B30" s="741" t="s">
        <v>1</v>
      </c>
      <c r="C30" s="741" t="s">
        <v>4</v>
      </c>
      <c r="D30" s="741" t="s">
        <v>2</v>
      </c>
      <c r="E30" s="743" t="s">
        <v>5</v>
      </c>
      <c r="F30" s="744"/>
      <c r="G30" s="743" t="s">
        <v>6</v>
      </c>
      <c r="H30" s="744"/>
      <c r="I30" s="239" t="s">
        <v>18</v>
      </c>
      <c r="J30" s="741" t="s">
        <v>8</v>
      </c>
    </row>
    <row r="31" spans="1:12" x14ac:dyDescent="0.5">
      <c r="A31" s="742"/>
      <c r="B31" s="742"/>
      <c r="C31" s="742"/>
      <c r="D31" s="742"/>
      <c r="E31" s="240" t="s">
        <v>16</v>
      </c>
      <c r="F31" s="240" t="s">
        <v>17</v>
      </c>
      <c r="G31" s="240" t="s">
        <v>16</v>
      </c>
      <c r="H31" s="240" t="s">
        <v>17</v>
      </c>
      <c r="I31" s="240" t="s">
        <v>19</v>
      </c>
      <c r="J31" s="742"/>
    </row>
    <row r="32" spans="1:12" ht="24" x14ac:dyDescent="0.5">
      <c r="A32" s="273"/>
      <c r="B32" s="286" t="s">
        <v>173</v>
      </c>
      <c r="C32" s="274">
        <v>5</v>
      </c>
      <c r="D32" s="275" t="s">
        <v>80</v>
      </c>
      <c r="E32" s="244">
        <v>0</v>
      </c>
      <c r="F32" s="244">
        <v>0</v>
      </c>
      <c r="G32" s="244">
        <v>35</v>
      </c>
      <c r="H32" s="245">
        <v>175</v>
      </c>
      <c r="I32" s="245">
        <f>SUM(H32)</f>
        <v>175</v>
      </c>
      <c r="J32" s="276"/>
    </row>
    <row r="33" spans="1:12" ht="24" x14ac:dyDescent="0.5">
      <c r="A33" s="259"/>
      <c r="B33" s="261" t="s">
        <v>78</v>
      </c>
      <c r="C33" s="258"/>
      <c r="D33" s="257"/>
      <c r="E33" s="258"/>
      <c r="F33" s="251"/>
      <c r="G33" s="251"/>
      <c r="H33" s="248"/>
      <c r="I33" s="252"/>
      <c r="J33" s="253"/>
    </row>
    <row r="34" spans="1:12" ht="24" x14ac:dyDescent="0.5">
      <c r="A34" s="259"/>
      <c r="B34" s="284" t="s">
        <v>75</v>
      </c>
      <c r="C34" s="256">
        <v>2</v>
      </c>
      <c r="D34" s="257" t="s">
        <v>68</v>
      </c>
      <c r="E34" s="258">
        <v>0</v>
      </c>
      <c r="F34" s="251">
        <f>SUM(C34*E34)</f>
        <v>0</v>
      </c>
      <c r="G34" s="251">
        <v>35</v>
      </c>
      <c r="H34" s="248">
        <f>SUM(C34*G34)</f>
        <v>70</v>
      </c>
      <c r="I34" s="252">
        <f>SUM(F34+H34)</f>
        <v>70</v>
      </c>
      <c r="J34" s="253"/>
    </row>
    <row r="35" spans="1:12" ht="24" x14ac:dyDescent="0.5">
      <c r="A35" s="259"/>
      <c r="B35" s="284" t="s">
        <v>174</v>
      </c>
      <c r="C35" s="256">
        <v>1</v>
      </c>
      <c r="D35" s="257" t="s">
        <v>80</v>
      </c>
      <c r="E35" s="258">
        <v>0</v>
      </c>
      <c r="F35" s="251">
        <f>SUM(C35*E35)</f>
        <v>0</v>
      </c>
      <c r="G35" s="251">
        <v>35</v>
      </c>
      <c r="H35" s="248">
        <f>SUM(C35*G35)</f>
        <v>35</v>
      </c>
      <c r="I35" s="252">
        <f>SUM(F35+H35)</f>
        <v>35</v>
      </c>
      <c r="J35" s="253"/>
    </row>
    <row r="36" spans="1:12" ht="24" x14ac:dyDescent="0.5">
      <c r="A36" s="259"/>
      <c r="B36" s="284" t="s">
        <v>175</v>
      </c>
      <c r="C36" s="256">
        <v>2</v>
      </c>
      <c r="D36" s="257" t="s">
        <v>80</v>
      </c>
      <c r="E36" s="258">
        <v>0</v>
      </c>
      <c r="F36" s="251">
        <f>SUM(C36*E36)</f>
        <v>0</v>
      </c>
      <c r="G36" s="251">
        <v>35</v>
      </c>
      <c r="H36" s="248">
        <f>SUM(C36*G36)</f>
        <v>70</v>
      </c>
      <c r="I36" s="252">
        <f>SUM(F36+H36)</f>
        <v>70</v>
      </c>
      <c r="J36" s="253"/>
    </row>
    <row r="37" spans="1:12" ht="24" x14ac:dyDescent="0.5">
      <c r="A37" s="259"/>
      <c r="B37" s="261" t="s">
        <v>79</v>
      </c>
      <c r="C37" s="258"/>
      <c r="D37" s="257"/>
      <c r="E37" s="258"/>
      <c r="F37" s="251"/>
      <c r="G37" s="251"/>
      <c r="H37" s="248"/>
      <c r="I37" s="248"/>
      <c r="J37" s="277"/>
    </row>
    <row r="38" spans="1:12" ht="24" x14ac:dyDescent="0.5">
      <c r="A38" s="259"/>
      <c r="B38" s="284" t="s">
        <v>176</v>
      </c>
      <c r="C38" s="256">
        <v>16</v>
      </c>
      <c r="D38" s="257" t="s">
        <v>80</v>
      </c>
      <c r="E38" s="258">
        <v>0</v>
      </c>
      <c r="F38" s="251">
        <f>SUM(C38*E38)</f>
        <v>0</v>
      </c>
      <c r="G38" s="251">
        <v>35</v>
      </c>
      <c r="H38" s="248">
        <f>SUM(C38*G38)</f>
        <v>560</v>
      </c>
      <c r="I38" s="252">
        <f>SUM(F38+H38)</f>
        <v>560</v>
      </c>
      <c r="J38" s="253"/>
    </row>
    <row r="39" spans="1:12" ht="24" x14ac:dyDescent="0.5">
      <c r="A39" s="259"/>
      <c r="B39" s="284" t="s">
        <v>179</v>
      </c>
      <c r="C39" s="278">
        <v>2</v>
      </c>
      <c r="D39" s="264" t="s">
        <v>80</v>
      </c>
      <c r="E39" s="279">
        <v>0</v>
      </c>
      <c r="F39" s="251">
        <f>SUM(C39*E39)</f>
        <v>0</v>
      </c>
      <c r="G39" s="248">
        <v>35</v>
      </c>
      <c r="H39" s="248">
        <f>SUM(C39*G39)</f>
        <v>70</v>
      </c>
      <c r="I39" s="252">
        <f>SUM(F39+H39)</f>
        <v>70</v>
      </c>
      <c r="J39" s="253"/>
      <c r="K39" s="65">
        <f>SUM(I32:I39)</f>
        <v>980</v>
      </c>
    </row>
    <row r="40" spans="1:12" x14ac:dyDescent="0.5">
      <c r="A40" s="280"/>
      <c r="B40" s="287" t="s">
        <v>36</v>
      </c>
      <c r="C40" s="288"/>
      <c r="D40" s="288"/>
      <c r="E40" s="288"/>
      <c r="F40" s="288"/>
      <c r="G40" s="289"/>
      <c r="H40" s="289"/>
      <c r="I40" s="290">
        <f>SUM(K24+K39)</f>
        <v>38033</v>
      </c>
      <c r="J40" s="281"/>
      <c r="K40" s="65"/>
      <c r="L40" s="110"/>
    </row>
    <row r="41" spans="1:12" x14ac:dyDescent="0.5">
      <c r="A41" s="52"/>
      <c r="B41" s="118"/>
      <c r="C41" s="53"/>
      <c r="D41" s="53"/>
      <c r="E41" s="53"/>
      <c r="F41" s="53"/>
      <c r="G41" s="54"/>
      <c r="H41" s="55"/>
      <c r="I41" s="56"/>
      <c r="J41" s="17"/>
      <c r="L41" s="110"/>
    </row>
    <row r="42" spans="1:12" x14ac:dyDescent="0.5">
      <c r="A42" s="38"/>
      <c r="B42" s="109"/>
      <c r="C42" s="39"/>
      <c r="D42" s="39"/>
      <c r="E42" s="39"/>
      <c r="F42" s="39"/>
      <c r="G42" s="32"/>
      <c r="H42" s="33"/>
      <c r="I42" s="34"/>
      <c r="J42" s="40"/>
      <c r="L42" s="110"/>
    </row>
    <row r="43" spans="1:12" x14ac:dyDescent="0.5">
      <c r="A43" s="38"/>
      <c r="B43" s="109"/>
      <c r="C43" s="39"/>
      <c r="D43" s="39"/>
      <c r="E43" s="39"/>
      <c r="F43" s="39"/>
      <c r="G43" s="32"/>
      <c r="H43" s="33"/>
      <c r="I43" s="34"/>
      <c r="J43" s="40"/>
      <c r="L43" s="110"/>
    </row>
    <row r="44" spans="1:12" x14ac:dyDescent="0.5">
      <c r="A44" s="38"/>
      <c r="B44" s="109"/>
      <c r="C44" s="39"/>
      <c r="D44" s="39"/>
      <c r="E44" s="39"/>
      <c r="F44" s="39"/>
      <c r="G44" s="32"/>
      <c r="H44" s="33"/>
      <c r="I44" s="34"/>
      <c r="J44" s="40"/>
      <c r="L44" s="110"/>
    </row>
    <row r="45" spans="1:12" x14ac:dyDescent="0.5">
      <c r="A45" s="38"/>
      <c r="B45" s="109"/>
      <c r="C45" s="39"/>
      <c r="D45" s="39"/>
      <c r="E45" s="39"/>
      <c r="F45" s="39"/>
      <c r="G45" s="32"/>
      <c r="H45" s="33"/>
      <c r="I45" s="34"/>
      <c r="J45" s="40"/>
      <c r="L45" s="110"/>
    </row>
    <row r="46" spans="1:12" x14ac:dyDescent="0.5">
      <c r="A46" s="38"/>
      <c r="B46" s="109"/>
      <c r="C46" s="39"/>
      <c r="D46" s="39"/>
      <c r="E46" s="39"/>
      <c r="F46" s="39"/>
      <c r="G46" s="32"/>
      <c r="H46" s="33"/>
      <c r="I46" s="34"/>
      <c r="J46" s="40"/>
      <c r="L46" s="110"/>
    </row>
    <row r="47" spans="1:12" x14ac:dyDescent="0.5">
      <c r="A47" s="90"/>
      <c r="B47" s="177"/>
      <c r="C47" s="83"/>
      <c r="D47" s="83"/>
      <c r="E47" s="83"/>
      <c r="F47" s="83"/>
      <c r="G47" s="32"/>
      <c r="H47" s="33"/>
      <c r="I47" s="32"/>
      <c r="J47" s="40"/>
    </row>
    <row r="48" spans="1:12" x14ac:dyDescent="0.5">
      <c r="A48" s="90"/>
      <c r="B48" s="82"/>
      <c r="C48" s="83"/>
      <c r="D48" s="84"/>
      <c r="E48" s="83"/>
      <c r="F48" s="83"/>
      <c r="G48" s="32"/>
      <c r="H48" s="33"/>
      <c r="I48" s="32"/>
      <c r="J48" s="40"/>
    </row>
    <row r="49" spans="1:10" x14ac:dyDescent="0.5">
      <c r="A49" s="90"/>
      <c r="B49" s="82"/>
      <c r="C49" s="83"/>
      <c r="D49" s="84"/>
      <c r="E49" s="83"/>
      <c r="F49" s="83"/>
      <c r="G49" s="32"/>
      <c r="H49" s="33"/>
      <c r="I49" s="32"/>
      <c r="J49" s="40"/>
    </row>
    <row r="50" spans="1:10" x14ac:dyDescent="0.5">
      <c r="A50" s="38"/>
      <c r="B50" s="91"/>
      <c r="C50" s="91"/>
      <c r="D50" s="92"/>
      <c r="E50" s="91"/>
      <c r="F50" s="32"/>
      <c r="G50" s="32"/>
      <c r="H50" s="93"/>
      <c r="I50" s="32"/>
      <c r="J50" s="40"/>
    </row>
    <row r="51" spans="1:10" x14ac:dyDescent="0.5">
      <c r="A51" s="38"/>
      <c r="B51" s="91"/>
      <c r="C51" s="91"/>
      <c r="D51" s="92"/>
      <c r="E51" s="91"/>
      <c r="F51" s="32"/>
      <c r="G51" s="32"/>
      <c r="H51" s="93"/>
      <c r="I51" s="32"/>
      <c r="J51" s="40"/>
    </row>
    <row r="52" spans="1:10" x14ac:dyDescent="0.5">
      <c r="A52" s="38"/>
      <c r="B52" s="91"/>
      <c r="C52" s="91"/>
      <c r="D52" s="92"/>
      <c r="E52" s="91"/>
      <c r="F52" s="32"/>
      <c r="G52" s="32"/>
      <c r="H52" s="93"/>
      <c r="I52" s="32"/>
      <c r="J52" s="40"/>
    </row>
    <row r="53" spans="1:10" x14ac:dyDescent="0.5">
      <c r="A53" s="38"/>
      <c r="B53" s="91"/>
      <c r="C53" s="91"/>
      <c r="D53" s="92"/>
      <c r="E53" s="91"/>
      <c r="F53" s="32"/>
      <c r="G53" s="32"/>
      <c r="H53" s="93"/>
      <c r="I53" s="32"/>
      <c r="J53" s="40"/>
    </row>
    <row r="54" spans="1:10" x14ac:dyDescent="0.5">
      <c r="A54" s="38"/>
      <c r="B54" s="39"/>
      <c r="C54" s="39"/>
      <c r="D54" s="39"/>
      <c r="E54" s="39"/>
      <c r="F54" s="39"/>
      <c r="G54" s="32"/>
      <c r="H54" s="33"/>
      <c r="I54" s="34"/>
      <c r="J54" s="40"/>
    </row>
    <row r="55" spans="1:10" x14ac:dyDescent="0.5">
      <c r="A55" s="38"/>
      <c r="B55" s="39"/>
      <c r="C55" s="39"/>
      <c r="D55" s="39"/>
      <c r="E55" s="39"/>
      <c r="F55" s="39"/>
      <c r="G55" s="32"/>
      <c r="H55" s="33"/>
      <c r="I55" s="34"/>
      <c r="J55" s="40"/>
    </row>
  </sheetData>
  <mergeCells count="24">
    <mergeCell ref="J6:J7"/>
    <mergeCell ref="B25:I25"/>
    <mergeCell ref="A26:I26"/>
    <mergeCell ref="A27:I27"/>
    <mergeCell ref="J30:J31"/>
    <mergeCell ref="A29:I29"/>
    <mergeCell ref="A30:A31"/>
    <mergeCell ref="B30:B31"/>
    <mergeCell ref="C30:C31"/>
    <mergeCell ref="D30:D31"/>
    <mergeCell ref="E30:F30"/>
    <mergeCell ref="G30:H30"/>
    <mergeCell ref="A28:I28"/>
    <mergeCell ref="A6:A7"/>
    <mergeCell ref="B6:B7"/>
    <mergeCell ref="C6:C7"/>
    <mergeCell ref="D6:D7"/>
    <mergeCell ref="E6:F6"/>
    <mergeCell ref="G6:H6"/>
    <mergeCell ref="B1:I1"/>
    <mergeCell ref="A2:I2"/>
    <mergeCell ref="A3:I3"/>
    <mergeCell ref="A4:I4"/>
    <mergeCell ref="A5:I5"/>
  </mergeCells>
  <pageMargins left="0.4" right="0" top="0.35" bottom="0.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25"/>
  <sheetViews>
    <sheetView zoomScaleNormal="100" workbookViewId="0">
      <selection activeCell="A4" sqref="A4:I4"/>
    </sheetView>
  </sheetViews>
  <sheetFormatPr defaultRowHeight="21.75" x14ac:dyDescent="0.5"/>
  <cols>
    <col min="1" max="1" width="8.28515625" customWidth="1"/>
    <col min="2" max="2" width="53.7109375" customWidth="1"/>
    <col min="3" max="3" width="8.7109375" customWidth="1"/>
    <col min="4" max="4" width="7.7109375" customWidth="1"/>
    <col min="5" max="8" width="10.7109375" customWidth="1"/>
    <col min="9" max="9" width="14.28515625" customWidth="1"/>
    <col min="10" max="10" width="17.28515625" customWidth="1"/>
    <col min="12" max="12" width="16" customWidth="1"/>
    <col min="13" max="13" width="21" customWidth="1"/>
    <col min="14" max="14" width="26.85546875" customWidth="1"/>
  </cols>
  <sheetData>
    <row r="1" spans="1:14" ht="27.75" x14ac:dyDescent="0.65">
      <c r="A1" s="201" t="s">
        <v>0</v>
      </c>
      <c r="B1" s="750" t="s">
        <v>7</v>
      </c>
      <c r="C1" s="750"/>
      <c r="D1" s="750"/>
      <c r="E1" s="750"/>
      <c r="F1" s="750"/>
      <c r="G1" s="750"/>
      <c r="H1" s="750"/>
      <c r="I1" s="750"/>
      <c r="J1" s="201"/>
    </row>
    <row r="2" spans="1:14" x14ac:dyDescent="0.5">
      <c r="A2" s="751" t="s">
        <v>110</v>
      </c>
      <c r="B2" s="751"/>
      <c r="C2" s="751"/>
      <c r="D2" s="751"/>
      <c r="E2" s="751"/>
      <c r="F2" s="751"/>
      <c r="G2" s="751"/>
      <c r="H2" s="751"/>
      <c r="I2" s="751"/>
      <c r="J2" s="35"/>
    </row>
    <row r="3" spans="1:14" x14ac:dyDescent="0.5">
      <c r="A3" s="751" t="s">
        <v>30</v>
      </c>
      <c r="B3" s="751"/>
      <c r="C3" s="751"/>
      <c r="D3" s="751"/>
      <c r="E3" s="751"/>
      <c r="F3" s="751"/>
      <c r="G3" s="751"/>
      <c r="H3" s="751"/>
      <c r="I3" s="751"/>
      <c r="J3" s="35"/>
    </row>
    <row r="4" spans="1:14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  <c r="J4" s="35"/>
    </row>
    <row r="5" spans="1:14" x14ac:dyDescent="0.5">
      <c r="A5" s="731" t="s">
        <v>186</v>
      </c>
      <c r="B5" s="731"/>
      <c r="C5" s="731"/>
      <c r="D5" s="731"/>
      <c r="E5" s="731"/>
      <c r="F5" s="731"/>
      <c r="G5" s="731"/>
      <c r="H5" s="731"/>
      <c r="I5" s="731"/>
      <c r="J5" s="291" t="s">
        <v>197</v>
      </c>
    </row>
    <row r="6" spans="1:14" x14ac:dyDescent="0.5">
      <c r="A6" s="748" t="s">
        <v>14</v>
      </c>
      <c r="B6" s="748" t="s">
        <v>1</v>
      </c>
      <c r="C6" s="748" t="s">
        <v>4</v>
      </c>
      <c r="D6" s="748" t="s">
        <v>2</v>
      </c>
      <c r="E6" s="734" t="s">
        <v>5</v>
      </c>
      <c r="F6" s="736"/>
      <c r="G6" s="734" t="s">
        <v>6</v>
      </c>
      <c r="H6" s="736"/>
      <c r="I6" s="233" t="s">
        <v>18</v>
      </c>
      <c r="J6" s="748" t="s">
        <v>8</v>
      </c>
    </row>
    <row r="7" spans="1:14" x14ac:dyDescent="0.5">
      <c r="A7" s="749"/>
      <c r="B7" s="749"/>
      <c r="C7" s="749"/>
      <c r="D7" s="749"/>
      <c r="E7" s="235" t="s">
        <v>16</v>
      </c>
      <c r="F7" s="235" t="s">
        <v>17</v>
      </c>
      <c r="G7" s="235" t="s">
        <v>16</v>
      </c>
      <c r="H7" s="235" t="s">
        <v>17</v>
      </c>
      <c r="I7" s="235" t="s">
        <v>19</v>
      </c>
      <c r="J7" s="749"/>
    </row>
    <row r="8" spans="1:14" x14ac:dyDescent="0.5">
      <c r="A8" s="85">
        <v>2</v>
      </c>
      <c r="B8" s="292" t="s">
        <v>15</v>
      </c>
      <c r="C8" s="293"/>
      <c r="D8" s="293"/>
      <c r="E8" s="293"/>
      <c r="F8" s="293"/>
      <c r="G8" s="36"/>
      <c r="H8" s="125"/>
      <c r="I8" s="124"/>
      <c r="J8" s="37"/>
      <c r="M8" s="50"/>
    </row>
    <row r="9" spans="1:14" ht="24" x14ac:dyDescent="0.5">
      <c r="A9" s="15"/>
      <c r="B9" s="305" t="s">
        <v>21</v>
      </c>
      <c r="C9" s="294">
        <v>109</v>
      </c>
      <c r="D9" s="49" t="s">
        <v>22</v>
      </c>
      <c r="E9" s="42">
        <v>505</v>
      </c>
      <c r="F9" s="295">
        <f>+C9*E9</f>
        <v>55045</v>
      </c>
      <c r="G9" s="42">
        <v>108</v>
      </c>
      <c r="H9" s="295">
        <f>+C9*G9</f>
        <v>11772</v>
      </c>
      <c r="I9" s="74">
        <f t="shared" ref="I9:I21" si="0">SUM(F9+H9)</f>
        <v>66817</v>
      </c>
      <c r="J9" s="296"/>
      <c r="L9" s="185"/>
      <c r="M9" s="32"/>
    </row>
    <row r="10" spans="1:14" ht="24" x14ac:dyDescent="0.5">
      <c r="A10" s="15"/>
      <c r="B10" s="305" t="s">
        <v>23</v>
      </c>
      <c r="C10" s="42">
        <v>30.12</v>
      </c>
      <c r="D10" s="49" t="s">
        <v>3</v>
      </c>
      <c r="E10" s="42">
        <v>0</v>
      </c>
      <c r="F10" s="295">
        <f t="shared" ref="F10:F22" si="1">+C10*E10</f>
        <v>0</v>
      </c>
      <c r="G10" s="42">
        <v>125</v>
      </c>
      <c r="H10" s="295">
        <f t="shared" ref="H10:H22" si="2">+C10*G10</f>
        <v>3765</v>
      </c>
      <c r="I10" s="74">
        <f t="shared" si="0"/>
        <v>3765</v>
      </c>
      <c r="J10" s="297"/>
      <c r="M10" s="32"/>
    </row>
    <row r="11" spans="1:14" ht="24" x14ac:dyDescent="0.5">
      <c r="A11" s="15"/>
      <c r="B11" s="305" t="s">
        <v>24</v>
      </c>
      <c r="C11" s="115">
        <v>35.700000000000003</v>
      </c>
      <c r="D11" s="49" t="s">
        <v>3</v>
      </c>
      <c r="E11" s="42">
        <v>496.67</v>
      </c>
      <c r="F11" s="295">
        <f t="shared" si="1"/>
        <v>17731.119000000002</v>
      </c>
      <c r="G11" s="42">
        <v>91</v>
      </c>
      <c r="H11" s="295">
        <f t="shared" si="2"/>
        <v>3248.7000000000003</v>
      </c>
      <c r="I11" s="74">
        <f t="shared" si="0"/>
        <v>20979.819000000003</v>
      </c>
      <c r="J11" s="296"/>
      <c r="M11" s="32"/>
    </row>
    <row r="12" spans="1:14" ht="24" x14ac:dyDescent="0.5">
      <c r="A12" s="15"/>
      <c r="B12" s="305" t="s">
        <v>10</v>
      </c>
      <c r="C12" s="115">
        <v>1.34</v>
      </c>
      <c r="D12" s="49" t="s">
        <v>3</v>
      </c>
      <c r="E12" s="42">
        <v>2193.1</v>
      </c>
      <c r="F12" s="295">
        <f t="shared" si="1"/>
        <v>2938.7539999999999</v>
      </c>
      <c r="G12" s="42">
        <v>398</v>
      </c>
      <c r="H12" s="295">
        <f t="shared" si="2"/>
        <v>533.32000000000005</v>
      </c>
      <c r="I12" s="74">
        <f t="shared" si="0"/>
        <v>3472.0740000000001</v>
      </c>
      <c r="J12" s="296"/>
      <c r="M12" s="32"/>
    </row>
    <row r="13" spans="1:14" ht="24" x14ac:dyDescent="0.5">
      <c r="A13" s="15"/>
      <c r="B13" s="306" t="s">
        <v>25</v>
      </c>
      <c r="C13" s="298">
        <v>70.78</v>
      </c>
      <c r="D13" s="299" t="s">
        <v>3</v>
      </c>
      <c r="E13" s="100">
        <v>2420.6</v>
      </c>
      <c r="F13" s="295">
        <f t="shared" si="1"/>
        <v>171330.068</v>
      </c>
      <c r="G13" s="42">
        <v>391</v>
      </c>
      <c r="H13" s="295">
        <f t="shared" si="2"/>
        <v>27674.98</v>
      </c>
      <c r="I13" s="74">
        <f t="shared" si="0"/>
        <v>199005.04800000001</v>
      </c>
      <c r="J13" s="296"/>
      <c r="M13" s="32"/>
    </row>
    <row r="14" spans="1:14" ht="24" x14ac:dyDescent="0.5">
      <c r="A14" s="15"/>
      <c r="B14" s="307" t="s">
        <v>27</v>
      </c>
      <c r="C14" s="298">
        <v>490.97</v>
      </c>
      <c r="D14" s="86" t="s">
        <v>26</v>
      </c>
      <c r="E14" s="100">
        <v>25.66</v>
      </c>
      <c r="F14" s="295">
        <f t="shared" si="1"/>
        <v>12598.290200000001</v>
      </c>
      <c r="G14" s="42">
        <v>4.0999999999999996</v>
      </c>
      <c r="H14" s="295">
        <f t="shared" si="2"/>
        <v>2012.9769999999999</v>
      </c>
      <c r="I14" s="74">
        <f t="shared" si="0"/>
        <v>14611.267200000002</v>
      </c>
      <c r="J14" s="296"/>
      <c r="M14" s="32"/>
      <c r="N14" s="81"/>
    </row>
    <row r="15" spans="1:14" ht="24" x14ac:dyDescent="0.5">
      <c r="A15" s="15"/>
      <c r="B15" s="306" t="s">
        <v>12</v>
      </c>
      <c r="C15" s="298">
        <v>2074.44</v>
      </c>
      <c r="D15" s="300" t="s">
        <v>26</v>
      </c>
      <c r="E15" s="100">
        <v>24.7</v>
      </c>
      <c r="F15" s="295">
        <f t="shared" si="1"/>
        <v>51238.667999999998</v>
      </c>
      <c r="G15" s="42">
        <v>4.0999999999999996</v>
      </c>
      <c r="H15" s="295">
        <f t="shared" si="2"/>
        <v>8505.2039999999997</v>
      </c>
      <c r="I15" s="74">
        <f t="shared" si="0"/>
        <v>59743.871999999996</v>
      </c>
      <c r="J15" s="296"/>
      <c r="M15" s="32"/>
      <c r="N15" s="77"/>
    </row>
    <row r="16" spans="1:14" ht="24" x14ac:dyDescent="0.5">
      <c r="A16" s="15"/>
      <c r="B16" s="307" t="s">
        <v>43</v>
      </c>
      <c r="C16" s="298">
        <v>525.28</v>
      </c>
      <c r="D16" s="86" t="s">
        <v>26</v>
      </c>
      <c r="E16" s="100">
        <v>24.36</v>
      </c>
      <c r="F16" s="295">
        <f t="shared" si="1"/>
        <v>12795.8208</v>
      </c>
      <c r="G16" s="42">
        <v>3.3</v>
      </c>
      <c r="H16" s="295">
        <f t="shared" si="2"/>
        <v>1733.4239999999998</v>
      </c>
      <c r="I16" s="74">
        <f t="shared" si="0"/>
        <v>14529.244799999999</v>
      </c>
      <c r="J16" s="296"/>
      <c r="M16" s="32"/>
      <c r="N16" s="77"/>
    </row>
    <row r="17" spans="1:14" ht="24" x14ac:dyDescent="0.5">
      <c r="A17" s="15"/>
      <c r="B17" s="306" t="s">
        <v>44</v>
      </c>
      <c r="C17" s="100">
        <v>1315.77</v>
      </c>
      <c r="D17" s="300" t="s">
        <v>26</v>
      </c>
      <c r="E17" s="100">
        <v>24.16</v>
      </c>
      <c r="F17" s="295">
        <f t="shared" si="1"/>
        <v>31789.003199999999</v>
      </c>
      <c r="G17" s="42">
        <v>3.3</v>
      </c>
      <c r="H17" s="295">
        <f t="shared" si="2"/>
        <v>4342.0409999999993</v>
      </c>
      <c r="I17" s="74">
        <f t="shared" si="0"/>
        <v>36131.044199999997</v>
      </c>
      <c r="J17" s="296"/>
      <c r="M17" s="32"/>
      <c r="N17" s="77"/>
    </row>
    <row r="18" spans="1:14" ht="24" x14ac:dyDescent="0.5">
      <c r="A18" s="15"/>
      <c r="B18" s="307" t="s">
        <v>11</v>
      </c>
      <c r="C18" s="298">
        <v>132.19</v>
      </c>
      <c r="D18" s="86" t="s">
        <v>26</v>
      </c>
      <c r="E18" s="100">
        <v>31.92</v>
      </c>
      <c r="F18" s="295">
        <f t="shared" si="1"/>
        <v>4219.5047999999997</v>
      </c>
      <c r="G18" s="42">
        <v>0</v>
      </c>
      <c r="H18" s="295">
        <f t="shared" si="2"/>
        <v>0</v>
      </c>
      <c r="I18" s="74">
        <f t="shared" si="0"/>
        <v>4219.5047999999997</v>
      </c>
      <c r="J18" s="296"/>
      <c r="M18" s="32"/>
      <c r="N18" s="77"/>
    </row>
    <row r="19" spans="1:14" ht="24" x14ac:dyDescent="0.5">
      <c r="A19" s="18"/>
      <c r="B19" s="308" t="s">
        <v>95</v>
      </c>
      <c r="C19" s="301">
        <v>227.55</v>
      </c>
      <c r="D19" s="302" t="s">
        <v>29</v>
      </c>
      <c r="E19" s="116">
        <v>400</v>
      </c>
      <c r="F19" s="295">
        <f t="shared" si="1"/>
        <v>91020</v>
      </c>
      <c r="G19" s="43">
        <v>133</v>
      </c>
      <c r="H19" s="295">
        <f t="shared" si="2"/>
        <v>30264.15</v>
      </c>
      <c r="I19" s="74">
        <f t="shared" si="0"/>
        <v>121284.15</v>
      </c>
      <c r="J19" s="296"/>
      <c r="L19" s="65"/>
      <c r="M19" s="32"/>
      <c r="N19" s="77"/>
    </row>
    <row r="20" spans="1:14" ht="24" x14ac:dyDescent="0.5">
      <c r="A20" s="18"/>
      <c r="B20" s="309" t="s">
        <v>28</v>
      </c>
      <c r="C20" s="301">
        <v>43.76</v>
      </c>
      <c r="D20" s="96" t="s">
        <v>26</v>
      </c>
      <c r="E20" s="116">
        <v>35.49</v>
      </c>
      <c r="F20" s="295">
        <f t="shared" si="1"/>
        <v>1553.0424</v>
      </c>
      <c r="G20" s="43">
        <v>0</v>
      </c>
      <c r="H20" s="295">
        <f t="shared" si="2"/>
        <v>0</v>
      </c>
      <c r="I20" s="74">
        <f t="shared" si="0"/>
        <v>1553.0424</v>
      </c>
      <c r="J20" s="296"/>
      <c r="L20" s="106"/>
      <c r="M20" s="32"/>
      <c r="N20" s="77"/>
    </row>
    <row r="21" spans="1:14" ht="24" x14ac:dyDescent="0.5">
      <c r="A21" s="18"/>
      <c r="B21" s="309" t="s">
        <v>31</v>
      </c>
      <c r="C21" s="116">
        <v>343.6</v>
      </c>
      <c r="D21" s="96" t="s">
        <v>32</v>
      </c>
      <c r="E21" s="116">
        <v>4.8</v>
      </c>
      <c r="F21" s="295">
        <f t="shared" si="1"/>
        <v>1649.28</v>
      </c>
      <c r="G21" s="43">
        <v>1.44</v>
      </c>
      <c r="H21" s="295">
        <f t="shared" si="2"/>
        <v>494.78399999999999</v>
      </c>
      <c r="I21" s="74">
        <f t="shared" si="0"/>
        <v>2144.0639999999999</v>
      </c>
      <c r="J21" s="296"/>
      <c r="L21" s="106"/>
      <c r="M21" s="32"/>
      <c r="N21" s="77"/>
    </row>
    <row r="22" spans="1:14" ht="24" x14ac:dyDescent="0.5">
      <c r="A22" s="15"/>
      <c r="B22" s="310" t="s">
        <v>96</v>
      </c>
      <c r="C22" s="100">
        <v>10.75</v>
      </c>
      <c r="D22" s="86" t="s">
        <v>33</v>
      </c>
      <c r="E22" s="100">
        <v>513.09</v>
      </c>
      <c r="F22" s="295">
        <f t="shared" si="1"/>
        <v>5515.7175000000007</v>
      </c>
      <c r="G22" s="42">
        <v>97.14</v>
      </c>
      <c r="H22" s="295">
        <f t="shared" si="2"/>
        <v>1044.2550000000001</v>
      </c>
      <c r="I22" s="303">
        <v>6559.98</v>
      </c>
      <c r="J22" s="297"/>
      <c r="L22" s="106"/>
      <c r="M22" s="32"/>
      <c r="N22" s="77"/>
    </row>
    <row r="23" spans="1:14" x14ac:dyDescent="0.5">
      <c r="A23" s="304"/>
      <c r="B23" s="311" t="s">
        <v>37</v>
      </c>
      <c r="C23" s="312"/>
      <c r="D23" s="312"/>
      <c r="E23" s="312"/>
      <c r="F23" s="312"/>
      <c r="G23" s="313"/>
      <c r="H23" s="314"/>
      <c r="I23" s="315">
        <v>554815.09</v>
      </c>
      <c r="J23" s="316"/>
      <c r="L23" s="35"/>
      <c r="M23" s="221"/>
      <c r="N23" s="77"/>
    </row>
    <row r="24" spans="1:14" x14ac:dyDescent="0.5">
      <c r="A24" s="52"/>
      <c r="B24" s="53"/>
      <c r="C24" s="53"/>
      <c r="D24" s="53"/>
      <c r="E24" s="53"/>
      <c r="F24" s="53"/>
      <c r="G24" s="54"/>
      <c r="H24" s="55"/>
      <c r="I24" s="56"/>
      <c r="J24" s="17"/>
      <c r="L24" s="35"/>
      <c r="M24" s="77"/>
      <c r="N24" s="77"/>
    </row>
    <row r="25" spans="1:14" x14ac:dyDescent="0.5">
      <c r="I25" s="78"/>
    </row>
  </sheetData>
  <mergeCells count="12">
    <mergeCell ref="J6:J7"/>
    <mergeCell ref="B1:I1"/>
    <mergeCell ref="A2:I2"/>
    <mergeCell ref="A3:I3"/>
    <mergeCell ref="D6:D7"/>
    <mergeCell ref="E6:F6"/>
    <mergeCell ref="G6:H6"/>
    <mergeCell ref="A4:I4"/>
    <mergeCell ref="A5:I5"/>
    <mergeCell ref="A6:A7"/>
    <mergeCell ref="B6:B7"/>
    <mergeCell ref="C6:C7"/>
  </mergeCells>
  <pageMargins left="0.4" right="0" top="0.75" bottom="0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T101"/>
  <sheetViews>
    <sheetView view="pageBreakPreview" topLeftCell="A55" zoomScaleNormal="70" zoomScaleSheetLayoutView="100" workbookViewId="0">
      <selection activeCell="L59" sqref="L59"/>
    </sheetView>
  </sheetViews>
  <sheetFormatPr defaultRowHeight="21.75" x14ac:dyDescent="0.5"/>
  <cols>
    <col min="1" max="1" width="7.42578125" customWidth="1"/>
    <col min="2" max="2" width="55.85546875" customWidth="1"/>
    <col min="3" max="3" width="8.7109375" customWidth="1"/>
    <col min="4" max="4" width="7.7109375" customWidth="1"/>
    <col min="5" max="8" width="10.7109375" customWidth="1"/>
    <col min="9" max="9" width="13.140625" customWidth="1"/>
    <col min="10" max="10" width="17.28515625" customWidth="1"/>
    <col min="12" max="12" width="26.28515625" customWidth="1"/>
    <col min="13" max="13" width="21" customWidth="1"/>
    <col min="14" max="14" width="9.5703125" customWidth="1"/>
  </cols>
  <sheetData>
    <row r="1" spans="1:14" ht="27.75" x14ac:dyDescent="0.65">
      <c r="A1" s="5" t="s">
        <v>0</v>
      </c>
      <c r="B1" s="729" t="s">
        <v>7</v>
      </c>
      <c r="C1" s="729"/>
      <c r="D1" s="729"/>
      <c r="E1" s="729"/>
      <c r="F1" s="729"/>
      <c r="G1" s="729"/>
      <c r="H1" s="729"/>
      <c r="I1" s="729"/>
      <c r="J1" s="5"/>
      <c r="L1" s="35"/>
      <c r="M1" s="77"/>
      <c r="N1" s="77"/>
    </row>
    <row r="2" spans="1:14" x14ac:dyDescent="0.5">
      <c r="A2" s="730" t="s">
        <v>247</v>
      </c>
      <c r="B2" s="730"/>
      <c r="C2" s="730"/>
      <c r="D2" s="730"/>
      <c r="E2" s="730"/>
      <c r="F2" s="730"/>
      <c r="G2" s="730"/>
      <c r="H2" s="730"/>
      <c r="I2" s="730"/>
      <c r="L2" s="35"/>
      <c r="M2" s="77"/>
      <c r="N2" s="77"/>
    </row>
    <row r="3" spans="1:14" x14ac:dyDescent="0.5">
      <c r="A3" s="730" t="s">
        <v>20</v>
      </c>
      <c r="B3" s="730"/>
      <c r="C3" s="730"/>
      <c r="D3" s="730"/>
      <c r="E3" s="730"/>
      <c r="F3" s="730"/>
      <c r="G3" s="730"/>
      <c r="H3" s="730"/>
      <c r="I3" s="730"/>
      <c r="L3" s="35"/>
      <c r="M3" s="77"/>
      <c r="N3" s="77"/>
    </row>
    <row r="4" spans="1:14" x14ac:dyDescent="0.5">
      <c r="A4" s="730" t="s">
        <v>201</v>
      </c>
      <c r="B4" s="730"/>
      <c r="C4" s="730"/>
      <c r="D4" s="730"/>
      <c r="E4" s="730"/>
      <c r="F4" s="730"/>
      <c r="G4" s="730"/>
      <c r="H4" s="730"/>
      <c r="I4" s="730"/>
      <c r="L4" s="35"/>
      <c r="M4" s="77"/>
      <c r="N4" s="77"/>
    </row>
    <row r="5" spans="1:14" x14ac:dyDescent="0.5">
      <c r="A5" s="731" t="s">
        <v>332</v>
      </c>
      <c r="B5" s="731"/>
      <c r="C5" s="731"/>
      <c r="D5" s="731"/>
      <c r="E5" s="731"/>
      <c r="F5" s="731"/>
      <c r="G5" s="731"/>
      <c r="H5" s="731"/>
      <c r="I5" s="731"/>
      <c r="J5" s="20" t="s">
        <v>231</v>
      </c>
      <c r="L5" s="35"/>
      <c r="M5" s="77"/>
      <c r="N5" s="77"/>
    </row>
    <row r="6" spans="1:14" x14ac:dyDescent="0.5">
      <c r="A6" s="748" t="s">
        <v>14</v>
      </c>
      <c r="B6" s="748" t="s">
        <v>1</v>
      </c>
      <c r="C6" s="748" t="s">
        <v>4</v>
      </c>
      <c r="D6" s="748" t="s">
        <v>2</v>
      </c>
      <c r="E6" s="734" t="s">
        <v>5</v>
      </c>
      <c r="F6" s="736"/>
      <c r="G6" s="734" t="s">
        <v>6</v>
      </c>
      <c r="H6" s="736"/>
      <c r="I6" s="127" t="s">
        <v>18</v>
      </c>
      <c r="J6" s="748" t="s">
        <v>8</v>
      </c>
      <c r="L6" s="35"/>
      <c r="M6" s="77"/>
      <c r="N6" s="77"/>
    </row>
    <row r="7" spans="1:14" x14ac:dyDescent="0.5">
      <c r="A7" s="752"/>
      <c r="B7" s="752"/>
      <c r="C7" s="752"/>
      <c r="D7" s="752"/>
      <c r="E7" s="128" t="s">
        <v>16</v>
      </c>
      <c r="F7" s="128" t="s">
        <v>17</v>
      </c>
      <c r="G7" s="128" t="s">
        <v>16</v>
      </c>
      <c r="H7" s="128" t="s">
        <v>17</v>
      </c>
      <c r="I7" s="583" t="s">
        <v>19</v>
      </c>
      <c r="J7" s="752"/>
      <c r="L7" s="35"/>
      <c r="M7" s="77"/>
      <c r="N7" s="77"/>
    </row>
    <row r="8" spans="1:14" x14ac:dyDescent="0.5">
      <c r="A8" s="591">
        <v>1</v>
      </c>
      <c r="B8" s="23" t="s">
        <v>35</v>
      </c>
      <c r="C8" s="24"/>
      <c r="D8" s="24"/>
      <c r="E8" s="24"/>
      <c r="F8" s="24"/>
      <c r="G8" s="25"/>
      <c r="H8" s="26"/>
      <c r="I8" s="117"/>
      <c r="J8" s="4"/>
      <c r="L8" s="35"/>
      <c r="M8" s="77"/>
      <c r="N8" s="77"/>
    </row>
    <row r="9" spans="1:14" x14ac:dyDescent="0.5">
      <c r="A9" s="592">
        <v>1.1000000000000001</v>
      </c>
      <c r="B9" s="321" t="s">
        <v>206</v>
      </c>
      <c r="C9" s="331"/>
      <c r="D9" s="332"/>
      <c r="E9" s="331"/>
      <c r="F9" s="332"/>
      <c r="G9" s="333"/>
      <c r="H9" s="334"/>
      <c r="I9" s="2"/>
      <c r="J9" s="37"/>
      <c r="L9" s="35"/>
      <c r="M9" s="77"/>
      <c r="N9" s="77"/>
    </row>
    <row r="10" spans="1:14" x14ac:dyDescent="0.5">
      <c r="A10" s="361"/>
      <c r="B10" s="362" t="s">
        <v>321</v>
      </c>
      <c r="C10" s="363">
        <v>45</v>
      </c>
      <c r="D10" s="257" t="s">
        <v>32</v>
      </c>
      <c r="E10" s="363">
        <v>2101.54</v>
      </c>
      <c r="F10" s="258">
        <f>SUM(C10*E10)</f>
        <v>94569.3</v>
      </c>
      <c r="G10" s="364" t="s">
        <v>322</v>
      </c>
      <c r="H10" s="248">
        <f>F10*35%</f>
        <v>33099.254999999997</v>
      </c>
      <c r="I10" s="252">
        <f t="shared" ref="I10:I11" si="0">SUM(F10+H10)</f>
        <v>127668.55499999999</v>
      </c>
      <c r="J10" s="3"/>
      <c r="L10" s="35"/>
      <c r="M10" s="77"/>
      <c r="N10" s="77"/>
    </row>
    <row r="11" spans="1:14" x14ac:dyDescent="0.5">
      <c r="A11" s="361"/>
      <c r="B11" s="248" t="s">
        <v>314</v>
      </c>
      <c r="C11" s="363">
        <v>4</v>
      </c>
      <c r="D11" s="257" t="s">
        <v>32</v>
      </c>
      <c r="E11" s="366">
        <v>0</v>
      </c>
      <c r="F11" s="255">
        <f>E11*C11</f>
        <v>0</v>
      </c>
      <c r="G11" s="248">
        <v>300</v>
      </c>
      <c r="H11" s="248">
        <f>SUM(C11*G11)</f>
        <v>1200</v>
      </c>
      <c r="I11" s="252">
        <f t="shared" si="0"/>
        <v>1200</v>
      </c>
      <c r="J11" s="3"/>
      <c r="L11" s="35"/>
      <c r="M11" s="77"/>
      <c r="N11" s="77"/>
    </row>
    <row r="12" spans="1:14" x14ac:dyDescent="0.5">
      <c r="A12" s="259"/>
      <c r="B12" s="365" t="s">
        <v>307</v>
      </c>
      <c r="C12" s="366">
        <v>5.7</v>
      </c>
      <c r="D12" s="257" t="s">
        <v>32</v>
      </c>
      <c r="E12" s="366">
        <v>75</v>
      </c>
      <c r="F12" s="255">
        <f>E12*C12</f>
        <v>427.5</v>
      </c>
      <c r="G12" s="248">
        <v>95</v>
      </c>
      <c r="H12" s="248">
        <f>SUM(C12*G12)</f>
        <v>541.5</v>
      </c>
      <c r="I12" s="252">
        <f t="shared" ref="I12:I14" si="1">SUM(F12+H12)</f>
        <v>969</v>
      </c>
      <c r="J12" s="3"/>
      <c r="L12" s="35"/>
      <c r="M12" s="77"/>
      <c r="N12" s="77"/>
    </row>
    <row r="13" spans="1:14" x14ac:dyDescent="0.5">
      <c r="A13" s="259"/>
      <c r="B13" s="365" t="s">
        <v>308</v>
      </c>
      <c r="C13" s="366">
        <v>5.7</v>
      </c>
      <c r="D13" s="257" t="s">
        <v>32</v>
      </c>
      <c r="E13" s="366">
        <v>284</v>
      </c>
      <c r="F13" s="255">
        <f>E13*C13</f>
        <v>1618.8</v>
      </c>
      <c r="G13" s="248">
        <v>94</v>
      </c>
      <c r="H13" s="248">
        <f>SUM(C13*G13)</f>
        <v>535.80000000000007</v>
      </c>
      <c r="I13" s="252">
        <f t="shared" si="1"/>
        <v>2154.6</v>
      </c>
      <c r="J13" s="3"/>
      <c r="L13" s="35"/>
      <c r="M13" s="77"/>
      <c r="N13" s="77"/>
    </row>
    <row r="14" spans="1:14" x14ac:dyDescent="0.5">
      <c r="A14" s="259"/>
      <c r="B14" s="365" t="s">
        <v>312</v>
      </c>
      <c r="C14" s="366">
        <v>45</v>
      </c>
      <c r="D14" s="257" t="s">
        <v>32</v>
      </c>
      <c r="E14" s="366">
        <v>109</v>
      </c>
      <c r="F14" s="255">
        <f>E14*C14</f>
        <v>4905</v>
      </c>
      <c r="G14" s="248">
        <v>64</v>
      </c>
      <c r="H14" s="248">
        <f>SUM(C14*G14)</f>
        <v>2880</v>
      </c>
      <c r="I14" s="252">
        <f t="shared" si="1"/>
        <v>7785</v>
      </c>
      <c r="J14" s="3"/>
      <c r="L14" s="35"/>
      <c r="M14" s="77"/>
      <c r="N14" s="77"/>
    </row>
    <row r="15" spans="1:14" x14ac:dyDescent="0.5">
      <c r="A15" s="259"/>
      <c r="B15" s="365"/>
      <c r="C15" s="366"/>
      <c r="D15" s="257"/>
      <c r="E15" s="366"/>
      <c r="F15" s="255"/>
      <c r="G15" s="248"/>
      <c r="H15" s="248"/>
      <c r="I15" s="252"/>
      <c r="J15" s="3"/>
      <c r="K15">
        <v>66.849999999999994</v>
      </c>
      <c r="L15" s="35" t="s">
        <v>246</v>
      </c>
      <c r="M15" s="77"/>
      <c r="N15" s="77"/>
    </row>
    <row r="16" spans="1:14" x14ac:dyDescent="0.5">
      <c r="A16" s="367"/>
      <c r="B16" s="368" t="s">
        <v>112</v>
      </c>
      <c r="C16" s="369"/>
      <c r="D16" s="369"/>
      <c r="E16" s="369"/>
      <c r="F16" s="369"/>
      <c r="G16" s="370"/>
      <c r="H16" s="371"/>
      <c r="I16" s="653">
        <f>SUM(I10:I15)</f>
        <v>139777.155</v>
      </c>
      <c r="J16" s="14"/>
      <c r="L16" s="35"/>
      <c r="M16" s="77"/>
      <c r="N16" s="77"/>
    </row>
    <row r="17" spans="1:20" x14ac:dyDescent="0.5">
      <c r="A17" s="373">
        <v>1.2</v>
      </c>
      <c r="B17" s="374" t="s">
        <v>40</v>
      </c>
      <c r="C17" s="375"/>
      <c r="D17" s="375"/>
      <c r="E17" s="375"/>
      <c r="F17" s="375"/>
      <c r="G17" s="244"/>
      <c r="H17" s="376"/>
      <c r="I17" s="377"/>
      <c r="J17" s="4"/>
      <c r="L17" s="35"/>
      <c r="M17" s="77"/>
      <c r="N17" s="77"/>
    </row>
    <row r="18" spans="1:20" x14ac:dyDescent="0.5">
      <c r="A18" s="378"/>
      <c r="B18" s="362" t="s">
        <v>338</v>
      </c>
      <c r="C18" s="251">
        <v>42</v>
      </c>
      <c r="D18" s="250" t="s">
        <v>32</v>
      </c>
      <c r="E18" s="251">
        <v>3115.35</v>
      </c>
      <c r="F18" s="251">
        <f t="shared" ref="F18:F24" si="2">SUM(C18*E18)</f>
        <v>130844.7</v>
      </c>
      <c r="G18" s="364" t="s">
        <v>322</v>
      </c>
      <c r="H18" s="248">
        <f t="shared" ref="H18:H23" si="3">F18*35%</f>
        <v>45795.644999999997</v>
      </c>
      <c r="I18" s="652">
        <f t="shared" ref="I18:I24" si="4">SUM(F18+H18)</f>
        <v>176640.345</v>
      </c>
      <c r="J18" s="248"/>
      <c r="L18" s="35">
        <f>600+587.5</f>
        <v>1187.5</v>
      </c>
      <c r="M18" s="77"/>
      <c r="N18" s="77"/>
    </row>
    <row r="19" spans="1:20" x14ac:dyDescent="0.5">
      <c r="A19" s="378"/>
      <c r="B19" s="252" t="s">
        <v>310</v>
      </c>
      <c r="C19" s="255">
        <v>14</v>
      </c>
      <c r="D19" s="264" t="s">
        <v>33</v>
      </c>
      <c r="E19" s="258">
        <v>234.5</v>
      </c>
      <c r="F19" s="364">
        <f t="shared" ref="F19" si="5">SUM(C19*E19)</f>
        <v>3283</v>
      </c>
      <c r="G19" s="364" t="s">
        <v>322</v>
      </c>
      <c r="H19" s="248">
        <f t="shared" si="3"/>
        <v>1149.05</v>
      </c>
      <c r="I19" s="652">
        <f t="shared" ref="I19" si="6">SUM(F19+H19)</f>
        <v>4432.05</v>
      </c>
      <c r="J19" s="255"/>
      <c r="L19" s="35">
        <f>1187.5/2</f>
        <v>593.75</v>
      </c>
      <c r="M19" s="77"/>
      <c r="N19" s="77"/>
    </row>
    <row r="20" spans="1:20" x14ac:dyDescent="0.5">
      <c r="A20" s="378"/>
      <c r="B20" s="252" t="s">
        <v>339</v>
      </c>
      <c r="C20" s="255">
        <v>18.36</v>
      </c>
      <c r="D20" s="250" t="s">
        <v>32</v>
      </c>
      <c r="E20" s="258">
        <v>3115.35</v>
      </c>
      <c r="F20" s="364">
        <f t="shared" si="2"/>
        <v>57197.825999999994</v>
      </c>
      <c r="G20" s="364" t="s">
        <v>322</v>
      </c>
      <c r="H20" s="248">
        <f t="shared" si="3"/>
        <v>20019.239099999995</v>
      </c>
      <c r="I20" s="645">
        <f t="shared" si="4"/>
        <v>77217.065099999993</v>
      </c>
      <c r="J20" s="255"/>
      <c r="L20" s="35"/>
      <c r="M20" s="77"/>
      <c r="N20" s="77"/>
    </row>
    <row r="21" spans="1:20" x14ac:dyDescent="0.5">
      <c r="A21" s="378"/>
      <c r="B21" s="248" t="s">
        <v>341</v>
      </c>
      <c r="C21" s="251">
        <v>298.2</v>
      </c>
      <c r="D21" s="250" t="s">
        <v>32</v>
      </c>
      <c r="E21" s="251">
        <v>1476.35</v>
      </c>
      <c r="F21" s="251">
        <f t="shared" si="2"/>
        <v>440247.56999999995</v>
      </c>
      <c r="G21" s="364" t="s">
        <v>322</v>
      </c>
      <c r="H21" s="248">
        <f t="shared" si="3"/>
        <v>154086.64949999997</v>
      </c>
      <c r="I21" s="646">
        <f t="shared" si="4"/>
        <v>594334.21949999989</v>
      </c>
      <c r="J21" s="3"/>
      <c r="L21" s="35"/>
      <c r="M21" s="77"/>
      <c r="N21" s="77"/>
    </row>
    <row r="22" spans="1:20" x14ac:dyDescent="0.5">
      <c r="A22" s="259"/>
      <c r="B22" s="248" t="s">
        <v>340</v>
      </c>
      <c r="C22" s="579">
        <v>48.28</v>
      </c>
      <c r="D22" s="264" t="s">
        <v>32</v>
      </c>
      <c r="E22" s="255">
        <v>2325.15</v>
      </c>
      <c r="F22" s="248">
        <f t="shared" si="2"/>
        <v>112258.24200000001</v>
      </c>
      <c r="G22" s="364" t="s">
        <v>322</v>
      </c>
      <c r="H22" s="248">
        <f t="shared" si="3"/>
        <v>39290.384700000002</v>
      </c>
      <c r="I22" s="645">
        <f t="shared" si="4"/>
        <v>151548.62670000002</v>
      </c>
      <c r="J22" s="3"/>
      <c r="K22" s="580"/>
      <c r="L22" s="35"/>
      <c r="M22" s="77">
        <f>SUM(I18:I39)</f>
        <v>1625627.1151999999</v>
      </c>
      <c r="N22" s="77"/>
    </row>
    <row r="23" spans="1:20" x14ac:dyDescent="0.5">
      <c r="A23" s="259"/>
      <c r="B23" s="501" t="s">
        <v>99</v>
      </c>
      <c r="C23" s="255">
        <v>2</v>
      </c>
      <c r="D23" s="503" t="s">
        <v>32</v>
      </c>
      <c r="E23" s="513">
        <v>2906.35</v>
      </c>
      <c r="F23" s="504">
        <f t="shared" ref="F23" si="7">SUM(C23*E23)</f>
        <v>5812.7</v>
      </c>
      <c r="G23" s="364" t="s">
        <v>322</v>
      </c>
      <c r="H23" s="248">
        <f t="shared" si="3"/>
        <v>2034.4449999999997</v>
      </c>
      <c r="I23" s="647">
        <f t="shared" ref="I23" si="8">SUM(F23+H23)</f>
        <v>7847.1449999999995</v>
      </c>
      <c r="J23" s="3"/>
      <c r="L23" s="35"/>
      <c r="M23" s="77"/>
      <c r="N23" s="77"/>
    </row>
    <row r="24" spans="1:20" x14ac:dyDescent="0.5">
      <c r="A24" s="259"/>
      <c r="B24" s="248" t="s">
        <v>323</v>
      </c>
      <c r="C24" s="255">
        <v>59.4</v>
      </c>
      <c r="D24" s="250" t="s">
        <v>32</v>
      </c>
      <c r="E24" s="255">
        <v>1476.35</v>
      </c>
      <c r="F24" s="251">
        <f t="shared" si="2"/>
        <v>87695.189999999988</v>
      </c>
      <c r="G24" s="248" t="s">
        <v>322</v>
      </c>
      <c r="H24" s="248">
        <f>F24*35%</f>
        <v>30693.316499999994</v>
      </c>
      <c r="I24" s="645">
        <f t="shared" si="4"/>
        <v>118388.50649999999</v>
      </c>
      <c r="J24" s="255"/>
      <c r="L24" s="35"/>
      <c r="M24" s="77"/>
      <c r="N24" s="77"/>
    </row>
    <row r="25" spans="1:20" ht="27.75" x14ac:dyDescent="0.65">
      <c r="A25" s="5" t="s">
        <v>0</v>
      </c>
      <c r="B25" s="729" t="s">
        <v>7</v>
      </c>
      <c r="C25" s="729"/>
      <c r="D25" s="729"/>
      <c r="E25" s="729"/>
      <c r="F25" s="729"/>
      <c r="G25" s="729"/>
      <c r="H25" s="729"/>
      <c r="I25" s="729"/>
      <c r="J25" s="5"/>
    </row>
    <row r="26" spans="1:20" s="35" customFormat="1" x14ac:dyDescent="0.5">
      <c r="A26" s="730" t="s">
        <v>247</v>
      </c>
      <c r="B26" s="730"/>
      <c r="C26" s="730"/>
      <c r="D26" s="730"/>
      <c r="E26" s="730"/>
      <c r="F26" s="730"/>
      <c r="G26" s="730"/>
      <c r="H26" s="730"/>
      <c r="I26" s="730"/>
      <c r="J26"/>
    </row>
    <row r="27" spans="1:20" x14ac:dyDescent="0.5">
      <c r="A27" s="730" t="s">
        <v>20</v>
      </c>
      <c r="B27" s="730"/>
      <c r="C27" s="730"/>
      <c r="D27" s="730"/>
      <c r="E27" s="730"/>
      <c r="F27" s="730"/>
      <c r="G27" s="730"/>
      <c r="H27" s="730"/>
      <c r="I27" s="730"/>
    </row>
    <row r="28" spans="1:20" x14ac:dyDescent="0.5">
      <c r="A28" s="730" t="s">
        <v>201</v>
      </c>
      <c r="B28" s="730"/>
      <c r="C28" s="730"/>
      <c r="D28" s="730"/>
      <c r="E28" s="730"/>
      <c r="F28" s="730"/>
      <c r="G28" s="730"/>
      <c r="H28" s="730"/>
      <c r="I28" s="730"/>
    </row>
    <row r="29" spans="1:20" x14ac:dyDescent="0.5">
      <c r="A29" s="731" t="s">
        <v>332</v>
      </c>
      <c r="B29" s="731"/>
      <c r="C29" s="731"/>
      <c r="D29" s="731"/>
      <c r="E29" s="731"/>
      <c r="F29" s="731"/>
      <c r="G29" s="731"/>
      <c r="H29" s="731"/>
      <c r="I29" s="731"/>
      <c r="J29" s="20" t="s">
        <v>232</v>
      </c>
    </row>
    <row r="30" spans="1:20" x14ac:dyDescent="0.5">
      <c r="A30" s="748" t="s">
        <v>14</v>
      </c>
      <c r="B30" s="748" t="s">
        <v>1</v>
      </c>
      <c r="C30" s="748" t="s">
        <v>4</v>
      </c>
      <c r="D30" s="748" t="s">
        <v>2</v>
      </c>
      <c r="E30" s="734" t="s">
        <v>5</v>
      </c>
      <c r="F30" s="736"/>
      <c r="G30" s="734" t="s">
        <v>6</v>
      </c>
      <c r="H30" s="736"/>
      <c r="I30" s="601" t="s">
        <v>18</v>
      </c>
      <c r="J30" s="748" t="s">
        <v>8</v>
      </c>
    </row>
    <row r="31" spans="1:20" x14ac:dyDescent="0.5">
      <c r="A31" s="752"/>
      <c r="B31" s="749"/>
      <c r="C31" s="749"/>
      <c r="D31" s="749"/>
      <c r="E31" s="604" t="s">
        <v>16</v>
      </c>
      <c r="F31" s="604" t="s">
        <v>17</v>
      </c>
      <c r="G31" s="604" t="s">
        <v>16</v>
      </c>
      <c r="H31" s="602" t="s">
        <v>17</v>
      </c>
      <c r="I31" s="604" t="s">
        <v>19</v>
      </c>
      <c r="J31" s="752"/>
    </row>
    <row r="32" spans="1:20" x14ac:dyDescent="0.5">
      <c r="A32" s="631"/>
      <c r="B32" s="630" t="s">
        <v>98</v>
      </c>
      <c r="C32" s="511">
        <v>44.77</v>
      </c>
      <c r="D32" s="508" t="s">
        <v>32</v>
      </c>
      <c r="E32" s="511">
        <v>116.5</v>
      </c>
      <c r="F32" s="634">
        <f t="shared" ref="F32:F34" si="9">SUM(C32*E32)</f>
        <v>5215.7049999999999</v>
      </c>
      <c r="G32" s="501">
        <v>92</v>
      </c>
      <c r="H32" s="635">
        <f t="shared" ref="H32" si="10">+C32*G32</f>
        <v>4118.84</v>
      </c>
      <c r="I32" s="645">
        <f t="shared" ref="I32:I34" si="11">SUM(F32+H32)</f>
        <v>9334.5450000000001</v>
      </c>
      <c r="J32" s="633"/>
      <c r="L32">
        <f>FLOOR((F32+H32),0.01)</f>
        <v>9334.5400000000009</v>
      </c>
      <c r="O32" s="81" t="s">
        <v>203</v>
      </c>
      <c r="P32" s="81" t="s">
        <v>248</v>
      </c>
      <c r="Q32" s="81" t="s">
        <v>204</v>
      </c>
      <c r="R32" s="81" t="s">
        <v>18</v>
      </c>
      <c r="S32" s="330">
        <v>0.1</v>
      </c>
      <c r="T32" s="81" t="s">
        <v>18</v>
      </c>
    </row>
    <row r="33" spans="1:20" x14ac:dyDescent="0.5">
      <c r="A33" s="259"/>
      <c r="B33" s="362" t="s">
        <v>309</v>
      </c>
      <c r="C33" s="258">
        <v>6.48</v>
      </c>
      <c r="D33" s="250" t="s">
        <v>32</v>
      </c>
      <c r="E33" s="258">
        <v>2786.35</v>
      </c>
      <c r="F33" s="251">
        <f t="shared" si="9"/>
        <v>18055.547999999999</v>
      </c>
      <c r="G33" s="364" t="s">
        <v>322</v>
      </c>
      <c r="H33" s="248">
        <f>F33*35%</f>
        <v>6319.4417999999996</v>
      </c>
      <c r="I33" s="645">
        <f t="shared" si="11"/>
        <v>24374.989799999999</v>
      </c>
      <c r="J33" s="3"/>
      <c r="L33" s="2" t="s">
        <v>97</v>
      </c>
      <c r="P33">
        <v>43</v>
      </c>
      <c r="Q33">
        <v>55</v>
      </c>
      <c r="R33" s="217">
        <f t="shared" ref="R33:R37" si="12">SUM(O33:Q33)</f>
        <v>98</v>
      </c>
      <c r="S33">
        <f>R33*10%</f>
        <v>9.8000000000000007</v>
      </c>
      <c r="T33" s="217">
        <f>SUM(R33:S33)</f>
        <v>107.8</v>
      </c>
    </row>
    <row r="34" spans="1:20" x14ac:dyDescent="0.5">
      <c r="A34" s="259"/>
      <c r="B34" s="252" t="s">
        <v>311</v>
      </c>
      <c r="C34" s="590">
        <v>14</v>
      </c>
      <c r="D34" s="264" t="s">
        <v>32</v>
      </c>
      <c r="E34" s="258">
        <v>2906.35</v>
      </c>
      <c r="F34" s="364">
        <f t="shared" si="9"/>
        <v>40688.9</v>
      </c>
      <c r="G34" s="364" t="s">
        <v>322</v>
      </c>
      <c r="H34" s="248">
        <f>F34*35%</f>
        <v>14241.115</v>
      </c>
      <c r="I34" s="645">
        <f t="shared" si="11"/>
        <v>54930.014999999999</v>
      </c>
      <c r="J34" s="3"/>
      <c r="L34" s="2" t="s">
        <v>100</v>
      </c>
      <c r="Q34">
        <v>298.2</v>
      </c>
      <c r="R34" s="217">
        <f t="shared" si="12"/>
        <v>298.2</v>
      </c>
      <c r="S34">
        <f>R34*10%</f>
        <v>29.82</v>
      </c>
      <c r="T34" s="217">
        <f>SUM(R34:S34)</f>
        <v>328.02</v>
      </c>
    </row>
    <row r="35" spans="1:20" x14ac:dyDescent="0.5">
      <c r="A35" s="259"/>
      <c r="B35" s="248" t="s">
        <v>342</v>
      </c>
      <c r="C35" s="590">
        <v>64.62</v>
      </c>
      <c r="D35" s="264" t="s">
        <v>32</v>
      </c>
      <c r="E35" s="255">
        <v>2325.15</v>
      </c>
      <c r="F35" s="248">
        <f t="shared" ref="F35" si="13">SUM(C35*E35)</f>
        <v>150251.19300000003</v>
      </c>
      <c r="G35" s="364" t="s">
        <v>322</v>
      </c>
      <c r="H35" s="248">
        <f>F35*35%</f>
        <v>52587.917550000006</v>
      </c>
      <c r="I35" s="652">
        <f t="shared" ref="I35" si="14">SUM(F35+H35)</f>
        <v>202839.11055000004</v>
      </c>
      <c r="J35" s="3"/>
      <c r="L35" s="2" t="s">
        <v>98</v>
      </c>
      <c r="R35" s="217">
        <f t="shared" si="12"/>
        <v>0</v>
      </c>
      <c r="S35">
        <f t="shared" ref="S35:S38" si="15">R35*10%</f>
        <v>0</v>
      </c>
      <c r="T35" s="217">
        <f t="shared" ref="T35:T38" si="16">SUM(R35:S35)</f>
        <v>0</v>
      </c>
    </row>
    <row r="36" spans="1:20" x14ac:dyDescent="0.5">
      <c r="A36" s="259"/>
      <c r="B36" s="584" t="s">
        <v>312</v>
      </c>
      <c r="C36" s="585">
        <v>404.62</v>
      </c>
      <c r="D36" s="586" t="s">
        <v>32</v>
      </c>
      <c r="E36" s="587">
        <v>109</v>
      </c>
      <c r="F36" s="511">
        <f>E36*C36</f>
        <v>44103.58</v>
      </c>
      <c r="G36" s="501">
        <v>64</v>
      </c>
      <c r="H36" s="248">
        <f>SUM(C36*G36)</f>
        <v>25895.68</v>
      </c>
      <c r="I36" s="648">
        <f t="shared" ref="I36:I37" si="17">SUM(F36+H36)</f>
        <v>69999.260000000009</v>
      </c>
      <c r="J36" s="3"/>
      <c r="L36" s="2" t="s">
        <v>202</v>
      </c>
      <c r="R36" s="217">
        <v>2.2000000000000002</v>
      </c>
      <c r="S36">
        <f t="shared" si="15"/>
        <v>0.22000000000000003</v>
      </c>
      <c r="T36" s="217">
        <f t="shared" si="16"/>
        <v>2.4200000000000004</v>
      </c>
    </row>
    <row r="37" spans="1:20" x14ac:dyDescent="0.5">
      <c r="A37" s="259"/>
      <c r="B37" s="584" t="s">
        <v>326</v>
      </c>
      <c r="C37" s="585">
        <v>25.38</v>
      </c>
      <c r="D37" s="586" t="s">
        <v>32</v>
      </c>
      <c r="E37" s="587">
        <v>3115.35</v>
      </c>
      <c r="F37" s="511">
        <f t="shared" ref="F37" si="18">E37*C37</f>
        <v>79067.582999999999</v>
      </c>
      <c r="G37" s="364" t="s">
        <v>322</v>
      </c>
      <c r="H37" s="248">
        <f>F37*35%</f>
        <v>27673.654049999997</v>
      </c>
      <c r="I37" s="654">
        <f t="shared" si="17"/>
        <v>106741.23705</v>
      </c>
      <c r="J37" s="3"/>
      <c r="L37" s="47" t="s">
        <v>99</v>
      </c>
      <c r="Q37">
        <v>2</v>
      </c>
      <c r="R37" s="217">
        <f t="shared" si="12"/>
        <v>2</v>
      </c>
      <c r="S37">
        <f t="shared" si="15"/>
        <v>0.2</v>
      </c>
      <c r="T37" s="217">
        <f t="shared" si="16"/>
        <v>2.2000000000000002</v>
      </c>
    </row>
    <row r="38" spans="1:20" x14ac:dyDescent="0.5">
      <c r="A38" s="259"/>
      <c r="B38" s="584" t="s">
        <v>343</v>
      </c>
      <c r="C38" s="589">
        <v>54</v>
      </c>
      <c r="D38" s="257" t="s">
        <v>313</v>
      </c>
      <c r="E38" s="366"/>
      <c r="F38" s="511">
        <f t="shared" ref="F38" si="19">E38*C38</f>
        <v>0</v>
      </c>
      <c r="G38" s="248">
        <v>500</v>
      </c>
      <c r="H38" s="248">
        <f t="shared" ref="H38" si="20">SUM(C38*G38)</f>
        <v>27000</v>
      </c>
      <c r="I38" s="654">
        <f t="shared" ref="I38" si="21">SUM(F38+H38)</f>
        <v>27000</v>
      </c>
      <c r="J38" s="3"/>
      <c r="L38" s="72" t="s">
        <v>253</v>
      </c>
      <c r="O38">
        <v>22.72</v>
      </c>
      <c r="P38">
        <v>31.9</v>
      </c>
      <c r="Q38">
        <v>49.7</v>
      </c>
      <c r="R38" s="217">
        <f>SUM(O38:Q38)</f>
        <v>104.32</v>
      </c>
      <c r="S38">
        <f t="shared" si="15"/>
        <v>10.432</v>
      </c>
      <c r="T38" s="217">
        <f t="shared" si="16"/>
        <v>114.752</v>
      </c>
    </row>
    <row r="39" spans="1:20" x14ac:dyDescent="0.5">
      <c r="A39" s="259"/>
      <c r="B39" s="584"/>
      <c r="C39" s="589"/>
      <c r="D39" s="257"/>
      <c r="E39" s="366"/>
      <c r="F39" s="511"/>
      <c r="G39" s="248"/>
      <c r="H39" s="248"/>
      <c r="I39" s="270"/>
      <c r="J39" s="3"/>
      <c r="L39" s="72" t="s">
        <v>249</v>
      </c>
      <c r="Q39">
        <v>14</v>
      </c>
      <c r="R39" s="217">
        <f>SUM(O39:Q39)</f>
        <v>14</v>
      </c>
      <c r="S39">
        <f t="shared" ref="S39" si="22">R39*10%</f>
        <v>1.4000000000000001</v>
      </c>
      <c r="T39" s="217">
        <f t="shared" ref="T39" si="23">SUM(R39:S39)</f>
        <v>15.4</v>
      </c>
    </row>
    <row r="40" spans="1:20" x14ac:dyDescent="0.5">
      <c r="A40" s="367"/>
      <c r="B40" s="368" t="s">
        <v>41</v>
      </c>
      <c r="C40" s="369"/>
      <c r="D40" s="369"/>
      <c r="E40" s="369"/>
      <c r="F40" s="369"/>
      <c r="G40" s="370"/>
      <c r="H40" s="371"/>
      <c r="I40" s="643">
        <f>SUM(I18:I24,I32:I38)+0.03</f>
        <v>1625627.1451999999</v>
      </c>
      <c r="J40" s="104"/>
      <c r="L40" s="81" t="s">
        <v>18</v>
      </c>
      <c r="R40">
        <f>SUM(R33:R39)</f>
        <v>518.72</v>
      </c>
      <c r="T40">
        <f>SUM(T33:T39)</f>
        <v>570.59199999999998</v>
      </c>
    </row>
    <row r="41" spans="1:20" x14ac:dyDescent="0.5">
      <c r="A41" s="241">
        <v>1.3</v>
      </c>
      <c r="B41" s="379" t="s">
        <v>113</v>
      </c>
      <c r="C41" s="380"/>
      <c r="D41" s="381"/>
      <c r="E41" s="380"/>
      <c r="F41" s="380"/>
      <c r="G41" s="245"/>
      <c r="H41" s="245"/>
      <c r="I41" s="245"/>
      <c r="J41" s="4"/>
    </row>
    <row r="42" spans="1:20" x14ac:dyDescent="0.5">
      <c r="A42" s="259"/>
      <c r="B42" s="248" t="s">
        <v>139</v>
      </c>
      <c r="C42" s="256">
        <v>1</v>
      </c>
      <c r="D42" s="257" t="s">
        <v>69</v>
      </c>
      <c r="E42" s="248">
        <v>59333.33</v>
      </c>
      <c r="F42" s="378" t="s">
        <v>126</v>
      </c>
      <c r="G42" s="378" t="s">
        <v>126</v>
      </c>
      <c r="H42" s="361" t="s">
        <v>126</v>
      </c>
      <c r="I42" s="248">
        <v>59333.33</v>
      </c>
      <c r="J42" s="214"/>
    </row>
    <row r="43" spans="1:20" x14ac:dyDescent="0.5">
      <c r="A43" s="610"/>
      <c r="B43" s="252" t="s">
        <v>140</v>
      </c>
      <c r="C43" s="514">
        <v>1</v>
      </c>
      <c r="D43" s="515" t="s">
        <v>69</v>
      </c>
      <c r="E43" s="252">
        <v>38833.33</v>
      </c>
      <c r="F43" s="581" t="s">
        <v>126</v>
      </c>
      <c r="G43" s="581" t="s">
        <v>126</v>
      </c>
      <c r="H43" s="361" t="s">
        <v>126</v>
      </c>
      <c r="I43" s="252">
        <v>38833.33</v>
      </c>
      <c r="J43" s="611"/>
    </row>
    <row r="44" spans="1:20" x14ac:dyDescent="0.5">
      <c r="A44" s="367"/>
      <c r="B44" s="368" t="s">
        <v>114</v>
      </c>
      <c r="C44" s="369"/>
      <c r="D44" s="369"/>
      <c r="E44" s="369"/>
      <c r="F44" s="369"/>
      <c r="G44" s="370"/>
      <c r="H44" s="371"/>
      <c r="I44" s="372">
        <f>SUM(I42:I43)</f>
        <v>98166.66</v>
      </c>
      <c r="J44" s="104"/>
    </row>
    <row r="45" spans="1:20" x14ac:dyDescent="0.5">
      <c r="A45" s="360">
        <v>1.4</v>
      </c>
      <c r="B45" s="384" t="s">
        <v>324</v>
      </c>
      <c r="C45" s="385"/>
      <c r="D45" s="385"/>
      <c r="E45" s="385"/>
      <c r="F45" s="360"/>
      <c r="G45" s="385"/>
      <c r="H45" s="360"/>
      <c r="I45" s="360"/>
      <c r="J45" s="4"/>
    </row>
    <row r="46" spans="1:20" x14ac:dyDescent="0.5">
      <c r="A46" s="386"/>
      <c r="B46" s="387" t="s">
        <v>192</v>
      </c>
      <c r="C46" s="388">
        <v>1</v>
      </c>
      <c r="D46" s="389" t="s">
        <v>69</v>
      </c>
      <c r="E46" s="388">
        <v>8190</v>
      </c>
      <c r="F46" s="390">
        <f t="shared" ref="F46" si="24">+C46*E46</f>
        <v>8190</v>
      </c>
      <c r="G46" s="388">
        <v>8000</v>
      </c>
      <c r="H46" s="390">
        <f t="shared" ref="H46" si="25">+C46*G46</f>
        <v>8000</v>
      </c>
      <c r="I46" s="391">
        <f t="shared" ref="I46" si="26">F46+H46</f>
        <v>16190</v>
      </c>
      <c r="J46" s="214"/>
    </row>
    <row r="47" spans="1:20" x14ac:dyDescent="0.5">
      <c r="A47" s="386"/>
      <c r="B47" s="387" t="s">
        <v>193</v>
      </c>
      <c r="C47" s="388">
        <v>1</v>
      </c>
      <c r="D47" s="389" t="s">
        <v>42</v>
      </c>
      <c r="E47" s="388"/>
      <c r="F47" s="390">
        <f>+C47*E47</f>
        <v>0</v>
      </c>
      <c r="G47" s="388">
        <v>18000</v>
      </c>
      <c r="H47" s="390">
        <f t="shared" ref="H47" si="27">+C47*G47</f>
        <v>18000</v>
      </c>
      <c r="I47" s="391">
        <f>F47+H47</f>
        <v>18000</v>
      </c>
      <c r="J47" s="611"/>
    </row>
    <row r="48" spans="1:20" x14ac:dyDescent="0.5">
      <c r="A48" s="367"/>
      <c r="B48" s="368" t="s">
        <v>190</v>
      </c>
      <c r="C48" s="369"/>
      <c r="D48" s="369"/>
      <c r="E48" s="369"/>
      <c r="F48" s="369"/>
      <c r="G48" s="370"/>
      <c r="H48" s="371"/>
      <c r="I48" s="372">
        <f>SUM(I46:I47)</f>
        <v>34190</v>
      </c>
      <c r="J48" s="104"/>
    </row>
    <row r="49" spans="1:10" ht="27.75" x14ac:dyDescent="0.65">
      <c r="A49" s="5" t="s">
        <v>0</v>
      </c>
      <c r="B49" s="729" t="s">
        <v>7</v>
      </c>
      <c r="C49" s="729"/>
      <c r="D49" s="729"/>
      <c r="E49" s="729"/>
      <c r="F49" s="729"/>
      <c r="G49" s="729"/>
      <c r="H49" s="729"/>
      <c r="I49" s="729"/>
      <c r="J49" s="5"/>
    </row>
    <row r="50" spans="1:10" x14ac:dyDescent="0.5">
      <c r="A50" s="730" t="s">
        <v>247</v>
      </c>
      <c r="B50" s="730"/>
      <c r="C50" s="730"/>
      <c r="D50" s="730"/>
      <c r="E50" s="730"/>
      <c r="F50" s="730"/>
      <c r="G50" s="730"/>
      <c r="H50" s="730"/>
      <c r="I50" s="730"/>
    </row>
    <row r="51" spans="1:10" x14ac:dyDescent="0.5">
      <c r="A51" s="730" t="s">
        <v>20</v>
      </c>
      <c r="B51" s="730"/>
      <c r="C51" s="730"/>
      <c r="D51" s="730"/>
      <c r="E51" s="730"/>
      <c r="F51" s="730"/>
      <c r="G51" s="730"/>
      <c r="H51" s="730"/>
      <c r="I51" s="730"/>
    </row>
    <row r="52" spans="1:10" x14ac:dyDescent="0.5">
      <c r="A52" s="730" t="s">
        <v>201</v>
      </c>
      <c r="B52" s="730"/>
      <c r="C52" s="730"/>
      <c r="D52" s="730"/>
      <c r="E52" s="730"/>
      <c r="F52" s="730"/>
      <c r="G52" s="730"/>
      <c r="H52" s="730"/>
      <c r="I52" s="730"/>
    </row>
    <row r="53" spans="1:10" x14ac:dyDescent="0.5">
      <c r="A53" s="731" t="s">
        <v>332</v>
      </c>
      <c r="B53" s="731"/>
      <c r="C53" s="731"/>
      <c r="D53" s="731"/>
      <c r="E53" s="731"/>
      <c r="F53" s="731"/>
      <c r="G53" s="731"/>
      <c r="H53" s="731"/>
      <c r="I53" s="731"/>
      <c r="J53" s="20" t="s">
        <v>233</v>
      </c>
    </row>
    <row r="54" spans="1:10" x14ac:dyDescent="0.5">
      <c r="A54" s="748" t="s">
        <v>14</v>
      </c>
      <c r="B54" s="748" t="s">
        <v>1</v>
      </c>
      <c r="C54" s="748" t="s">
        <v>4</v>
      </c>
      <c r="D54" s="748" t="s">
        <v>2</v>
      </c>
      <c r="E54" s="734" t="s">
        <v>5</v>
      </c>
      <c r="F54" s="736"/>
      <c r="G54" s="734" t="s">
        <v>6</v>
      </c>
      <c r="H54" s="736"/>
      <c r="I54" s="601" t="s">
        <v>18</v>
      </c>
      <c r="J54" s="748" t="s">
        <v>8</v>
      </c>
    </row>
    <row r="55" spans="1:10" x14ac:dyDescent="0.5">
      <c r="A55" s="752"/>
      <c r="B55" s="749"/>
      <c r="C55" s="752"/>
      <c r="D55" s="752"/>
      <c r="E55" s="602" t="s">
        <v>16</v>
      </c>
      <c r="F55" s="602" t="s">
        <v>17</v>
      </c>
      <c r="G55" s="604" t="s">
        <v>16</v>
      </c>
      <c r="H55" s="604" t="s">
        <v>17</v>
      </c>
      <c r="I55" s="601" t="s">
        <v>19</v>
      </c>
      <c r="J55" s="752"/>
    </row>
    <row r="56" spans="1:10" x14ac:dyDescent="0.5">
      <c r="A56" s="603">
        <v>1.5</v>
      </c>
      <c r="B56" s="621" t="s">
        <v>325</v>
      </c>
      <c r="C56" s="624"/>
      <c r="D56" s="625"/>
      <c r="E56" s="626"/>
      <c r="F56" s="627"/>
      <c r="G56" s="622"/>
      <c r="H56" s="623"/>
      <c r="I56" s="624"/>
      <c r="J56" s="4"/>
    </row>
    <row r="57" spans="1:10" x14ac:dyDescent="0.5">
      <c r="A57" s="397"/>
      <c r="B57" s="393" t="s">
        <v>252</v>
      </c>
      <c r="C57" s="394">
        <v>2</v>
      </c>
      <c r="D57" s="395" t="s">
        <v>69</v>
      </c>
      <c r="E57" s="396">
        <v>2850</v>
      </c>
      <c r="F57" s="390">
        <f>C57*E57</f>
        <v>5700</v>
      </c>
      <c r="G57" s="396">
        <v>3000</v>
      </c>
      <c r="H57" s="390">
        <f>+C57*G57</f>
        <v>6000</v>
      </c>
      <c r="I57" s="391">
        <f t="shared" ref="I57" si="28">F57+H57</f>
        <v>11700</v>
      </c>
      <c r="J57" s="214"/>
    </row>
    <row r="58" spans="1:10" x14ac:dyDescent="0.5">
      <c r="A58" s="397"/>
      <c r="B58" s="393" t="s">
        <v>250</v>
      </c>
      <c r="C58" s="394">
        <v>2</v>
      </c>
      <c r="D58" s="395" t="s">
        <v>69</v>
      </c>
      <c r="E58" s="396"/>
      <c r="F58" s="390"/>
      <c r="G58" s="396">
        <v>7000</v>
      </c>
      <c r="H58" s="390">
        <f>+C58*G58</f>
        <v>14000</v>
      </c>
      <c r="I58" s="391">
        <f t="shared" ref="I58" si="29">F58+H58</f>
        <v>14000</v>
      </c>
      <c r="J58" s="611"/>
    </row>
    <row r="59" spans="1:10" x14ac:dyDescent="0.5">
      <c r="A59" s="397"/>
      <c r="B59" s="393"/>
      <c r="C59" s="394"/>
      <c r="D59" s="395"/>
      <c r="E59" s="396"/>
      <c r="F59" s="390"/>
      <c r="G59" s="396"/>
      <c r="H59" s="390"/>
      <c r="I59" s="391"/>
      <c r="J59" s="215"/>
    </row>
    <row r="60" spans="1:10" x14ac:dyDescent="0.5">
      <c r="A60" s="367"/>
      <c r="B60" s="368" t="s">
        <v>319</v>
      </c>
      <c r="C60" s="369"/>
      <c r="D60" s="369"/>
      <c r="E60" s="369"/>
      <c r="F60" s="369"/>
      <c r="G60" s="370"/>
      <c r="H60" s="371"/>
      <c r="I60" s="372">
        <f>SUM(I57:I59)</f>
        <v>25700</v>
      </c>
      <c r="J60" s="104"/>
    </row>
    <row r="61" spans="1:10" x14ac:dyDescent="0.5">
      <c r="A61" s="360">
        <v>1.6</v>
      </c>
      <c r="B61" s="398" t="s">
        <v>189</v>
      </c>
      <c r="C61" s="399"/>
      <c r="D61" s="400"/>
      <c r="E61" s="401"/>
      <c r="F61" s="402"/>
      <c r="G61" s="401"/>
      <c r="H61" s="402"/>
      <c r="I61" s="403"/>
      <c r="J61" s="318"/>
    </row>
    <row r="62" spans="1:10" x14ac:dyDescent="0.5">
      <c r="A62" s="406"/>
      <c r="B62" s="393" t="s">
        <v>191</v>
      </c>
      <c r="C62" s="404">
        <v>61</v>
      </c>
      <c r="D62" s="389" t="s">
        <v>187</v>
      </c>
      <c r="E62" s="404"/>
      <c r="F62" s="388">
        <f>C62*E62</f>
        <v>0</v>
      </c>
      <c r="G62" s="405">
        <v>50</v>
      </c>
      <c r="H62" s="405">
        <f t="shared" ref="H62" si="30">G62*C62</f>
        <v>3050</v>
      </c>
      <c r="I62" s="405">
        <f t="shared" ref="I62" si="31">C62*G62</f>
        <v>3050</v>
      </c>
      <c r="J62" s="319"/>
    </row>
    <row r="63" spans="1:10" x14ac:dyDescent="0.5">
      <c r="A63" s="406"/>
      <c r="B63" s="393" t="s">
        <v>317</v>
      </c>
      <c r="C63" s="404">
        <v>61</v>
      </c>
      <c r="D63" s="389" t="s">
        <v>187</v>
      </c>
      <c r="E63" s="404">
        <v>2325.15</v>
      </c>
      <c r="F63" s="388">
        <f>C63*E63</f>
        <v>141834.15</v>
      </c>
      <c r="G63" s="405"/>
      <c r="H63" s="405"/>
      <c r="I63" s="405">
        <f>F63+H63</f>
        <v>141834.15</v>
      </c>
      <c r="J63" s="319"/>
    </row>
    <row r="64" spans="1:10" x14ac:dyDescent="0.5">
      <c r="A64" s="406"/>
      <c r="B64" s="393" t="s">
        <v>315</v>
      </c>
      <c r="C64" s="407">
        <v>1</v>
      </c>
      <c r="D64" s="408" t="s">
        <v>42</v>
      </c>
      <c r="E64" s="405"/>
      <c r="F64" s="405"/>
      <c r="G64" s="392">
        <f>SUM(I63)*35%</f>
        <v>49641.952499999992</v>
      </c>
      <c r="H64" s="405">
        <f t="shared" ref="H64" si="32">G64*C64</f>
        <v>49641.952499999992</v>
      </c>
      <c r="I64" s="405">
        <f t="shared" ref="I64" si="33">C64*G64</f>
        <v>49641.952499999992</v>
      </c>
      <c r="J64" s="319"/>
    </row>
    <row r="65" spans="1:12" x14ac:dyDescent="0.5">
      <c r="A65" s="406"/>
      <c r="B65" s="393"/>
      <c r="C65" s="407"/>
      <c r="D65" s="408"/>
      <c r="E65" s="405"/>
      <c r="F65" s="405"/>
      <c r="G65" s="392"/>
      <c r="H65" s="405"/>
      <c r="I65" s="405"/>
      <c r="J65" s="320"/>
    </row>
    <row r="66" spans="1:12" x14ac:dyDescent="0.5">
      <c r="A66" s="367"/>
      <c r="B66" s="368" t="s">
        <v>189</v>
      </c>
      <c r="C66" s="369"/>
      <c r="D66" s="369"/>
      <c r="E66" s="369"/>
      <c r="F66" s="369"/>
      <c r="G66" s="370"/>
      <c r="H66" s="371"/>
      <c r="I66" s="372">
        <f>SUM(I62:I65)</f>
        <v>194526.10249999998</v>
      </c>
      <c r="J66" s="14"/>
    </row>
    <row r="67" spans="1:12" x14ac:dyDescent="0.5">
      <c r="A67" s="409">
        <v>1.7</v>
      </c>
      <c r="B67" s="410" t="s">
        <v>93</v>
      </c>
      <c r="C67" s="411"/>
      <c r="D67" s="411"/>
      <c r="E67" s="411"/>
      <c r="F67" s="411"/>
      <c r="G67" s="411"/>
      <c r="H67" s="411"/>
      <c r="I67" s="411"/>
      <c r="J67" s="3"/>
    </row>
    <row r="68" spans="1:12" x14ac:dyDescent="0.5">
      <c r="A68" s="247"/>
      <c r="B68" s="365" t="s">
        <v>327</v>
      </c>
      <c r="C68" s="278">
        <v>1</v>
      </c>
      <c r="D68" s="264" t="s">
        <v>42</v>
      </c>
      <c r="E68" s="264" t="s">
        <v>126</v>
      </c>
      <c r="F68" s="264" t="s">
        <v>126</v>
      </c>
      <c r="G68" s="264" t="s">
        <v>126</v>
      </c>
      <c r="H68" s="264" t="s">
        <v>126</v>
      </c>
      <c r="I68" s="248">
        <f>107180*60%</f>
        <v>64308</v>
      </c>
      <c r="J68" s="3"/>
      <c r="L68" s="65"/>
    </row>
    <row r="69" spans="1:12" x14ac:dyDescent="0.5">
      <c r="A69" s="259"/>
      <c r="B69" s="365" t="s">
        <v>88</v>
      </c>
      <c r="C69" s="278">
        <v>1</v>
      </c>
      <c r="D69" s="264" t="s">
        <v>69</v>
      </c>
      <c r="E69" s="264" t="s">
        <v>126</v>
      </c>
      <c r="F69" s="264" t="s">
        <v>126</v>
      </c>
      <c r="G69" s="264" t="s">
        <v>126</v>
      </c>
      <c r="H69" s="264" t="s">
        <v>126</v>
      </c>
      <c r="I69" s="248">
        <v>26662</v>
      </c>
      <c r="J69" s="3"/>
    </row>
    <row r="70" spans="1:12" x14ac:dyDescent="0.5">
      <c r="A70" s="259"/>
      <c r="B70" s="365" t="s">
        <v>344</v>
      </c>
      <c r="C70" s="278">
        <v>1</v>
      </c>
      <c r="D70" s="264" t="s">
        <v>89</v>
      </c>
      <c r="E70" s="366">
        <v>0</v>
      </c>
      <c r="F70" s="366">
        <v>0</v>
      </c>
      <c r="G70" s="248">
        <f>36100*30%</f>
        <v>10830</v>
      </c>
      <c r="H70" s="248">
        <f>SUM(C70*G70)</f>
        <v>10830</v>
      </c>
      <c r="I70" s="248">
        <f>+F70+H70</f>
        <v>10830</v>
      </c>
      <c r="J70" s="335"/>
    </row>
    <row r="71" spans="1:12" x14ac:dyDescent="0.5">
      <c r="A71" s="612"/>
      <c r="B71" s="613"/>
      <c r="C71" s="614"/>
      <c r="D71" s="615"/>
      <c r="E71" s="616"/>
      <c r="F71" s="616"/>
      <c r="G71" s="617"/>
      <c r="H71" s="588"/>
      <c r="I71" s="588"/>
      <c r="J71" s="618"/>
      <c r="K71" s="50"/>
    </row>
    <row r="72" spans="1:12" x14ac:dyDescent="0.5">
      <c r="A72" s="367"/>
      <c r="B72" s="368" t="s">
        <v>318</v>
      </c>
      <c r="C72" s="369"/>
      <c r="D72" s="369"/>
      <c r="E72" s="369"/>
      <c r="F72" s="369"/>
      <c r="G72" s="370"/>
      <c r="H72" s="371"/>
      <c r="I72" s="372">
        <f>SUM(I68:I70)</f>
        <v>101800</v>
      </c>
      <c r="J72" s="14"/>
      <c r="K72" s="50"/>
    </row>
    <row r="73" spans="1:12" ht="27.75" x14ac:dyDescent="0.65">
      <c r="A73" s="5" t="s">
        <v>0</v>
      </c>
      <c r="B73" s="729" t="s">
        <v>7</v>
      </c>
      <c r="C73" s="729"/>
      <c r="D73" s="729"/>
      <c r="E73" s="729"/>
      <c r="F73" s="729"/>
      <c r="G73" s="729"/>
      <c r="H73" s="729"/>
      <c r="I73" s="729"/>
      <c r="J73" s="5"/>
    </row>
    <row r="74" spans="1:12" x14ac:dyDescent="0.5">
      <c r="A74" s="730" t="s">
        <v>247</v>
      </c>
      <c r="B74" s="730"/>
      <c r="C74" s="730"/>
      <c r="D74" s="730"/>
      <c r="E74" s="730"/>
      <c r="F74" s="730"/>
      <c r="G74" s="730"/>
      <c r="H74" s="730"/>
      <c r="I74" s="730"/>
    </row>
    <row r="75" spans="1:12" x14ac:dyDescent="0.5">
      <c r="A75" s="730" t="s">
        <v>20</v>
      </c>
      <c r="B75" s="730"/>
      <c r="C75" s="730"/>
      <c r="D75" s="730"/>
      <c r="E75" s="730"/>
      <c r="F75" s="730"/>
      <c r="G75" s="730"/>
      <c r="H75" s="730"/>
      <c r="I75" s="730"/>
    </row>
    <row r="76" spans="1:12" x14ac:dyDescent="0.5">
      <c r="A76" s="730" t="s">
        <v>201</v>
      </c>
      <c r="B76" s="730"/>
      <c r="C76" s="730"/>
      <c r="D76" s="730"/>
      <c r="E76" s="730"/>
      <c r="F76" s="730"/>
      <c r="G76" s="730"/>
      <c r="H76" s="730"/>
      <c r="I76" s="730"/>
    </row>
    <row r="77" spans="1:12" x14ac:dyDescent="0.5">
      <c r="A77" s="731" t="s">
        <v>332</v>
      </c>
      <c r="B77" s="731"/>
      <c r="C77" s="731"/>
      <c r="D77" s="731"/>
      <c r="E77" s="731"/>
      <c r="F77" s="731"/>
      <c r="G77" s="731"/>
      <c r="H77" s="731"/>
      <c r="I77" s="731"/>
      <c r="J77" s="20" t="s">
        <v>234</v>
      </c>
      <c r="L77" s="620"/>
    </row>
    <row r="78" spans="1:12" x14ac:dyDescent="0.5">
      <c r="A78" s="748" t="s">
        <v>14</v>
      </c>
      <c r="B78" s="748" t="s">
        <v>1</v>
      </c>
      <c r="C78" s="748" t="s">
        <v>4</v>
      </c>
      <c r="D78" s="748" t="s">
        <v>2</v>
      </c>
      <c r="E78" s="734" t="s">
        <v>5</v>
      </c>
      <c r="F78" s="736"/>
      <c r="G78" s="734" t="s">
        <v>6</v>
      </c>
      <c r="H78" s="736"/>
      <c r="I78" s="601" t="s">
        <v>18</v>
      </c>
      <c r="J78" s="748" t="s">
        <v>8</v>
      </c>
    </row>
    <row r="79" spans="1:12" x14ac:dyDescent="0.5">
      <c r="A79" s="752"/>
      <c r="B79" s="749"/>
      <c r="C79" s="752"/>
      <c r="D79" s="752"/>
      <c r="E79" s="604" t="s">
        <v>16</v>
      </c>
      <c r="F79" s="602" t="s">
        <v>17</v>
      </c>
      <c r="G79" s="602" t="s">
        <v>16</v>
      </c>
      <c r="H79" s="602" t="s">
        <v>17</v>
      </c>
      <c r="I79" s="604" t="s">
        <v>19</v>
      </c>
      <c r="J79" s="749"/>
    </row>
    <row r="80" spans="1:12" x14ac:dyDescent="0.5">
      <c r="A80" s="241">
        <v>1.8</v>
      </c>
      <c r="B80" s="632" t="s">
        <v>115</v>
      </c>
      <c r="C80" s="628"/>
      <c r="D80" s="629"/>
      <c r="E80" s="587"/>
      <c r="F80" s="487"/>
      <c r="G80" s="245"/>
      <c r="H80" s="245"/>
      <c r="I80" s="248"/>
      <c r="J80" s="37"/>
    </row>
    <row r="81" spans="1:10" x14ac:dyDescent="0.5">
      <c r="A81" s="247"/>
      <c r="B81" s="365" t="s">
        <v>254</v>
      </c>
      <c r="C81" s="366">
        <v>57</v>
      </c>
      <c r="D81" s="264" t="s">
        <v>32</v>
      </c>
      <c r="E81" s="366"/>
      <c r="F81" s="412">
        <f>+C81*E81</f>
        <v>0</v>
      </c>
      <c r="G81" s="248">
        <v>35</v>
      </c>
      <c r="H81" s="413">
        <f>+C81*G81</f>
        <v>1995</v>
      </c>
      <c r="I81" s="362">
        <f>+F81+H81</f>
        <v>1995</v>
      </c>
      <c r="J81" s="37"/>
    </row>
    <row r="82" spans="1:10" x14ac:dyDescent="0.5">
      <c r="A82" s="247"/>
      <c r="B82" s="365" t="s">
        <v>316</v>
      </c>
      <c r="C82" s="366">
        <v>57</v>
      </c>
      <c r="D82" s="264" t="s">
        <v>32</v>
      </c>
      <c r="E82" s="366">
        <v>58</v>
      </c>
      <c r="F82" s="412">
        <f>+C82*E82</f>
        <v>3306</v>
      </c>
      <c r="G82" s="248">
        <v>35</v>
      </c>
      <c r="H82" s="413">
        <f>+C82*G82</f>
        <v>1995</v>
      </c>
      <c r="I82" s="362">
        <f>+F82+H82</f>
        <v>5301</v>
      </c>
      <c r="J82" s="37"/>
    </row>
    <row r="83" spans="1:10" x14ac:dyDescent="0.5">
      <c r="A83" s="386"/>
      <c r="B83" s="387" t="s">
        <v>188</v>
      </c>
      <c r="C83" s="388">
        <v>4.72</v>
      </c>
      <c r="D83" s="264" t="s">
        <v>32</v>
      </c>
      <c r="E83" s="388">
        <v>86.54</v>
      </c>
      <c r="F83" s="644">
        <f>ROUNDDOWN(C83*E83, 2)</f>
        <v>408.46</v>
      </c>
      <c r="G83" s="388">
        <v>34</v>
      </c>
      <c r="H83" s="390">
        <f t="shared" ref="H83" si="34">+C83*G83</f>
        <v>160.47999999999999</v>
      </c>
      <c r="I83" s="362">
        <f>+F83+H83</f>
        <v>568.93999999999994</v>
      </c>
      <c r="J83" s="317"/>
    </row>
    <row r="84" spans="1:10" x14ac:dyDescent="0.5">
      <c r="A84" s="386"/>
      <c r="B84" s="365" t="s">
        <v>345</v>
      </c>
      <c r="C84" s="366">
        <v>163.49</v>
      </c>
      <c r="D84" s="264" t="s">
        <v>32</v>
      </c>
      <c r="E84" s="366">
        <v>86.54</v>
      </c>
      <c r="F84" s="412">
        <f>+C84*E84</f>
        <v>14148.424600000002</v>
      </c>
      <c r="G84" s="248">
        <v>34</v>
      </c>
      <c r="H84" s="413">
        <f>+C84*G84</f>
        <v>5558.66</v>
      </c>
      <c r="I84" s="362">
        <f>+F84+H84</f>
        <v>19707.084600000002</v>
      </c>
      <c r="J84" s="3"/>
    </row>
    <row r="85" spans="1:10" x14ac:dyDescent="0.5">
      <c r="A85" s="259"/>
      <c r="B85" s="365"/>
      <c r="C85" s="366"/>
      <c r="D85" s="264"/>
      <c r="E85" s="366"/>
      <c r="F85" s="412"/>
      <c r="G85" s="248"/>
      <c r="H85" s="413"/>
      <c r="I85" s="362"/>
      <c r="J85" s="3"/>
    </row>
    <row r="86" spans="1:10" x14ac:dyDescent="0.5">
      <c r="A86" s="367"/>
      <c r="B86" s="368" t="s">
        <v>116</v>
      </c>
      <c r="C86" s="369"/>
      <c r="D86" s="369"/>
      <c r="E86" s="369"/>
      <c r="F86" s="369"/>
      <c r="G86" s="370"/>
      <c r="H86" s="371"/>
      <c r="I86" s="372">
        <f>SUM(I81:I85)</f>
        <v>27572.024600000001</v>
      </c>
      <c r="J86" s="14"/>
    </row>
    <row r="87" spans="1:10" x14ac:dyDescent="0.5">
      <c r="A87" s="22">
        <v>1.9</v>
      </c>
      <c r="B87" s="23" t="s">
        <v>195</v>
      </c>
      <c r="C87" s="594"/>
      <c r="D87" s="595"/>
      <c r="E87" s="596"/>
      <c r="F87" s="597"/>
      <c r="G87" s="598"/>
      <c r="H87" s="597"/>
      <c r="I87" s="597"/>
      <c r="J87" s="599"/>
    </row>
    <row r="88" spans="1:10" x14ac:dyDescent="0.5">
      <c r="A88" s="44"/>
      <c r="B88" s="322" t="s">
        <v>251</v>
      </c>
      <c r="C88" s="638">
        <v>17</v>
      </c>
      <c r="D88" s="21" t="s">
        <v>32</v>
      </c>
      <c r="E88" s="637">
        <v>530</v>
      </c>
      <c r="F88" s="636">
        <f t="shared" ref="F88" si="35">E88*C88</f>
        <v>9010</v>
      </c>
      <c r="G88" s="36">
        <v>120</v>
      </c>
      <c r="H88" s="216">
        <f t="shared" ref="H88" si="36">C88*G88</f>
        <v>2040</v>
      </c>
      <c r="I88" s="216">
        <f t="shared" ref="I88" si="37">F88+H88</f>
        <v>11050</v>
      </c>
      <c r="J88" s="599"/>
    </row>
    <row r="89" spans="1:10" x14ac:dyDescent="0.5">
      <c r="A89" s="44"/>
      <c r="B89" s="322"/>
      <c r="C89" s="45"/>
      <c r="D89" s="21"/>
      <c r="E89" s="358"/>
      <c r="F89" s="216"/>
      <c r="G89" s="36"/>
      <c r="H89" s="216"/>
      <c r="I89" s="216"/>
      <c r="J89" s="37"/>
    </row>
    <row r="90" spans="1:10" x14ac:dyDescent="0.5">
      <c r="A90" s="367"/>
      <c r="B90" s="368" t="s">
        <v>116</v>
      </c>
      <c r="C90" s="369"/>
      <c r="D90" s="369"/>
      <c r="E90" s="369"/>
      <c r="F90" s="369"/>
      <c r="G90" s="370"/>
      <c r="H90" s="371"/>
      <c r="I90" s="372">
        <f>SUM(I88:I89)</f>
        <v>11050</v>
      </c>
      <c r="J90" s="14"/>
    </row>
    <row r="91" spans="1:10" x14ac:dyDescent="0.5">
      <c r="A91" s="259"/>
      <c r="B91" s="365"/>
      <c r="C91" s="278"/>
      <c r="D91" s="264"/>
      <c r="E91" s="366"/>
      <c r="F91" s="366"/>
      <c r="G91" s="248"/>
      <c r="H91" s="248"/>
      <c r="I91" s="248"/>
      <c r="J91" s="3"/>
    </row>
    <row r="92" spans="1:10" x14ac:dyDescent="0.5">
      <c r="A92" s="367"/>
      <c r="B92" s="368" t="s">
        <v>118</v>
      </c>
      <c r="C92" s="369"/>
      <c r="D92" s="369"/>
      <c r="E92" s="369"/>
      <c r="F92" s="369"/>
      <c r="G92" s="370"/>
      <c r="H92" s="371"/>
      <c r="I92" s="372">
        <f>SUM(I16,I40,I44,I48,I60,I66,I72,I86,I90)</f>
        <v>2258409.0872999998</v>
      </c>
      <c r="J92" s="14"/>
    </row>
    <row r="94" spans="1:10" x14ac:dyDescent="0.5">
      <c r="A94" s="38"/>
      <c r="B94" s="39"/>
      <c r="C94" s="39"/>
      <c r="D94" s="39"/>
      <c r="E94" s="39"/>
      <c r="F94" s="39"/>
      <c r="G94" s="32"/>
      <c r="H94" s="33"/>
      <c r="I94" s="34"/>
      <c r="J94" s="40"/>
    </row>
    <row r="95" spans="1:10" x14ac:dyDescent="0.5">
      <c r="A95" s="90"/>
      <c r="B95" s="129"/>
      <c r="C95" s="83"/>
      <c r="D95" s="83"/>
      <c r="E95" s="83"/>
      <c r="F95" s="83"/>
      <c r="G95" s="32"/>
      <c r="H95" s="33"/>
      <c r="I95" s="32"/>
      <c r="J95" s="40"/>
    </row>
    <row r="96" spans="1:10" x14ac:dyDescent="0.5">
      <c r="A96" s="38"/>
      <c r="B96" s="91"/>
      <c r="C96" s="91"/>
      <c r="D96" s="92"/>
      <c r="E96" s="91"/>
      <c r="F96" s="32"/>
      <c r="G96" s="130"/>
      <c r="H96" s="93"/>
      <c r="I96" s="32"/>
      <c r="J96" s="40"/>
    </row>
    <row r="97" spans="1:10" x14ac:dyDescent="0.5">
      <c r="A97" s="38"/>
      <c r="B97" s="119"/>
      <c r="C97" s="120"/>
      <c r="D97" s="120"/>
      <c r="E97" s="121"/>
      <c r="F97" s="121"/>
      <c r="G97" s="120"/>
      <c r="H97" s="122"/>
      <c r="I97" s="122"/>
      <c r="J97" s="123"/>
    </row>
    <row r="98" spans="1:10" x14ac:dyDescent="0.5">
      <c r="A98" s="38"/>
      <c r="B98" s="119"/>
      <c r="C98" s="120"/>
      <c r="D98" s="120"/>
      <c r="E98" s="121"/>
      <c r="F98" s="121"/>
      <c r="G98" s="120"/>
      <c r="H98" s="122"/>
      <c r="I98" s="122"/>
      <c r="J98" s="123"/>
    </row>
    <row r="99" spans="1:10" x14ac:dyDescent="0.5">
      <c r="A99" s="38"/>
      <c r="B99" s="39"/>
      <c r="C99" s="39"/>
      <c r="D99" s="39"/>
      <c r="E99" s="39"/>
      <c r="F99" s="39"/>
      <c r="G99" s="32"/>
      <c r="H99" s="33"/>
      <c r="I99" s="34"/>
      <c r="J99" s="40"/>
    </row>
    <row r="100" spans="1:10" x14ac:dyDescent="0.5">
      <c r="A100" s="38"/>
      <c r="B100" s="39"/>
      <c r="C100" s="39"/>
      <c r="D100" s="39"/>
      <c r="E100" s="39"/>
      <c r="F100" s="39"/>
      <c r="G100" s="32"/>
      <c r="H100" s="33"/>
      <c r="I100" s="34"/>
      <c r="J100" s="40"/>
    </row>
    <row r="101" spans="1:10" x14ac:dyDescent="0.5">
      <c r="A101" s="38"/>
      <c r="B101" s="39"/>
      <c r="C101" s="39"/>
      <c r="D101" s="39"/>
      <c r="E101" s="39"/>
      <c r="F101" s="39"/>
      <c r="G101" s="32"/>
      <c r="H101" s="33"/>
      <c r="I101" s="34"/>
      <c r="J101" s="40"/>
    </row>
  </sheetData>
  <mergeCells count="48">
    <mergeCell ref="G78:H78"/>
    <mergeCell ref="J78:J79"/>
    <mergeCell ref="A78:A79"/>
    <mergeCell ref="B78:B79"/>
    <mergeCell ref="C78:C79"/>
    <mergeCell ref="D78:D79"/>
    <mergeCell ref="E78:F78"/>
    <mergeCell ref="J30:J31"/>
    <mergeCell ref="A54:A55"/>
    <mergeCell ref="B54:B55"/>
    <mergeCell ref="C54:C55"/>
    <mergeCell ref="D54:D55"/>
    <mergeCell ref="E54:F54"/>
    <mergeCell ref="G54:H54"/>
    <mergeCell ref="J54:J55"/>
    <mergeCell ref="A76:I76"/>
    <mergeCell ref="A77:I77"/>
    <mergeCell ref="A30:A31"/>
    <mergeCell ref="B30:B31"/>
    <mergeCell ref="C30:C31"/>
    <mergeCell ref="D30:D31"/>
    <mergeCell ref="E30:F30"/>
    <mergeCell ref="G30:H30"/>
    <mergeCell ref="A52:I52"/>
    <mergeCell ref="A53:I53"/>
    <mergeCell ref="B73:I73"/>
    <mergeCell ref="A74:I74"/>
    <mergeCell ref="A75:I75"/>
    <mergeCell ref="B25:I25"/>
    <mergeCell ref="A26:I26"/>
    <mergeCell ref="B49:I49"/>
    <mergeCell ref="A50:I50"/>
    <mergeCell ref="A51:I51"/>
    <mergeCell ref="A27:I27"/>
    <mergeCell ref="A28:I28"/>
    <mergeCell ref="A29:I29"/>
    <mergeCell ref="J6:J7"/>
    <mergeCell ref="A6:A7"/>
    <mergeCell ref="B6:B7"/>
    <mergeCell ref="C6:C7"/>
    <mergeCell ref="D6:D7"/>
    <mergeCell ref="E6:F6"/>
    <mergeCell ref="G6:H6"/>
    <mergeCell ref="B1:I1"/>
    <mergeCell ref="A2:I2"/>
    <mergeCell ref="A3:I3"/>
    <mergeCell ref="A4:I4"/>
    <mergeCell ref="A5:I5"/>
  </mergeCells>
  <pageMargins left="0.4" right="0" top="0.75" bottom="0.5" header="0.3" footer="0.3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0ec2a01-8572-4442-b2f1-b24950f240c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85AA5E38096A16449314129E9FF899F3" ma:contentTypeVersion="18" ma:contentTypeDescription="สร้างเอกสารใหม่" ma:contentTypeScope="" ma:versionID="d0d9d18fa7ef94394e83d5e6ae9494b8">
  <xsd:schema xmlns:xsd="http://www.w3.org/2001/XMLSchema" xmlns:xs="http://www.w3.org/2001/XMLSchema" xmlns:p="http://schemas.microsoft.com/office/2006/metadata/properties" xmlns:ns3="70ec2a01-8572-4442-b2f1-b24950f240c4" xmlns:ns4="aeae8f12-0dea-4470-8467-bd5361dfbd04" targetNamespace="http://schemas.microsoft.com/office/2006/metadata/properties" ma:root="true" ma:fieldsID="e2d6dd73f15f4a667d1f3ce26d1e0f2e" ns3:_="" ns4:_="">
    <xsd:import namespace="70ec2a01-8572-4442-b2f1-b24950f240c4"/>
    <xsd:import namespace="aeae8f12-0dea-4470-8467-bd5361dfb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c2a01-8572-4442-b2f1-b24950f240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e8f12-0dea-4470-8467-bd5361dfb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8A8111-8876-4CA1-AA65-3E62830A2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701CDA-A90A-4E14-931A-94F55F21EB5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aeae8f12-0dea-4470-8467-bd5361dfbd04"/>
    <ds:schemaRef ds:uri="70ec2a01-8572-4442-b2f1-b24950f240c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E30A1BA-8DA8-4978-B932-898496CE0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ec2a01-8572-4442-b2f1-b24950f240c4"/>
    <ds:schemaRef ds:uri="aeae8f12-0dea-4470-8467-bd5361dfb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ปร.6</vt:lpstr>
      <vt:lpstr>ปร.5(ก)</vt:lpstr>
      <vt:lpstr>ปร.5(ข)</vt:lpstr>
      <vt:lpstr>ตารางแสดงวงเงิน</vt:lpstr>
      <vt:lpstr>สูตรการหา Factor F</vt:lpstr>
      <vt:lpstr>ใบสรุป ปร.4</vt:lpstr>
      <vt:lpstr>- งานรื้อถอน</vt:lpstr>
      <vt:lpstr>-งานโครงสร้าง</vt:lpstr>
      <vt:lpstr>1 งานสถาปัตยฯ</vt:lpstr>
      <vt:lpstr>2 งานไฟฟ้า</vt:lpstr>
      <vt:lpstr>3 งานภูมิทัศน์</vt:lpstr>
      <vt:lpstr>4 งานครุภัณฑ์</vt:lpstr>
      <vt:lpstr>5 ค่าใช้จ่ายพิเศษ</vt:lpstr>
      <vt:lpstr>6. ค่าใช้จ่ายที่เกิดจากบ.ไม่เสร</vt:lpstr>
      <vt:lpstr>Sheet1</vt:lpstr>
      <vt:lpstr>'6. ค่าใช้จ่ายที่เกิดจากบ.ไม่เสร'!Print_Area</vt:lpstr>
      <vt:lpstr>ตารางแสดงวงเงิน!Print_Area</vt:lpstr>
    </vt:vector>
  </TitlesOfParts>
  <Company>puk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Rmutp</dc:creator>
  <cp:lastModifiedBy>ชัชราพันธ์ ก๊กมาศ</cp:lastModifiedBy>
  <cp:lastPrinted>2024-06-13T02:56:01Z</cp:lastPrinted>
  <dcterms:created xsi:type="dcterms:W3CDTF">2002-07-26T01:48:29Z</dcterms:created>
  <dcterms:modified xsi:type="dcterms:W3CDTF">2024-06-19T08:15:49Z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0x01010085AA5E38096A16449314129E9FF899F3</vt:lpwstr>
  </property>
</Properties>
</file>