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24226"/>
  <mc:AlternateContent xmlns:mc="http://schemas.openxmlformats.org/markup-compatibility/2006">
    <mc:Choice Requires="x15">
      <x15ac:absPath xmlns:x15ac="http://schemas.microsoft.com/office/spreadsheetml/2010/11/ac" url="F:\งานกิ๊ก\E-bidding\งบประมาณ 2567\ก่อสร้าง\300 ล้าน\"/>
    </mc:Choice>
  </mc:AlternateContent>
  <xr:revisionPtr revIDLastSave="0" documentId="8_{F68C3135-1723-4178-ADFF-92AD840642AD}" xr6:coauthVersionLast="36" xr6:coauthVersionMax="36" xr10:uidLastSave="{00000000-0000-0000-0000-000000000000}"/>
  <bookViews>
    <workbookView xWindow="0" yWindow="0" windowWidth="26895" windowHeight="10860" tabRatio="940" firstSheet="3" activeTab="3" xr2:uid="{00000000-000D-0000-FFFF-FFFF00000000}"/>
  </bookViews>
  <sheets>
    <sheet name="SUMMARY (f)" sheetId="13" state="hidden" r:id="rId1"/>
    <sheet name="SUMMARY (3)ใช้" sheetId="15" state="hidden" r:id="rId2"/>
    <sheet name="SUMMARY (f) (ใช้)" sheetId="14" state="hidden" r:id="rId3"/>
    <sheet name="ปร6" sheetId="24" r:id="rId4"/>
    <sheet name="ปร5.ก" sheetId="19" r:id="rId5"/>
    <sheet name="ปร5ข" sheetId="20" r:id="rId6"/>
    <sheet name="ปร4 พ" sheetId="43" r:id="rId7"/>
    <sheet name="ส่วนงานที่1 " sheetId="9" r:id="rId8"/>
    <sheet name="1.งานวิศวกรรมโครงสร้าง" sheetId="53" r:id="rId9"/>
    <sheet name="2.งานสถาปัตยกรรม " sheetId="57" r:id="rId10"/>
    <sheet name="3.งานระบบสุขาภิบาลและดับเพลิง" sheetId="35" r:id="rId11"/>
    <sheet name="4.งานระบบไฟฟ้าและสื่อสาร" sheetId="36" r:id="rId12"/>
    <sheet name="5.งานระบบปรับอากาศและระบายอากาศ" sheetId="58" r:id="rId13"/>
    <sheet name="6.งานระบบลิฟต์" sheetId="50" r:id="rId14"/>
    <sheet name="7.กลุ่มงานที่ 2" sheetId="39" r:id="rId15"/>
    <sheet name="งานครุภัณฑ์จัดจ้างหรือสั่งทำ" sheetId="27" r:id="rId16"/>
    <sheet name="8.กลุ่มงานที่ 3" sheetId="40" r:id="rId17"/>
    <sheet name="งานภูมิทัศน์" sheetId="28" r:id="rId18"/>
    <sheet name="9.ส่วนงานที่2" sheetId="41" r:id="rId19"/>
    <sheet name="งานครุภัณฑ์จัดชื้อ" sheetId="31" r:id="rId20"/>
    <sheet name="ค่าใช้จ่ายพิเศษ" sheetId="56" r:id="rId21"/>
    <sheet name="10.ส่วนงานที่3 " sheetId="42" r:id="rId22"/>
  </sheets>
  <externalReferences>
    <externalReference r:id="rId23"/>
    <externalReference r:id="rId24"/>
  </externalReferences>
  <definedNames>
    <definedName name="_xlnm._FilterDatabase" localSheetId="8" hidden="1">'1.งานวิศวกรรมโครงสร้าง'!$C$1:$C$2245</definedName>
    <definedName name="_xlnm._FilterDatabase" localSheetId="9" hidden="1">'2.งานสถาปัตยกรรม '!$C$1:$C$1776</definedName>
    <definedName name="_xlnm._FilterDatabase" localSheetId="10" hidden="1">'3.งานระบบสุขาภิบาลและดับเพลิง'!$C$1:$C$304</definedName>
    <definedName name="_xlnm._FilterDatabase" localSheetId="11" hidden="1">'4.งานระบบไฟฟ้าและสื่อสาร'!$C$1:$C$1015</definedName>
    <definedName name="_xlnm._FilterDatabase" localSheetId="12" hidden="1">'5.งานระบบปรับอากาศและระบายอากาศ'!$C$1:$C$249</definedName>
    <definedName name="_xlnm._FilterDatabase" localSheetId="13" hidden="1">'6.งานระบบลิฟต์'!#REF!</definedName>
    <definedName name="_xlnm._FilterDatabase" localSheetId="1" hidden="1">'SUMMARY (3)ใช้'!$B$6:$L$34</definedName>
    <definedName name="_xlnm._FilterDatabase" localSheetId="0" hidden="1">'SUMMARY (f)'!$B$6:$L$33</definedName>
    <definedName name="_xlnm._FilterDatabase" localSheetId="2" hidden="1">'SUMMARY (f) (ใช้)'!$B$6:$L$35</definedName>
    <definedName name="_xlnm._FilterDatabase" localSheetId="20" hidden="1">ค่าใช้จ่ายพิเศษ!$A$9:$J$51</definedName>
    <definedName name="_xlnm._FilterDatabase" localSheetId="15" hidden="1">งานครุภัณฑ์จัดจ้างหรือสั่งทำ!$B$1:$B$487</definedName>
    <definedName name="_xlnm._FilterDatabase" localSheetId="19" hidden="1">งานครุภัณฑ์จัดชื้อ!$B$1:$B$333</definedName>
    <definedName name="_xlnm._FilterDatabase" localSheetId="17" hidden="1">งานภูมิทัศน์!$C$1:$C$194</definedName>
    <definedName name="_xlnm._FilterDatabase" localSheetId="6" hidden="1">'ปร4 พ'!$B$9:$E$19</definedName>
    <definedName name="_xlnm._FilterDatabase" localSheetId="5" hidden="1">ปร5ข!$A$9:$F$16</definedName>
    <definedName name="_xlnm._FilterDatabase" localSheetId="3" hidden="1">ปร6!$A$9:$E$22</definedName>
    <definedName name="cost" localSheetId="3">ปร6!$B$83</definedName>
    <definedName name="_xlnm.Print_Area" localSheetId="8">'1.งานวิศวกรรมโครงสร้าง'!$A$1:$K$2245</definedName>
    <definedName name="_xlnm.Print_Area" localSheetId="21">'10.ส่วนงานที่3 '!$A$1:$F$27</definedName>
    <definedName name="_xlnm.Print_Area" localSheetId="9">'2.งานสถาปัตยกรรม '!$A$1:$K$1776</definedName>
    <definedName name="_xlnm.Print_Area" localSheetId="10">'3.งานระบบสุขาภิบาลและดับเพลิง'!$A$1:$K$306</definedName>
    <definedName name="_xlnm.Print_Area" localSheetId="11">'4.งานระบบไฟฟ้าและสื่อสาร'!$A$1:$K$1015</definedName>
    <definedName name="_xlnm.Print_Area" localSheetId="12">'5.งานระบบปรับอากาศและระบายอากาศ'!$A$1:$K$248</definedName>
    <definedName name="_xlnm.Print_Area" localSheetId="13">'6.งานระบบลิฟต์'!$A$1:$J$30</definedName>
    <definedName name="_xlnm.Print_Area" localSheetId="14">'7.กลุ่มงานที่ 2'!$A$1:$F$29</definedName>
    <definedName name="_xlnm.Print_Area" localSheetId="16">'8.กลุ่มงานที่ 3'!$A$1:$F$29</definedName>
    <definedName name="_xlnm.Print_Area" localSheetId="18">'9.ส่วนงานที่2'!$A$1:$F$27</definedName>
    <definedName name="_xlnm.Print_Area" localSheetId="1">'SUMMARY (3)ใช้'!$B$1:$U$34</definedName>
    <definedName name="_xlnm.Print_Area" localSheetId="0">'SUMMARY (f)'!$B$1:$U$33</definedName>
    <definedName name="_xlnm.Print_Area" localSheetId="2">'SUMMARY (f) (ใช้)'!$B$1:$U$35</definedName>
    <definedName name="_xlnm.Print_Area" localSheetId="20">ค่าใช้จ่ายพิเศษ!$A$1:$J$59</definedName>
    <definedName name="_xlnm.Print_Area" localSheetId="15">งานครุภัณฑ์จัดจ้างหรือสั่งทำ!$A$1:$K$483</definedName>
    <definedName name="_xlnm.Print_Area" localSheetId="19">งานครุภัณฑ์จัดชื้อ!$A$1:$K$329</definedName>
    <definedName name="_xlnm.Print_Area" localSheetId="17">งานภูมิทัศน์!$A$1:$K$192</definedName>
    <definedName name="_xlnm.Print_Area" localSheetId="6">'ปร4 พ'!$B$1:$E$27</definedName>
    <definedName name="_xlnm.Print_Area" localSheetId="4">'ปร5.ก'!$A$1:$F$32</definedName>
    <definedName name="_xlnm.Print_Area" localSheetId="5">ปร5ข!$A$1:$F$24</definedName>
    <definedName name="_xlnm.Print_Area" localSheetId="3">ปร6!$A$1:$E$30</definedName>
    <definedName name="_xlnm.Print_Area" localSheetId="7">'ส่วนงานที่1 '!$A$1:$F$151</definedName>
    <definedName name="_xlnm.Print_Titles" localSheetId="8">'1.งานวิศวกรรมโครงสร้าง'!$1:$10</definedName>
    <definedName name="_xlnm.Print_Titles" localSheetId="21">'10.ส่วนงานที่3 '!$9:$10</definedName>
    <definedName name="_xlnm.Print_Titles" localSheetId="9">'2.งานสถาปัตยกรรม '!$1:$10</definedName>
    <definedName name="_xlnm.Print_Titles" localSheetId="10">'3.งานระบบสุขาภิบาลและดับเพลิง'!$1:$10</definedName>
    <definedName name="_xlnm.Print_Titles" localSheetId="11">'4.งานระบบไฟฟ้าและสื่อสาร'!$1:$10</definedName>
    <definedName name="_xlnm.Print_Titles" localSheetId="12">'5.งานระบบปรับอากาศและระบายอากาศ'!$1:$10</definedName>
    <definedName name="_xlnm.Print_Titles" localSheetId="13">'6.งานระบบลิฟต์'!$9:$10</definedName>
    <definedName name="_xlnm.Print_Titles" localSheetId="14">'7.กลุ่มงานที่ 2'!$9:$10</definedName>
    <definedName name="_xlnm.Print_Titles" localSheetId="16">'8.กลุ่มงานที่ 3'!$8:$9</definedName>
    <definedName name="_xlnm.Print_Titles" localSheetId="18">'9.ส่วนงานที่2'!$8:$9</definedName>
    <definedName name="_xlnm.Print_Titles" localSheetId="1">'SUMMARY (3)ใช้'!$1:$7</definedName>
    <definedName name="_xlnm.Print_Titles" localSheetId="0">'SUMMARY (f)'!$1:$7</definedName>
    <definedName name="_xlnm.Print_Titles" localSheetId="2">'SUMMARY (f) (ใช้)'!$1:$7</definedName>
    <definedName name="_xlnm.Print_Titles" localSheetId="20">ค่าใช้จ่ายพิเศษ!$1:$10</definedName>
    <definedName name="_xlnm.Print_Titles" localSheetId="15">งานครุภัณฑ์จัดจ้างหรือสั่งทำ!$1:$10</definedName>
    <definedName name="_xlnm.Print_Titles" localSheetId="19">งานครุภัณฑ์จัดชื้อ!$1:$10</definedName>
    <definedName name="_xlnm.Print_Titles" localSheetId="17">งานภูมิทัศน์!$1:$10</definedName>
    <definedName name="_xlnm.Print_Titles" localSheetId="6">'ปร4 พ'!$9:$10</definedName>
    <definedName name="_xlnm.Print_Titles" localSheetId="4">'ปร5.ก'!$9:$10</definedName>
    <definedName name="_xlnm.Print_Titles" localSheetId="5">ปร5ข!$1:$10</definedName>
    <definedName name="_xlnm.Print_Titles" localSheetId="3">ปร6!$9:$10</definedName>
    <definedName name="_xlnm.Print_Titles" localSheetId="7">'ส่วนงานที่1 '!$1:$10</definedName>
  </definedNames>
  <calcPr calcId="191029"/>
</workbook>
</file>

<file path=xl/calcChain.xml><?xml version="1.0" encoding="utf-8"?>
<calcChain xmlns="http://schemas.openxmlformats.org/spreadsheetml/2006/main">
  <c r="H295" i="57" l="1"/>
  <c r="I295" i="57"/>
  <c r="J295" i="57" s="1"/>
  <c r="H714" i="57"/>
  <c r="I714" i="57"/>
  <c r="H715" i="57"/>
  <c r="I715" i="57"/>
  <c r="H716" i="57"/>
  <c r="I716" i="57"/>
  <c r="J716" i="57" s="1"/>
  <c r="H717" i="57"/>
  <c r="I717" i="57"/>
  <c r="H718" i="57"/>
  <c r="I718" i="57"/>
  <c r="H719" i="57"/>
  <c r="I719" i="57"/>
  <c r="H127" i="57"/>
  <c r="I127" i="57"/>
  <c r="H128" i="57"/>
  <c r="I128" i="57"/>
  <c r="H129" i="57"/>
  <c r="I129" i="57"/>
  <c r="H130" i="57"/>
  <c r="I130" i="57"/>
  <c r="H131" i="57"/>
  <c r="I131" i="57"/>
  <c r="H132" i="57"/>
  <c r="I132" i="57"/>
  <c r="D21" i="24"/>
  <c r="C7" i="53"/>
  <c r="J719" i="57" l="1"/>
  <c r="J715" i="57"/>
  <c r="J714" i="57"/>
  <c r="J718" i="57"/>
  <c r="J131" i="57"/>
  <c r="J717" i="57"/>
  <c r="J127" i="57"/>
  <c r="J129" i="57"/>
  <c r="J132" i="57"/>
  <c r="J130" i="57"/>
  <c r="J128" i="57"/>
  <c r="C17" i="56"/>
  <c r="G47" i="56"/>
  <c r="B11" i="19"/>
  <c r="B12" i="19"/>
  <c r="B16" i="20"/>
  <c r="C19" i="43"/>
  <c r="B111" i="9"/>
  <c r="B110" i="9"/>
  <c r="B106" i="9"/>
  <c r="B96" i="9"/>
  <c r="B70" i="9"/>
  <c r="B50" i="9"/>
  <c r="B29" i="9"/>
  <c r="B134" i="9"/>
  <c r="B51" i="56"/>
  <c r="B15" i="42" l="1"/>
  <c r="B19" i="41"/>
  <c r="B12" i="20" s="1"/>
  <c r="C184" i="28"/>
  <c r="C183" i="28"/>
  <c r="C143" i="28"/>
  <c r="C117" i="28"/>
  <c r="C91" i="28"/>
  <c r="B21" i="40"/>
  <c r="B475" i="27"/>
  <c r="B118" i="9" s="1"/>
  <c r="B474" i="27"/>
  <c r="B280" i="27"/>
  <c r="B80" i="27"/>
  <c r="B21" i="39"/>
  <c r="B22" i="50"/>
  <c r="C281" i="31"/>
  <c r="C249" i="31"/>
  <c r="C245" i="31"/>
  <c r="C321" i="31"/>
  <c r="C320" i="31"/>
  <c r="B16" i="41" s="1"/>
  <c r="I317" i="31"/>
  <c r="I318" i="31"/>
  <c r="I316" i="31"/>
  <c r="F318" i="31"/>
  <c r="H318" i="31" s="1"/>
  <c r="F317" i="31"/>
  <c r="H317" i="31" s="1"/>
  <c r="F316" i="31"/>
  <c r="H316" i="31" s="1"/>
  <c r="C314" i="31"/>
  <c r="B15" i="41" s="1"/>
  <c r="I312" i="31"/>
  <c r="H312" i="31"/>
  <c r="J317" i="31" l="1"/>
  <c r="J318" i="31"/>
  <c r="I320" i="31"/>
  <c r="J316" i="31"/>
  <c r="J320" i="31" s="1"/>
  <c r="C16" i="41" s="1"/>
  <c r="E16" i="41" s="1"/>
  <c r="H320" i="31"/>
  <c r="J312" i="31"/>
  <c r="I310" i="31" l="1"/>
  <c r="H310" i="31"/>
  <c r="I309" i="31"/>
  <c r="H309" i="31"/>
  <c r="I308" i="31"/>
  <c r="H308" i="31"/>
  <c r="I307" i="31"/>
  <c r="H307" i="31"/>
  <c r="I306" i="31"/>
  <c r="H306" i="31"/>
  <c r="J306" i="31" s="1"/>
  <c r="I305" i="31"/>
  <c r="H305" i="31"/>
  <c r="I304" i="31"/>
  <c r="H304" i="31"/>
  <c r="I303" i="31"/>
  <c r="H303" i="31"/>
  <c r="I302" i="31"/>
  <c r="H302" i="31"/>
  <c r="I301" i="31"/>
  <c r="H301" i="31"/>
  <c r="I292" i="31"/>
  <c r="H292" i="31"/>
  <c r="I291" i="31"/>
  <c r="H291" i="31"/>
  <c r="I290" i="31"/>
  <c r="H290" i="31"/>
  <c r="J290" i="31" s="1"/>
  <c r="I289" i="31"/>
  <c r="H289" i="31"/>
  <c r="J289" i="31" s="1"/>
  <c r="I288" i="31"/>
  <c r="H288" i="31"/>
  <c r="I287" i="31"/>
  <c r="H287" i="31"/>
  <c r="I286" i="31"/>
  <c r="H286" i="31"/>
  <c r="I285" i="31"/>
  <c r="H285" i="31"/>
  <c r="J285" i="31" s="1"/>
  <c r="I284" i="31"/>
  <c r="H284" i="31"/>
  <c r="C7" i="28"/>
  <c r="B7" i="9"/>
  <c r="B6" i="19"/>
  <c r="B5" i="19"/>
  <c r="B4" i="19"/>
  <c r="B3" i="19"/>
  <c r="B7" i="19"/>
  <c r="I181" i="28"/>
  <c r="H181" i="28"/>
  <c r="I180" i="28"/>
  <c r="H180" i="28"/>
  <c r="D178" i="28"/>
  <c r="I178" i="28" s="1"/>
  <c r="I177" i="28"/>
  <c r="H177" i="28"/>
  <c r="J177" i="28" s="1"/>
  <c r="D164" i="28"/>
  <c r="I164" i="28" s="1"/>
  <c r="I162" i="28"/>
  <c r="H162" i="28"/>
  <c r="I161" i="28"/>
  <c r="H161" i="28"/>
  <c r="I160" i="28"/>
  <c r="H160" i="28"/>
  <c r="I159" i="28"/>
  <c r="H159" i="28"/>
  <c r="I158" i="28"/>
  <c r="H158" i="28"/>
  <c r="J158" i="28" s="1"/>
  <c r="I156" i="28"/>
  <c r="H156" i="28"/>
  <c r="I155" i="28"/>
  <c r="H155" i="28"/>
  <c r="H154" i="28"/>
  <c r="G154" i="28"/>
  <c r="I154" i="28" s="1"/>
  <c r="I141" i="28"/>
  <c r="H141" i="28"/>
  <c r="I140" i="28"/>
  <c r="H140" i="28"/>
  <c r="J140" i="28" s="1"/>
  <c r="D139" i="28"/>
  <c r="I139" i="28" s="1"/>
  <c r="I138" i="28"/>
  <c r="H138" i="28"/>
  <c r="D136" i="28"/>
  <c r="I136" i="28" s="1"/>
  <c r="D134" i="28"/>
  <c r="D133" i="28"/>
  <c r="H133" i="28" s="1"/>
  <c r="I131" i="28"/>
  <c r="H131" i="28"/>
  <c r="I129" i="28"/>
  <c r="H129" i="28"/>
  <c r="I128" i="28"/>
  <c r="H128" i="28"/>
  <c r="D115" i="28"/>
  <c r="H115" i="28" s="1"/>
  <c r="I114" i="28"/>
  <c r="H114" i="28"/>
  <c r="D112" i="28"/>
  <c r="H112" i="28" s="1"/>
  <c r="D110" i="28"/>
  <c r="D111" i="28" s="1"/>
  <c r="I109" i="28"/>
  <c r="H109" i="28"/>
  <c r="J109" i="28" s="1"/>
  <c r="I107" i="28"/>
  <c r="H107" i="28"/>
  <c r="I105" i="28"/>
  <c r="H105" i="28"/>
  <c r="I104" i="28"/>
  <c r="H104" i="28"/>
  <c r="D103" i="28"/>
  <c r="I103" i="28" s="1"/>
  <c r="I102" i="28"/>
  <c r="H102" i="28"/>
  <c r="H89" i="28"/>
  <c r="G89" i="28"/>
  <c r="I89" i="28" s="1"/>
  <c r="H88" i="28"/>
  <c r="G88" i="28"/>
  <c r="I88" i="28" s="1"/>
  <c r="H87" i="28"/>
  <c r="G87" i="28"/>
  <c r="I87" i="28" s="1"/>
  <c r="H86" i="28"/>
  <c r="G86" i="28"/>
  <c r="I86" i="28" s="1"/>
  <c r="H85" i="28"/>
  <c r="G85" i="28"/>
  <c r="I85" i="28" s="1"/>
  <c r="H83" i="28"/>
  <c r="G83" i="28"/>
  <c r="I83" i="28" s="1"/>
  <c r="J83" i="28" s="1"/>
  <c r="H82" i="28"/>
  <c r="G82" i="28"/>
  <c r="I82" i="28" s="1"/>
  <c r="H81" i="28"/>
  <c r="G81" i="28"/>
  <c r="I81" i="28" s="1"/>
  <c r="H80" i="28"/>
  <c r="G80" i="28"/>
  <c r="I80" i="28" s="1"/>
  <c r="H79" i="28"/>
  <c r="G79" i="28"/>
  <c r="I79" i="28" s="1"/>
  <c r="H77" i="28"/>
  <c r="G77" i="28"/>
  <c r="I77" i="28" s="1"/>
  <c r="H76" i="28"/>
  <c r="G76" i="28"/>
  <c r="I76" i="28" s="1"/>
  <c r="H75" i="28"/>
  <c r="G75" i="28"/>
  <c r="I75" i="28" s="1"/>
  <c r="H74" i="28"/>
  <c r="G74" i="28"/>
  <c r="I74" i="28" s="1"/>
  <c r="H73" i="28"/>
  <c r="G73" i="28"/>
  <c r="I73" i="28" s="1"/>
  <c r="H64" i="28"/>
  <c r="G64" i="28"/>
  <c r="I64" i="28" s="1"/>
  <c r="H63" i="28"/>
  <c r="G63" i="28"/>
  <c r="I63" i="28" s="1"/>
  <c r="H62" i="28"/>
  <c r="G62" i="28"/>
  <c r="I62" i="28" s="1"/>
  <c r="H60" i="28"/>
  <c r="G60" i="28"/>
  <c r="I60" i="28" s="1"/>
  <c r="H59" i="28"/>
  <c r="G59" i="28"/>
  <c r="I59" i="28" s="1"/>
  <c r="H58" i="28"/>
  <c r="G58" i="28"/>
  <c r="I58" i="28" s="1"/>
  <c r="H57" i="28"/>
  <c r="G57" i="28"/>
  <c r="I57" i="28" s="1"/>
  <c r="J57" i="28" s="1"/>
  <c r="H56" i="28"/>
  <c r="G56" i="28"/>
  <c r="I56" i="28" s="1"/>
  <c r="H55" i="28"/>
  <c r="G55" i="28"/>
  <c r="I55" i="28" s="1"/>
  <c r="H54" i="28"/>
  <c r="G54" i="28"/>
  <c r="I54" i="28" s="1"/>
  <c r="H53" i="28"/>
  <c r="G53" i="28"/>
  <c r="I53" i="28" s="1"/>
  <c r="H51" i="28"/>
  <c r="G51" i="28"/>
  <c r="I51" i="28" s="1"/>
  <c r="H50" i="28"/>
  <c r="G50" i="28"/>
  <c r="I50" i="28" s="1"/>
  <c r="H49" i="28"/>
  <c r="G49" i="28"/>
  <c r="I49" i="28" s="1"/>
  <c r="H48" i="28"/>
  <c r="G48" i="28"/>
  <c r="I48" i="28" s="1"/>
  <c r="H47" i="28"/>
  <c r="G47" i="28"/>
  <c r="I47" i="28" s="1"/>
  <c r="H45" i="28"/>
  <c r="G45" i="28"/>
  <c r="I45" i="28" s="1"/>
  <c r="H44" i="28"/>
  <c r="G44" i="28"/>
  <c r="I44" i="28" s="1"/>
  <c r="H43" i="28"/>
  <c r="G43" i="28"/>
  <c r="I43" i="28" s="1"/>
  <c r="H42" i="28"/>
  <c r="G42" i="28"/>
  <c r="I42" i="28" s="1"/>
  <c r="H41" i="28"/>
  <c r="G41" i="28"/>
  <c r="I41" i="28" s="1"/>
  <c r="H31" i="28"/>
  <c r="G31" i="28"/>
  <c r="I31" i="28" s="1"/>
  <c r="H30" i="28"/>
  <c r="G30" i="28"/>
  <c r="I30" i="28" s="1"/>
  <c r="J30" i="28" s="1"/>
  <c r="H29" i="28"/>
  <c r="G29" i="28"/>
  <c r="I29" i="28" s="1"/>
  <c r="H28" i="28"/>
  <c r="G28" i="28"/>
  <c r="I28" i="28" s="1"/>
  <c r="H27" i="28"/>
  <c r="G27" i="28"/>
  <c r="I27" i="28" s="1"/>
  <c r="H26" i="28"/>
  <c r="G26" i="28"/>
  <c r="I26" i="28" s="1"/>
  <c r="J26" i="28" s="1"/>
  <c r="H24" i="28"/>
  <c r="G24" i="28"/>
  <c r="I24" i="28" s="1"/>
  <c r="H23" i="28"/>
  <c r="G23" i="28"/>
  <c r="I23" i="28" s="1"/>
  <c r="H22" i="28"/>
  <c r="G22" i="28"/>
  <c r="I22" i="28" s="1"/>
  <c r="H21" i="28"/>
  <c r="G21" i="28"/>
  <c r="I21" i="28" s="1"/>
  <c r="J21" i="28" s="1"/>
  <c r="H20" i="28"/>
  <c r="G20" i="28"/>
  <c r="I20" i="28" s="1"/>
  <c r="H18" i="28"/>
  <c r="G18" i="28"/>
  <c r="I18" i="28" s="1"/>
  <c r="H17" i="28"/>
  <c r="G17" i="28"/>
  <c r="I17" i="28" s="1"/>
  <c r="H16" i="28"/>
  <c r="G16" i="28"/>
  <c r="I16" i="28" s="1"/>
  <c r="H15" i="28"/>
  <c r="G15" i="28"/>
  <c r="I15" i="28" s="1"/>
  <c r="H14" i="28"/>
  <c r="G14" i="28"/>
  <c r="I14" i="28" s="1"/>
  <c r="C6" i="28"/>
  <c r="C5" i="28"/>
  <c r="C4" i="28"/>
  <c r="C3" i="28"/>
  <c r="C2" i="28"/>
  <c r="A1" i="28"/>
  <c r="M1770" i="57"/>
  <c r="C1767" i="57"/>
  <c r="I1765" i="57"/>
  <c r="H1765" i="57"/>
  <c r="I1764" i="57"/>
  <c r="H1764" i="57"/>
  <c r="I1763" i="57"/>
  <c r="H1763" i="57"/>
  <c r="I1754" i="57"/>
  <c r="H1754" i="57"/>
  <c r="I1753" i="57"/>
  <c r="H1753" i="57"/>
  <c r="I1750" i="57"/>
  <c r="H1750" i="57"/>
  <c r="J1750" i="57" s="1"/>
  <c r="I1749" i="57"/>
  <c r="H1749" i="57"/>
  <c r="I1747" i="57"/>
  <c r="H1747" i="57"/>
  <c r="C1744" i="57"/>
  <c r="H1742" i="57"/>
  <c r="G1742" i="57"/>
  <c r="I1742" i="57" s="1"/>
  <c r="I1741" i="57"/>
  <c r="H1741" i="57"/>
  <c r="D1739" i="57"/>
  <c r="I1739" i="57" s="1"/>
  <c r="I1738" i="57"/>
  <c r="H1738" i="57"/>
  <c r="I1737" i="57"/>
  <c r="H1737" i="57"/>
  <c r="I1736" i="57"/>
  <c r="H1736" i="57"/>
  <c r="I1735" i="57"/>
  <c r="H1735" i="57"/>
  <c r="I1733" i="57"/>
  <c r="H1733" i="57"/>
  <c r="I1732" i="57"/>
  <c r="H1732" i="57"/>
  <c r="I1723" i="57"/>
  <c r="H1723" i="57"/>
  <c r="I1721" i="57"/>
  <c r="H1721" i="57"/>
  <c r="H1718" i="57"/>
  <c r="G1718" i="57"/>
  <c r="I1718" i="57" s="1"/>
  <c r="H1717" i="57"/>
  <c r="G1717" i="57"/>
  <c r="I1717" i="57" s="1"/>
  <c r="H1716" i="57"/>
  <c r="G1716" i="57"/>
  <c r="I1716" i="57" s="1"/>
  <c r="J1716" i="57" s="1"/>
  <c r="H1715" i="57"/>
  <c r="G1715" i="57"/>
  <c r="I1715" i="57" s="1"/>
  <c r="H1714" i="57"/>
  <c r="G1714" i="57"/>
  <c r="I1714" i="57" s="1"/>
  <c r="I1712" i="57"/>
  <c r="H1712" i="57"/>
  <c r="H1711" i="57"/>
  <c r="G1711" i="57"/>
  <c r="I1711" i="57" s="1"/>
  <c r="J1711" i="57" s="1"/>
  <c r="I1710" i="57"/>
  <c r="H1710" i="57"/>
  <c r="I1709" i="57"/>
  <c r="H1709" i="57"/>
  <c r="I1706" i="57"/>
  <c r="H1706" i="57"/>
  <c r="I1705" i="57"/>
  <c r="H1705" i="57"/>
  <c r="J1705" i="57" s="1"/>
  <c r="I1704" i="57"/>
  <c r="H1704" i="57"/>
  <c r="I1703" i="57"/>
  <c r="H1703" i="57"/>
  <c r="I1702" i="57"/>
  <c r="H1702" i="57"/>
  <c r="I1701" i="57"/>
  <c r="H1701" i="57"/>
  <c r="I1692" i="57"/>
  <c r="H1692" i="57"/>
  <c r="I1691" i="57"/>
  <c r="H1691" i="57"/>
  <c r="I1690" i="57"/>
  <c r="H1690" i="57"/>
  <c r="I1689" i="57"/>
  <c r="H1689" i="57"/>
  <c r="I1687" i="57"/>
  <c r="H1687" i="57"/>
  <c r="I1686" i="57"/>
  <c r="H1686" i="57"/>
  <c r="I1685" i="57"/>
  <c r="H1685" i="57"/>
  <c r="I1684" i="57"/>
  <c r="H1684" i="57"/>
  <c r="I1683" i="57"/>
  <c r="H1683" i="57"/>
  <c r="I1682" i="57"/>
  <c r="H1682" i="57"/>
  <c r="I1681" i="57"/>
  <c r="H1681" i="57"/>
  <c r="I1680" i="57"/>
  <c r="H1680" i="57"/>
  <c r="J1680" i="57" s="1"/>
  <c r="I1679" i="57"/>
  <c r="H1679" i="57"/>
  <c r="I1678" i="57"/>
  <c r="H1678" i="57"/>
  <c r="I1677" i="57"/>
  <c r="H1677" i="57"/>
  <c r="I1676" i="57"/>
  <c r="H1676" i="57"/>
  <c r="I1675" i="57"/>
  <c r="H1675" i="57"/>
  <c r="J1675" i="57" s="1"/>
  <c r="I1674" i="57"/>
  <c r="H1674" i="57"/>
  <c r="I1665" i="57"/>
  <c r="H1665" i="57"/>
  <c r="D1663" i="57"/>
  <c r="I1663" i="57" s="1"/>
  <c r="I1662" i="57"/>
  <c r="H1662" i="57"/>
  <c r="I1661" i="57"/>
  <c r="H1661" i="57"/>
  <c r="I1660" i="57"/>
  <c r="H1660" i="57"/>
  <c r="C1657" i="57"/>
  <c r="H1655" i="57"/>
  <c r="G1655" i="57"/>
  <c r="I1655" i="57" s="1"/>
  <c r="I1654" i="57"/>
  <c r="H1654" i="57"/>
  <c r="J1654" i="57" s="1"/>
  <c r="D1652" i="57"/>
  <c r="I1652" i="57" s="1"/>
  <c r="I1651" i="57"/>
  <c r="H1651" i="57"/>
  <c r="J1651" i="57" s="1"/>
  <c r="I1650" i="57"/>
  <c r="H1650" i="57"/>
  <c r="I1649" i="57"/>
  <c r="H1649" i="57"/>
  <c r="J1649" i="57" s="1"/>
  <c r="I1648" i="57"/>
  <c r="H1648" i="57"/>
  <c r="I1646" i="57"/>
  <c r="H1646" i="57"/>
  <c r="I1645" i="57"/>
  <c r="H1645" i="57"/>
  <c r="I1644" i="57"/>
  <c r="H1644" i="57"/>
  <c r="I1634" i="57"/>
  <c r="H1634" i="57"/>
  <c r="I1633" i="57"/>
  <c r="H1633" i="57"/>
  <c r="I1632" i="57"/>
  <c r="H1632" i="57"/>
  <c r="I1631" i="57"/>
  <c r="H1631" i="57"/>
  <c r="I1630" i="57"/>
  <c r="H1630" i="57"/>
  <c r="I1628" i="57"/>
  <c r="H1628" i="57"/>
  <c r="J1628" i="57" s="1"/>
  <c r="I1627" i="57"/>
  <c r="H1627" i="57"/>
  <c r="I1626" i="57"/>
  <c r="H1626" i="57"/>
  <c r="I1625" i="57"/>
  <c r="H1625" i="57"/>
  <c r="I1624" i="57"/>
  <c r="H1624" i="57"/>
  <c r="J1624" i="57" s="1"/>
  <c r="I1623" i="57"/>
  <c r="H1623" i="57"/>
  <c r="I1622" i="57"/>
  <c r="H1622" i="57"/>
  <c r="I1619" i="57"/>
  <c r="H1619" i="57"/>
  <c r="I1618" i="57"/>
  <c r="H1618" i="57"/>
  <c r="I1617" i="57"/>
  <c r="H1617" i="57"/>
  <c r="I1616" i="57"/>
  <c r="H1616" i="57"/>
  <c r="J1616" i="57" s="1"/>
  <c r="I1615" i="57"/>
  <c r="H1615" i="57"/>
  <c r="I1614" i="57"/>
  <c r="H1614" i="57"/>
  <c r="I1613" i="57"/>
  <c r="H1613" i="57"/>
  <c r="I1604" i="57"/>
  <c r="H1604" i="57"/>
  <c r="I1603" i="57"/>
  <c r="H1603" i="57"/>
  <c r="I1602" i="57"/>
  <c r="H1602" i="57"/>
  <c r="I1601" i="57"/>
  <c r="H1601" i="57"/>
  <c r="I1600" i="57"/>
  <c r="H1600" i="57"/>
  <c r="I1599" i="57"/>
  <c r="H1599" i="57"/>
  <c r="I1598" i="57"/>
  <c r="H1598" i="57"/>
  <c r="D1597" i="57"/>
  <c r="D1596" i="57"/>
  <c r="I1596" i="57" s="1"/>
  <c r="D1595" i="57"/>
  <c r="H1595" i="57" s="1"/>
  <c r="D1594" i="57"/>
  <c r="D1593" i="57"/>
  <c r="I1592" i="57"/>
  <c r="H1592" i="57"/>
  <c r="J1592" i="57" s="1"/>
  <c r="D1591" i="57"/>
  <c r="I1591" i="57" s="1"/>
  <c r="D1590" i="57"/>
  <c r="H1590" i="57" s="1"/>
  <c r="D1581" i="57"/>
  <c r="H1581" i="57" s="1"/>
  <c r="D1580" i="57"/>
  <c r="I1580" i="57" s="1"/>
  <c r="D1579" i="57"/>
  <c r="I1578" i="57"/>
  <c r="H1578" i="57"/>
  <c r="I1577" i="57"/>
  <c r="H1577" i="57"/>
  <c r="D1576" i="57"/>
  <c r="I1576" i="57" s="1"/>
  <c r="D1575" i="57"/>
  <c r="I1575" i="57" s="1"/>
  <c r="I1574" i="57"/>
  <c r="H1574" i="57"/>
  <c r="J1574" i="57" s="1"/>
  <c r="D1573" i="57"/>
  <c r="D1572" i="57"/>
  <c r="I1571" i="57"/>
  <c r="H1571" i="57"/>
  <c r="H1569" i="57"/>
  <c r="G1569" i="57"/>
  <c r="I1569" i="57" s="1"/>
  <c r="H1568" i="57"/>
  <c r="G1568" i="57"/>
  <c r="I1568" i="57" s="1"/>
  <c r="H1567" i="57"/>
  <c r="G1567" i="57"/>
  <c r="I1567" i="57" s="1"/>
  <c r="H1566" i="57"/>
  <c r="G1566" i="57"/>
  <c r="I1566" i="57" s="1"/>
  <c r="H1565" i="57"/>
  <c r="G1565" i="57"/>
  <c r="I1565" i="57" s="1"/>
  <c r="H1564" i="57"/>
  <c r="G1564" i="57"/>
  <c r="I1564" i="57" s="1"/>
  <c r="I1562" i="57"/>
  <c r="H1562" i="57"/>
  <c r="I1561" i="57"/>
  <c r="H1561" i="57"/>
  <c r="I1560" i="57"/>
  <c r="H1560" i="57"/>
  <c r="I1559" i="57"/>
  <c r="H1559" i="57"/>
  <c r="I1558" i="57"/>
  <c r="H1558" i="57"/>
  <c r="H1557" i="57"/>
  <c r="G1557" i="57"/>
  <c r="I1557" i="57" s="1"/>
  <c r="I1548" i="57"/>
  <c r="H1548" i="57"/>
  <c r="I1547" i="57"/>
  <c r="H1547" i="57"/>
  <c r="I1544" i="57"/>
  <c r="H1544" i="57"/>
  <c r="I1543" i="57"/>
  <c r="H1543" i="57"/>
  <c r="I1542" i="57"/>
  <c r="H1542" i="57"/>
  <c r="I1541" i="57"/>
  <c r="H1541" i="57"/>
  <c r="I1540" i="57"/>
  <c r="H1540" i="57"/>
  <c r="I1539" i="57"/>
  <c r="H1539" i="57"/>
  <c r="I1537" i="57"/>
  <c r="H1537" i="57"/>
  <c r="I1536" i="57"/>
  <c r="H1536" i="57"/>
  <c r="D1535" i="57"/>
  <c r="D1534" i="57"/>
  <c r="D1533" i="57"/>
  <c r="H1533" i="57" s="1"/>
  <c r="D1532" i="57"/>
  <c r="H1532" i="57" s="1"/>
  <c r="D1531" i="57"/>
  <c r="I1521" i="57"/>
  <c r="H1521" i="57"/>
  <c r="I1520" i="57"/>
  <c r="H1520" i="57"/>
  <c r="I1519" i="57"/>
  <c r="H1519" i="57"/>
  <c r="I1518" i="57"/>
  <c r="H1518" i="57"/>
  <c r="I1517" i="57"/>
  <c r="H1517" i="57"/>
  <c r="I1516" i="57"/>
  <c r="H1516" i="57"/>
  <c r="I1515" i="57"/>
  <c r="H1515" i="57"/>
  <c r="I1514" i="57"/>
  <c r="H1514" i="57"/>
  <c r="I1513" i="57"/>
  <c r="H1513" i="57"/>
  <c r="I1512" i="57"/>
  <c r="H1512" i="57"/>
  <c r="I1511" i="57"/>
  <c r="H1511" i="57"/>
  <c r="I1510" i="57"/>
  <c r="H1510" i="57"/>
  <c r="I1509" i="57"/>
  <c r="H1509" i="57"/>
  <c r="I1508" i="57"/>
  <c r="H1508" i="57"/>
  <c r="I1506" i="57"/>
  <c r="H1506" i="57"/>
  <c r="I1505" i="57"/>
  <c r="H1505" i="57"/>
  <c r="I1504" i="57"/>
  <c r="H1504" i="57"/>
  <c r="I1503" i="57"/>
  <c r="H1503" i="57"/>
  <c r="D1501" i="57"/>
  <c r="I1501" i="57" s="1"/>
  <c r="I1500" i="57"/>
  <c r="H1500" i="57"/>
  <c r="I1499" i="57"/>
  <c r="H1499" i="57"/>
  <c r="I1498" i="57"/>
  <c r="H1498" i="57"/>
  <c r="I1497" i="57"/>
  <c r="H1497" i="57"/>
  <c r="I1496" i="57"/>
  <c r="H1496" i="57"/>
  <c r="I1495" i="57"/>
  <c r="H1495" i="57"/>
  <c r="I1494" i="57"/>
  <c r="H1494" i="57"/>
  <c r="I1485" i="57"/>
  <c r="H1485" i="57"/>
  <c r="I1484" i="57"/>
  <c r="H1484" i="57"/>
  <c r="C1481" i="57"/>
  <c r="H1479" i="57"/>
  <c r="G1479" i="57"/>
  <c r="I1479" i="57" s="1"/>
  <c r="I1478" i="57"/>
  <c r="H1478" i="57"/>
  <c r="I1477" i="57"/>
  <c r="H1477" i="57"/>
  <c r="D1475" i="57"/>
  <c r="I1475" i="57" s="1"/>
  <c r="I1474" i="57"/>
  <c r="H1474" i="57"/>
  <c r="I1473" i="57"/>
  <c r="H1473" i="57"/>
  <c r="I1472" i="57"/>
  <c r="H1472" i="57"/>
  <c r="I1471" i="57"/>
  <c r="H1471" i="57"/>
  <c r="I1469" i="57"/>
  <c r="H1469" i="57"/>
  <c r="I1468" i="57"/>
  <c r="H1468" i="57"/>
  <c r="J1468" i="57" s="1"/>
  <c r="I1467" i="57"/>
  <c r="H1467" i="57"/>
  <c r="I1457" i="57"/>
  <c r="H1457" i="57"/>
  <c r="I1456" i="57"/>
  <c r="H1456" i="57"/>
  <c r="I1455" i="57"/>
  <c r="H1455" i="57"/>
  <c r="I1454" i="57"/>
  <c r="H1454" i="57"/>
  <c r="I1453" i="57"/>
  <c r="H1453" i="57"/>
  <c r="I1451" i="57"/>
  <c r="H1451" i="57"/>
  <c r="I1450" i="57"/>
  <c r="H1450" i="57"/>
  <c r="I1449" i="57"/>
  <c r="H1449" i="57"/>
  <c r="I1448" i="57"/>
  <c r="H1448" i="57"/>
  <c r="I1447" i="57"/>
  <c r="H1447" i="57"/>
  <c r="I1446" i="57"/>
  <c r="H1446" i="57"/>
  <c r="I1445" i="57"/>
  <c r="H1445" i="57"/>
  <c r="I1442" i="57"/>
  <c r="H1442" i="57"/>
  <c r="I1441" i="57"/>
  <c r="H1441" i="57"/>
  <c r="I1432" i="57"/>
  <c r="H1432" i="57"/>
  <c r="J1432" i="57" s="1"/>
  <c r="I1431" i="57"/>
  <c r="H1431" i="57"/>
  <c r="I1430" i="57"/>
  <c r="H1430" i="57"/>
  <c r="I1429" i="57"/>
  <c r="H1429" i="57"/>
  <c r="D1428" i="57"/>
  <c r="I1428" i="57" s="1"/>
  <c r="I1427" i="57"/>
  <c r="H1427" i="57"/>
  <c r="I1426" i="57"/>
  <c r="H1426" i="57"/>
  <c r="I1425" i="57"/>
  <c r="H1425" i="57"/>
  <c r="I1424" i="57"/>
  <c r="H1424" i="57"/>
  <c r="I1423" i="57"/>
  <c r="H1423" i="57"/>
  <c r="I1422" i="57"/>
  <c r="H1422" i="57"/>
  <c r="I1421" i="57"/>
  <c r="H1421" i="57"/>
  <c r="D1420" i="57"/>
  <c r="I1420" i="57" s="1"/>
  <c r="D1419" i="57"/>
  <c r="I1419" i="57" s="1"/>
  <c r="D1418" i="57"/>
  <c r="H1418" i="57" s="1"/>
  <c r="D1417" i="57"/>
  <c r="H1417" i="57" s="1"/>
  <c r="D1416" i="57"/>
  <c r="H1416" i="57" s="1"/>
  <c r="I1415" i="57"/>
  <c r="H1415" i="57"/>
  <c r="D1414" i="57"/>
  <c r="I1414" i="57" s="1"/>
  <c r="D1413" i="57"/>
  <c r="I1413" i="57" s="1"/>
  <c r="D1412" i="57"/>
  <c r="H1412" i="57" s="1"/>
  <c r="D1403" i="57"/>
  <c r="H1403" i="57" s="1"/>
  <c r="D1402" i="57"/>
  <c r="I1402" i="57" s="1"/>
  <c r="I1401" i="57"/>
  <c r="H1401" i="57"/>
  <c r="I1400" i="57"/>
  <c r="H1400" i="57"/>
  <c r="D1399" i="57"/>
  <c r="D1398" i="57"/>
  <c r="I1398" i="57" s="1"/>
  <c r="I1397" i="57"/>
  <c r="H1397" i="57"/>
  <c r="D1396" i="57"/>
  <c r="I1396" i="57" s="1"/>
  <c r="D1395" i="57"/>
  <c r="I1395" i="57" s="1"/>
  <c r="I1394" i="57"/>
  <c r="H1394" i="57"/>
  <c r="I1393" i="57"/>
  <c r="H1393" i="57"/>
  <c r="H1392" i="57"/>
  <c r="G1392" i="57"/>
  <c r="I1392" i="57" s="1"/>
  <c r="H1391" i="57"/>
  <c r="G1391" i="57"/>
  <c r="I1391" i="57" s="1"/>
  <c r="H1390" i="57"/>
  <c r="G1390" i="57"/>
  <c r="I1390" i="57" s="1"/>
  <c r="H1389" i="57"/>
  <c r="G1389" i="57"/>
  <c r="I1389" i="57" s="1"/>
  <c r="H1388" i="57"/>
  <c r="G1388" i="57"/>
  <c r="I1388" i="57" s="1"/>
  <c r="H1387" i="57"/>
  <c r="G1387" i="57"/>
  <c r="I1387" i="57" s="1"/>
  <c r="H1386" i="57"/>
  <c r="G1386" i="57"/>
  <c r="I1386" i="57" s="1"/>
  <c r="H1385" i="57"/>
  <c r="G1385" i="57"/>
  <c r="I1385" i="57" s="1"/>
  <c r="H1384" i="57"/>
  <c r="G1384" i="57"/>
  <c r="I1384" i="57" s="1"/>
  <c r="H1383" i="57"/>
  <c r="G1383" i="57"/>
  <c r="I1383" i="57" s="1"/>
  <c r="H1382" i="57"/>
  <c r="G1382" i="57"/>
  <c r="I1382" i="57" s="1"/>
  <c r="H1373" i="57"/>
  <c r="G1373" i="57"/>
  <c r="I1373" i="57" s="1"/>
  <c r="H1372" i="57"/>
  <c r="G1372" i="57"/>
  <c r="I1372" i="57" s="1"/>
  <c r="H1371" i="57"/>
  <c r="G1371" i="57"/>
  <c r="I1371" i="57" s="1"/>
  <c r="H1370" i="57"/>
  <c r="G1370" i="57"/>
  <c r="I1370" i="57" s="1"/>
  <c r="I1368" i="57"/>
  <c r="H1368" i="57"/>
  <c r="I1367" i="57"/>
  <c r="H1367" i="57"/>
  <c r="I1366" i="57"/>
  <c r="H1366" i="57"/>
  <c r="I1365" i="57"/>
  <c r="H1365" i="57"/>
  <c r="I1364" i="57"/>
  <c r="H1364" i="57"/>
  <c r="I1363" i="57"/>
  <c r="H1363" i="57"/>
  <c r="I1362" i="57"/>
  <c r="H1362" i="57"/>
  <c r="J1362" i="57" s="1"/>
  <c r="H1361" i="57"/>
  <c r="G1361" i="57"/>
  <c r="I1361" i="57" s="1"/>
  <c r="I1360" i="57"/>
  <c r="H1360" i="57"/>
  <c r="I1357" i="57"/>
  <c r="H1357" i="57"/>
  <c r="J1357" i="57" s="1"/>
  <c r="I1356" i="57"/>
  <c r="H1356" i="57"/>
  <c r="I1355" i="57"/>
  <c r="H1355" i="57"/>
  <c r="I1354" i="57"/>
  <c r="H1354" i="57"/>
  <c r="I1353" i="57"/>
  <c r="H1353" i="57"/>
  <c r="I1351" i="57"/>
  <c r="H1351" i="57"/>
  <c r="I1350" i="57"/>
  <c r="H1350" i="57"/>
  <c r="D1349" i="57"/>
  <c r="I1349" i="57" s="1"/>
  <c r="D1348" i="57"/>
  <c r="D1347" i="57"/>
  <c r="H1347" i="57" s="1"/>
  <c r="D1346" i="57"/>
  <c r="I1346" i="57" s="1"/>
  <c r="D1337" i="57"/>
  <c r="H1337" i="57" s="1"/>
  <c r="I1335" i="57"/>
  <c r="H1335" i="57"/>
  <c r="I1334" i="57"/>
  <c r="H1334" i="57"/>
  <c r="I1333" i="57"/>
  <c r="H1333" i="57"/>
  <c r="I1332" i="57"/>
  <c r="H1332" i="57"/>
  <c r="I1331" i="57"/>
  <c r="H1331" i="57"/>
  <c r="I1330" i="57"/>
  <c r="H1330" i="57"/>
  <c r="I1329" i="57"/>
  <c r="H1329" i="57"/>
  <c r="I1328" i="57"/>
  <c r="H1328" i="57"/>
  <c r="I1327" i="57"/>
  <c r="H1327" i="57"/>
  <c r="I1326" i="57"/>
  <c r="H1326" i="57"/>
  <c r="I1325" i="57"/>
  <c r="H1325" i="57"/>
  <c r="I1324" i="57"/>
  <c r="H1324" i="57"/>
  <c r="I1323" i="57"/>
  <c r="H1323" i="57"/>
  <c r="I1321" i="57"/>
  <c r="H1321" i="57"/>
  <c r="I1320" i="57"/>
  <c r="H1320" i="57"/>
  <c r="I1319" i="57"/>
  <c r="H1319" i="57"/>
  <c r="D1317" i="57"/>
  <c r="I1317" i="57" s="1"/>
  <c r="D1316" i="57"/>
  <c r="I1316" i="57" s="1"/>
  <c r="I1315" i="57"/>
  <c r="H1315" i="57"/>
  <c r="I1306" i="57"/>
  <c r="H1306" i="57"/>
  <c r="I1305" i="57"/>
  <c r="H1305" i="57"/>
  <c r="I1304" i="57"/>
  <c r="H1304" i="57"/>
  <c r="I1303" i="57"/>
  <c r="H1303" i="57"/>
  <c r="I1302" i="57"/>
  <c r="H1302" i="57"/>
  <c r="C1299" i="57"/>
  <c r="H1297" i="57"/>
  <c r="G1297" i="57"/>
  <c r="I1297" i="57" s="1"/>
  <c r="I1296" i="57"/>
  <c r="H1296" i="57"/>
  <c r="I1295" i="57"/>
  <c r="H1295" i="57"/>
  <c r="D1293" i="57"/>
  <c r="H1293" i="57" s="1"/>
  <c r="I1292" i="57"/>
  <c r="H1292" i="57"/>
  <c r="I1291" i="57"/>
  <c r="H1291" i="57"/>
  <c r="I1290" i="57"/>
  <c r="H1290" i="57"/>
  <c r="I1289" i="57"/>
  <c r="H1289" i="57"/>
  <c r="I1287" i="57"/>
  <c r="H1287" i="57"/>
  <c r="I1286" i="57"/>
  <c r="H1286" i="57"/>
  <c r="I1285" i="57"/>
  <c r="H1285" i="57"/>
  <c r="I1283" i="57"/>
  <c r="H1283" i="57"/>
  <c r="I1282" i="57"/>
  <c r="H1282" i="57"/>
  <c r="I1281" i="57"/>
  <c r="H1281" i="57"/>
  <c r="I1272" i="57"/>
  <c r="H1272" i="57"/>
  <c r="I1271" i="57"/>
  <c r="H1271" i="57"/>
  <c r="I1269" i="57"/>
  <c r="H1269" i="57"/>
  <c r="I1268" i="57"/>
  <c r="H1268" i="57"/>
  <c r="I1267" i="57"/>
  <c r="H1267" i="57"/>
  <c r="I1266" i="57"/>
  <c r="H1266" i="57"/>
  <c r="I1265" i="57"/>
  <c r="H1265" i="57"/>
  <c r="I1264" i="57"/>
  <c r="H1264" i="57"/>
  <c r="I1263" i="57"/>
  <c r="H1263" i="57"/>
  <c r="I1260" i="57"/>
  <c r="H1260" i="57"/>
  <c r="I1259" i="57"/>
  <c r="H1259" i="57"/>
  <c r="I1258" i="57"/>
  <c r="H1258" i="57"/>
  <c r="I1257" i="57"/>
  <c r="H1257" i="57"/>
  <c r="I1256" i="57"/>
  <c r="H1256" i="57"/>
  <c r="I1255" i="57"/>
  <c r="H1255" i="57"/>
  <c r="D1254" i="57"/>
  <c r="I1254" i="57" s="1"/>
  <c r="I1253" i="57"/>
  <c r="H1253" i="57"/>
  <c r="I1252" i="57"/>
  <c r="H1252" i="57"/>
  <c r="I1251" i="57"/>
  <c r="H1251" i="57"/>
  <c r="I1250" i="57"/>
  <c r="H1250" i="57"/>
  <c r="I1249" i="57"/>
  <c r="H1249" i="57"/>
  <c r="I1240" i="57"/>
  <c r="H1240" i="57"/>
  <c r="I1239" i="57"/>
  <c r="H1239" i="57"/>
  <c r="J1239" i="57" s="1"/>
  <c r="D1238" i="57"/>
  <c r="D1237" i="57"/>
  <c r="H1237" i="57" s="1"/>
  <c r="D1236" i="57"/>
  <c r="H1236" i="57" s="1"/>
  <c r="D1235" i="57"/>
  <c r="D1234" i="57"/>
  <c r="I1234" i="57" s="1"/>
  <c r="I1233" i="57"/>
  <c r="H1233" i="57"/>
  <c r="D1232" i="57"/>
  <c r="I1232" i="57" s="1"/>
  <c r="D1231" i="57"/>
  <c r="H1231" i="57" s="1"/>
  <c r="D1230" i="57"/>
  <c r="D1229" i="57"/>
  <c r="D1228" i="57"/>
  <c r="I1228" i="57" s="1"/>
  <c r="I1227" i="57"/>
  <c r="H1227" i="57"/>
  <c r="I1226" i="57"/>
  <c r="H1226" i="57"/>
  <c r="D1225" i="57"/>
  <c r="H1225" i="57" s="1"/>
  <c r="D1224" i="57"/>
  <c r="I1224" i="57" s="1"/>
  <c r="I1223" i="57"/>
  <c r="H1223" i="57"/>
  <c r="D1222" i="57"/>
  <c r="H1222" i="57" s="1"/>
  <c r="D1221" i="57"/>
  <c r="I1220" i="57"/>
  <c r="H1220" i="57"/>
  <c r="I1219" i="57"/>
  <c r="H1219" i="57"/>
  <c r="H1210" i="57"/>
  <c r="G1210" i="57"/>
  <c r="I1210" i="57" s="1"/>
  <c r="H1209" i="57"/>
  <c r="G1209" i="57"/>
  <c r="I1209" i="57" s="1"/>
  <c r="H1208" i="57"/>
  <c r="G1208" i="57"/>
  <c r="I1208" i="57" s="1"/>
  <c r="H1207" i="57"/>
  <c r="G1207" i="57"/>
  <c r="I1207" i="57" s="1"/>
  <c r="H1206" i="57"/>
  <c r="G1206" i="57"/>
  <c r="I1206" i="57" s="1"/>
  <c r="H1205" i="57"/>
  <c r="G1205" i="57"/>
  <c r="I1205" i="57" s="1"/>
  <c r="H1204" i="57"/>
  <c r="G1204" i="57"/>
  <c r="I1204" i="57" s="1"/>
  <c r="H1203" i="57"/>
  <c r="G1203" i="57"/>
  <c r="I1203" i="57" s="1"/>
  <c r="H1202" i="57"/>
  <c r="G1202" i="57"/>
  <c r="I1202" i="57" s="1"/>
  <c r="H1201" i="57"/>
  <c r="G1201" i="57"/>
  <c r="I1201" i="57" s="1"/>
  <c r="H1200" i="57"/>
  <c r="G1200" i="57"/>
  <c r="I1200" i="57" s="1"/>
  <c r="H1199" i="57"/>
  <c r="G1199" i="57"/>
  <c r="I1199" i="57" s="1"/>
  <c r="H1198" i="57"/>
  <c r="G1198" i="57"/>
  <c r="I1198" i="57" s="1"/>
  <c r="H1197" i="57"/>
  <c r="G1197" i="57"/>
  <c r="I1197" i="57" s="1"/>
  <c r="H1196" i="57"/>
  <c r="G1196" i="57"/>
  <c r="I1196" i="57" s="1"/>
  <c r="H1195" i="57"/>
  <c r="G1195" i="57"/>
  <c r="I1195" i="57" s="1"/>
  <c r="I1193" i="57"/>
  <c r="H1193" i="57"/>
  <c r="I1192" i="57"/>
  <c r="H1192" i="57"/>
  <c r="I1191" i="57"/>
  <c r="H1191" i="57"/>
  <c r="I1190" i="57"/>
  <c r="H1190" i="57"/>
  <c r="I1189" i="57"/>
  <c r="H1189" i="57"/>
  <c r="I1188" i="57"/>
  <c r="H1188" i="57"/>
  <c r="H1187" i="57"/>
  <c r="G1187" i="57"/>
  <c r="I1187" i="57" s="1"/>
  <c r="I1186" i="57"/>
  <c r="H1186" i="57"/>
  <c r="I1176" i="57"/>
  <c r="H1176" i="57"/>
  <c r="I1175" i="57"/>
  <c r="H1175" i="57"/>
  <c r="I1174" i="57"/>
  <c r="H1174" i="57"/>
  <c r="J1174" i="57" s="1"/>
  <c r="I1173" i="57"/>
  <c r="H1173" i="57"/>
  <c r="I1172" i="57"/>
  <c r="H1172" i="57"/>
  <c r="I1170" i="57"/>
  <c r="H1170" i="57"/>
  <c r="I1169" i="57"/>
  <c r="H1169" i="57"/>
  <c r="D1168" i="57"/>
  <c r="I1168" i="57" s="1"/>
  <c r="D1167" i="57"/>
  <c r="I1167" i="57" s="1"/>
  <c r="D1166" i="57"/>
  <c r="I1166" i="57" s="1"/>
  <c r="D1165" i="57"/>
  <c r="I1165" i="57" s="1"/>
  <c r="D1164" i="57"/>
  <c r="I1164" i="57" s="1"/>
  <c r="I1162" i="57"/>
  <c r="H1162" i="57"/>
  <c r="I1161" i="57"/>
  <c r="H1161" i="57"/>
  <c r="I1160" i="57"/>
  <c r="H1160" i="57"/>
  <c r="I1159" i="57"/>
  <c r="H1159" i="57"/>
  <c r="I1158" i="57"/>
  <c r="H1158" i="57"/>
  <c r="I1149" i="57"/>
  <c r="H1149" i="57"/>
  <c r="I1148" i="57"/>
  <c r="H1148" i="57"/>
  <c r="I1147" i="57"/>
  <c r="H1147" i="57"/>
  <c r="I1146" i="57"/>
  <c r="H1146" i="57"/>
  <c r="I1145" i="57"/>
  <c r="H1145" i="57"/>
  <c r="I1144" i="57"/>
  <c r="H1144" i="57"/>
  <c r="I1143" i="57"/>
  <c r="H1143" i="57"/>
  <c r="I1142" i="57"/>
  <c r="H1142" i="57"/>
  <c r="I1140" i="57"/>
  <c r="H1140" i="57"/>
  <c r="I1139" i="57"/>
  <c r="H1139" i="57"/>
  <c r="I1138" i="57"/>
  <c r="H1138" i="57"/>
  <c r="D1136" i="57"/>
  <c r="I1136" i="57" s="1"/>
  <c r="D1135" i="57"/>
  <c r="I1134" i="57"/>
  <c r="H1134" i="57"/>
  <c r="I1133" i="57"/>
  <c r="H1133" i="57"/>
  <c r="I1132" i="57"/>
  <c r="H1132" i="57"/>
  <c r="I1131" i="57"/>
  <c r="H1131" i="57"/>
  <c r="I1130" i="57"/>
  <c r="H1130" i="57"/>
  <c r="I1129" i="57"/>
  <c r="H1129" i="57"/>
  <c r="C1118" i="57"/>
  <c r="H1116" i="57"/>
  <c r="G1116" i="57"/>
  <c r="I1116" i="57" s="1"/>
  <c r="I1115" i="57"/>
  <c r="H1115" i="57"/>
  <c r="I1114" i="57"/>
  <c r="H1114" i="57"/>
  <c r="D1112" i="57"/>
  <c r="I1112" i="57" s="1"/>
  <c r="I1111" i="57"/>
  <c r="H1111" i="57"/>
  <c r="I1110" i="57"/>
  <c r="H1110" i="57"/>
  <c r="I1109" i="57"/>
  <c r="H1109" i="57"/>
  <c r="I1108" i="57"/>
  <c r="H1108" i="57"/>
  <c r="I1106" i="57"/>
  <c r="H1106" i="57"/>
  <c r="I1105" i="57"/>
  <c r="H1105" i="57"/>
  <c r="I1104" i="57"/>
  <c r="H1104" i="57"/>
  <c r="I1102" i="57"/>
  <c r="H1102" i="57"/>
  <c r="I1101" i="57"/>
  <c r="H1101" i="57"/>
  <c r="I1100" i="57"/>
  <c r="H1100" i="57"/>
  <c r="I1099" i="57"/>
  <c r="H1099" i="57"/>
  <c r="I1098" i="57"/>
  <c r="H1098" i="57"/>
  <c r="I1088" i="57"/>
  <c r="H1088" i="57"/>
  <c r="I1087" i="57"/>
  <c r="H1087" i="57"/>
  <c r="I1086" i="57"/>
  <c r="H1086" i="57"/>
  <c r="I1085" i="57"/>
  <c r="H1085" i="57"/>
  <c r="I1084" i="57"/>
  <c r="H1084" i="57"/>
  <c r="I1083" i="57"/>
  <c r="H1083" i="57"/>
  <c r="I1082" i="57"/>
  <c r="H1082" i="57"/>
  <c r="I1079" i="57"/>
  <c r="H1079" i="57"/>
  <c r="I1078" i="57"/>
  <c r="H1078" i="57"/>
  <c r="I1077" i="57"/>
  <c r="H1077" i="57"/>
  <c r="I1076" i="57"/>
  <c r="H1076" i="57"/>
  <c r="I1075" i="57"/>
  <c r="H1075" i="57"/>
  <c r="I1074" i="57"/>
  <c r="H1074" i="57"/>
  <c r="D1073" i="57"/>
  <c r="I1073" i="57" s="1"/>
  <c r="I1072" i="57"/>
  <c r="H1072" i="57"/>
  <c r="J1072" i="57" s="1"/>
  <c r="I1071" i="57"/>
  <c r="H1071" i="57"/>
  <c r="I1070" i="57"/>
  <c r="H1070" i="57"/>
  <c r="I1069" i="57"/>
  <c r="H1069" i="57"/>
  <c r="I1068" i="57"/>
  <c r="H1068" i="57"/>
  <c r="I1067" i="57"/>
  <c r="H1067" i="57"/>
  <c r="I1066" i="57"/>
  <c r="H1066" i="57"/>
  <c r="D1065" i="57"/>
  <c r="I1065" i="57" s="1"/>
  <c r="D1064" i="57"/>
  <c r="H1064" i="57" s="1"/>
  <c r="D1063" i="57"/>
  <c r="I1063" i="57" s="1"/>
  <c r="D1062" i="57"/>
  <c r="H1062" i="57" s="1"/>
  <c r="D1061" i="57"/>
  <c r="I1061" i="57" s="1"/>
  <c r="I1060" i="57"/>
  <c r="H1060" i="57"/>
  <c r="D1051" i="57"/>
  <c r="I1051" i="57" s="1"/>
  <c r="D1050" i="57"/>
  <c r="I1050" i="57" s="1"/>
  <c r="D1049" i="57"/>
  <c r="I1049" i="57" s="1"/>
  <c r="D1048" i="57"/>
  <c r="I1048" i="57" s="1"/>
  <c r="D1047" i="57"/>
  <c r="I1047" i="57" s="1"/>
  <c r="I1046" i="57"/>
  <c r="H1046" i="57"/>
  <c r="I1045" i="57"/>
  <c r="H1045" i="57"/>
  <c r="J1045" i="57" s="1"/>
  <c r="D1044" i="57"/>
  <c r="D1043" i="57"/>
  <c r="I1043" i="57" s="1"/>
  <c r="I1042" i="57"/>
  <c r="H1042" i="57"/>
  <c r="D1041" i="57"/>
  <c r="I1041" i="57" s="1"/>
  <c r="D1040" i="57"/>
  <c r="H1040" i="57" s="1"/>
  <c r="I1039" i="57"/>
  <c r="H1039" i="57"/>
  <c r="H1037" i="57"/>
  <c r="G1037" i="57"/>
  <c r="I1037" i="57" s="1"/>
  <c r="H1036" i="57"/>
  <c r="G1036" i="57"/>
  <c r="I1036" i="57" s="1"/>
  <c r="H1035" i="57"/>
  <c r="G1035" i="57"/>
  <c r="I1035" i="57" s="1"/>
  <c r="H1034" i="57"/>
  <c r="G1034" i="57"/>
  <c r="I1034" i="57" s="1"/>
  <c r="H1033" i="57"/>
  <c r="G1033" i="57"/>
  <c r="I1033" i="57" s="1"/>
  <c r="H1032" i="57"/>
  <c r="G1032" i="57"/>
  <c r="I1032" i="57" s="1"/>
  <c r="H1031" i="57"/>
  <c r="G1031" i="57"/>
  <c r="I1031" i="57" s="1"/>
  <c r="H1030" i="57"/>
  <c r="G1030" i="57"/>
  <c r="I1030" i="57" s="1"/>
  <c r="H1029" i="57"/>
  <c r="G1029" i="57"/>
  <c r="I1029" i="57" s="1"/>
  <c r="H1020" i="57"/>
  <c r="G1020" i="57"/>
  <c r="I1020" i="57" s="1"/>
  <c r="H1019" i="57"/>
  <c r="G1019" i="57"/>
  <c r="I1019" i="57" s="1"/>
  <c r="H1018" i="57"/>
  <c r="G1018" i="57"/>
  <c r="I1018" i="57" s="1"/>
  <c r="H1017" i="57"/>
  <c r="G1017" i="57"/>
  <c r="I1017" i="57" s="1"/>
  <c r="H1016" i="57"/>
  <c r="G1016" i="57"/>
  <c r="I1016" i="57" s="1"/>
  <c r="H1015" i="57"/>
  <c r="G1015" i="57"/>
  <c r="I1015" i="57" s="1"/>
  <c r="H1014" i="57"/>
  <c r="G1014" i="57"/>
  <c r="I1014" i="57" s="1"/>
  <c r="H1013" i="57"/>
  <c r="G1013" i="57"/>
  <c r="I1013" i="57" s="1"/>
  <c r="I1011" i="57"/>
  <c r="H1011" i="57"/>
  <c r="I1010" i="57"/>
  <c r="H1010" i="57"/>
  <c r="I1009" i="57"/>
  <c r="H1009" i="57"/>
  <c r="I1008" i="57"/>
  <c r="H1008" i="57"/>
  <c r="I1007" i="57"/>
  <c r="H1007" i="57"/>
  <c r="J1007" i="57" s="1"/>
  <c r="I1006" i="57"/>
  <c r="H1006" i="57"/>
  <c r="I1005" i="57"/>
  <c r="H1005" i="57"/>
  <c r="H1004" i="57"/>
  <c r="G1004" i="57"/>
  <c r="I1004" i="57" s="1"/>
  <c r="I1003" i="57"/>
  <c r="H1003" i="57"/>
  <c r="I1000" i="57"/>
  <c r="H1000" i="57"/>
  <c r="I999" i="57"/>
  <c r="H999" i="57"/>
  <c r="I998" i="57"/>
  <c r="H998" i="57"/>
  <c r="I989" i="57"/>
  <c r="H989" i="57"/>
  <c r="I988" i="57"/>
  <c r="H988" i="57"/>
  <c r="I986" i="57"/>
  <c r="H986" i="57"/>
  <c r="I985" i="57"/>
  <c r="H985" i="57"/>
  <c r="D984" i="57"/>
  <c r="I984" i="57" s="1"/>
  <c r="D983" i="57"/>
  <c r="I983" i="57" s="1"/>
  <c r="D982" i="57"/>
  <c r="I982" i="57" s="1"/>
  <c r="D981" i="57"/>
  <c r="I981" i="57" s="1"/>
  <c r="D980" i="57"/>
  <c r="H980" i="57" s="1"/>
  <c r="I978" i="57"/>
  <c r="H978" i="57"/>
  <c r="I977" i="57"/>
  <c r="H977" i="57"/>
  <c r="I976" i="57"/>
  <c r="H976" i="57"/>
  <c r="I975" i="57"/>
  <c r="H975" i="57"/>
  <c r="I974" i="57"/>
  <c r="H974" i="57"/>
  <c r="I973" i="57"/>
  <c r="H973" i="57"/>
  <c r="I972" i="57"/>
  <c r="H972" i="57"/>
  <c r="I971" i="57"/>
  <c r="H971" i="57"/>
  <c r="I962" i="57"/>
  <c r="H962" i="57"/>
  <c r="I961" i="57"/>
  <c r="H961" i="57"/>
  <c r="I960" i="57"/>
  <c r="H960" i="57"/>
  <c r="I959" i="57"/>
  <c r="H959" i="57"/>
  <c r="I958" i="57"/>
  <c r="H958" i="57"/>
  <c r="I956" i="57"/>
  <c r="H956" i="57"/>
  <c r="I955" i="57"/>
  <c r="H955" i="57"/>
  <c r="I954" i="57"/>
  <c r="H954" i="57"/>
  <c r="D952" i="57"/>
  <c r="I952" i="57" s="1"/>
  <c r="D951" i="57"/>
  <c r="I951" i="57" s="1"/>
  <c r="I950" i="57"/>
  <c r="H950" i="57"/>
  <c r="I949" i="57"/>
  <c r="H949" i="57"/>
  <c r="I948" i="57"/>
  <c r="H948" i="57"/>
  <c r="I947" i="57"/>
  <c r="H947" i="57"/>
  <c r="I946" i="57"/>
  <c r="H946" i="57"/>
  <c r="I945" i="57"/>
  <c r="H945" i="57"/>
  <c r="C934" i="57"/>
  <c r="H932" i="57"/>
  <c r="G932" i="57"/>
  <c r="I932" i="57" s="1"/>
  <c r="I931" i="57"/>
  <c r="H931" i="57"/>
  <c r="I930" i="57"/>
  <c r="H930" i="57"/>
  <c r="J930" i="57" s="1"/>
  <c r="D928" i="57"/>
  <c r="I927" i="57"/>
  <c r="H927" i="57"/>
  <c r="I926" i="57"/>
  <c r="H926" i="57"/>
  <c r="I925" i="57"/>
  <c r="H925" i="57"/>
  <c r="I924" i="57"/>
  <c r="H924" i="57"/>
  <c r="I922" i="57"/>
  <c r="H922" i="57"/>
  <c r="I921" i="57"/>
  <c r="H921" i="57"/>
  <c r="I920" i="57"/>
  <c r="H920" i="57"/>
  <c r="I918" i="57"/>
  <c r="H918" i="57"/>
  <c r="I917" i="57"/>
  <c r="H917" i="57"/>
  <c r="I916" i="57"/>
  <c r="H916" i="57"/>
  <c r="I915" i="57"/>
  <c r="H915" i="57"/>
  <c r="I914" i="57"/>
  <c r="H914" i="57"/>
  <c r="I904" i="57"/>
  <c r="H904" i="57"/>
  <c r="I903" i="57"/>
  <c r="H903" i="57"/>
  <c r="I902" i="57"/>
  <c r="H902" i="57"/>
  <c r="I901" i="57"/>
  <c r="H901" i="57"/>
  <c r="I900" i="57"/>
  <c r="H900" i="57"/>
  <c r="I899" i="57"/>
  <c r="H899" i="57"/>
  <c r="I898" i="57"/>
  <c r="H898" i="57"/>
  <c r="I895" i="57"/>
  <c r="H895" i="57"/>
  <c r="I894" i="57"/>
  <c r="H894" i="57"/>
  <c r="I893" i="57"/>
  <c r="H893" i="57"/>
  <c r="I892" i="57"/>
  <c r="H892" i="57"/>
  <c r="I891" i="57"/>
  <c r="H891" i="57"/>
  <c r="I890" i="57"/>
  <c r="H890" i="57"/>
  <c r="D889" i="57"/>
  <c r="I888" i="57"/>
  <c r="H888" i="57"/>
  <c r="I887" i="57"/>
  <c r="H887" i="57"/>
  <c r="I886" i="57"/>
  <c r="H886" i="57"/>
  <c r="I885" i="57"/>
  <c r="H885" i="57"/>
  <c r="I884" i="57"/>
  <c r="H884" i="57"/>
  <c r="I883" i="57"/>
  <c r="H883" i="57"/>
  <c r="J883" i="57" s="1"/>
  <c r="I874" i="57"/>
  <c r="H874" i="57"/>
  <c r="D873" i="57"/>
  <c r="H873" i="57" s="1"/>
  <c r="D872" i="57"/>
  <c r="I872" i="57" s="1"/>
  <c r="D871" i="57"/>
  <c r="H871" i="57" s="1"/>
  <c r="D870" i="57"/>
  <c r="I870" i="57" s="1"/>
  <c r="D869" i="57"/>
  <c r="H869" i="57" s="1"/>
  <c r="I868" i="57"/>
  <c r="H868" i="57"/>
  <c r="D867" i="57"/>
  <c r="I867" i="57" s="1"/>
  <c r="D866" i="57"/>
  <c r="I866" i="57" s="1"/>
  <c r="D865" i="57"/>
  <c r="I865" i="57" s="1"/>
  <c r="D864" i="57"/>
  <c r="I864" i="57" s="1"/>
  <c r="D863" i="57"/>
  <c r="I863" i="57" s="1"/>
  <c r="I862" i="57"/>
  <c r="H862" i="57"/>
  <c r="I861" i="57"/>
  <c r="H861" i="57"/>
  <c r="D860" i="57"/>
  <c r="H860" i="57" s="1"/>
  <c r="D859" i="57"/>
  <c r="I859" i="57" s="1"/>
  <c r="I858" i="57"/>
  <c r="H858" i="57"/>
  <c r="D857" i="57"/>
  <c r="D856" i="57"/>
  <c r="I855" i="57"/>
  <c r="H855" i="57"/>
  <c r="H853" i="57"/>
  <c r="G853" i="57"/>
  <c r="I853" i="57" s="1"/>
  <c r="H852" i="57"/>
  <c r="G852" i="57"/>
  <c r="I852" i="57" s="1"/>
  <c r="H843" i="57"/>
  <c r="G843" i="57"/>
  <c r="I843" i="57" s="1"/>
  <c r="H842" i="57"/>
  <c r="G842" i="57"/>
  <c r="I842" i="57" s="1"/>
  <c r="H841" i="57"/>
  <c r="G841" i="57"/>
  <c r="I841" i="57" s="1"/>
  <c r="H840" i="57"/>
  <c r="G840" i="57"/>
  <c r="I840" i="57" s="1"/>
  <c r="H839" i="57"/>
  <c r="G839" i="57"/>
  <c r="I839" i="57" s="1"/>
  <c r="H838" i="57"/>
  <c r="G838" i="57"/>
  <c r="I838" i="57" s="1"/>
  <c r="H837" i="57"/>
  <c r="G837" i="57"/>
  <c r="I837" i="57" s="1"/>
  <c r="H836" i="57"/>
  <c r="G836" i="57"/>
  <c r="I836" i="57" s="1"/>
  <c r="H835" i="57"/>
  <c r="G835" i="57"/>
  <c r="I835" i="57" s="1"/>
  <c r="H834" i="57"/>
  <c r="G834" i="57"/>
  <c r="I834" i="57" s="1"/>
  <c r="H833" i="57"/>
  <c r="G833" i="57"/>
  <c r="I833" i="57" s="1"/>
  <c r="H832" i="57"/>
  <c r="G832" i="57"/>
  <c r="I832" i="57" s="1"/>
  <c r="H831" i="57"/>
  <c r="G831" i="57"/>
  <c r="I831" i="57" s="1"/>
  <c r="H830" i="57"/>
  <c r="G830" i="57"/>
  <c r="I830" i="57" s="1"/>
  <c r="H829" i="57"/>
  <c r="G829" i="57"/>
  <c r="I829" i="57" s="1"/>
  <c r="I827" i="57"/>
  <c r="H827" i="57"/>
  <c r="I826" i="57"/>
  <c r="H826" i="57"/>
  <c r="I825" i="57"/>
  <c r="H825" i="57"/>
  <c r="I824" i="57"/>
  <c r="H824" i="57"/>
  <c r="I823" i="57"/>
  <c r="H823" i="57"/>
  <c r="I822" i="57"/>
  <c r="H822" i="57"/>
  <c r="I821" i="57"/>
  <c r="H821" i="57"/>
  <c r="J821" i="57" s="1"/>
  <c r="H812" i="57"/>
  <c r="G812" i="57"/>
  <c r="I812" i="57" s="1"/>
  <c r="I811" i="57"/>
  <c r="H811" i="57"/>
  <c r="I808" i="57"/>
  <c r="H808" i="57"/>
  <c r="I807" i="57"/>
  <c r="H807" i="57"/>
  <c r="I806" i="57"/>
  <c r="H806" i="57"/>
  <c r="I805" i="57"/>
  <c r="H805" i="57"/>
  <c r="I804" i="57"/>
  <c r="H804" i="57"/>
  <c r="I802" i="57"/>
  <c r="H802" i="57"/>
  <c r="I801" i="57"/>
  <c r="H801" i="57"/>
  <c r="D800" i="57"/>
  <c r="I800" i="57" s="1"/>
  <c r="D799" i="57"/>
  <c r="D798" i="57"/>
  <c r="I798" i="57" s="1"/>
  <c r="D797" i="57"/>
  <c r="I797" i="57" s="1"/>
  <c r="D796" i="57"/>
  <c r="I794" i="57"/>
  <c r="H794" i="57"/>
  <c r="I793" i="57"/>
  <c r="H793" i="57"/>
  <c r="I784" i="57"/>
  <c r="H784" i="57"/>
  <c r="I783" i="57"/>
  <c r="H783" i="57"/>
  <c r="I782" i="57"/>
  <c r="H782" i="57"/>
  <c r="I781" i="57"/>
  <c r="H781" i="57"/>
  <c r="I780" i="57"/>
  <c r="H780" i="57"/>
  <c r="J780" i="57" s="1"/>
  <c r="I779" i="57"/>
  <c r="H779" i="57"/>
  <c r="I778" i="57"/>
  <c r="H778" i="57"/>
  <c r="I777" i="57"/>
  <c r="H777" i="57"/>
  <c r="I776" i="57"/>
  <c r="H776" i="57"/>
  <c r="I775" i="57"/>
  <c r="H775" i="57"/>
  <c r="I774" i="57"/>
  <c r="H774" i="57"/>
  <c r="I772" i="57"/>
  <c r="H772" i="57"/>
  <c r="I771" i="57"/>
  <c r="H771" i="57"/>
  <c r="I770" i="57"/>
  <c r="H770" i="57"/>
  <c r="D760" i="57"/>
  <c r="H760" i="57" s="1"/>
  <c r="D759" i="57"/>
  <c r="I758" i="57"/>
  <c r="H758" i="57"/>
  <c r="I757" i="57"/>
  <c r="H757" i="57"/>
  <c r="I756" i="57"/>
  <c r="H756" i="57"/>
  <c r="I755" i="57"/>
  <c r="H755" i="57"/>
  <c r="I754" i="57"/>
  <c r="H754" i="57"/>
  <c r="I753" i="57"/>
  <c r="H753" i="57"/>
  <c r="C750" i="57"/>
  <c r="H748" i="57"/>
  <c r="G748" i="57"/>
  <c r="I748" i="57" s="1"/>
  <c r="I747" i="57"/>
  <c r="H747" i="57"/>
  <c r="I746" i="57"/>
  <c r="H746" i="57"/>
  <c r="D744" i="57"/>
  <c r="I744" i="57" s="1"/>
  <c r="I743" i="57"/>
  <c r="H743" i="57"/>
  <c r="I742" i="57"/>
  <c r="H742" i="57"/>
  <c r="I741" i="57"/>
  <c r="H741" i="57"/>
  <c r="I740" i="57"/>
  <c r="H740" i="57"/>
  <c r="I730" i="57"/>
  <c r="H730" i="57"/>
  <c r="I729" i="57"/>
  <c r="H729" i="57"/>
  <c r="I728" i="57"/>
  <c r="H728" i="57"/>
  <c r="I726" i="57"/>
  <c r="H726" i="57"/>
  <c r="I725" i="57"/>
  <c r="H725" i="57"/>
  <c r="I724" i="57"/>
  <c r="H724" i="57"/>
  <c r="I723" i="57"/>
  <c r="H723" i="57"/>
  <c r="I722" i="57"/>
  <c r="H722" i="57"/>
  <c r="I720" i="57"/>
  <c r="H720" i="57"/>
  <c r="I703" i="57"/>
  <c r="H703" i="57"/>
  <c r="I702" i="57"/>
  <c r="H702" i="57"/>
  <c r="I701" i="57"/>
  <c r="H701" i="57"/>
  <c r="I700" i="57"/>
  <c r="H700" i="57"/>
  <c r="I699" i="57"/>
  <c r="H699" i="57"/>
  <c r="I698" i="57"/>
  <c r="H698" i="57"/>
  <c r="D697" i="57"/>
  <c r="I697" i="57" s="1"/>
  <c r="I696" i="57"/>
  <c r="H696" i="57"/>
  <c r="I695" i="57"/>
  <c r="H695" i="57"/>
  <c r="I694" i="57"/>
  <c r="H694" i="57"/>
  <c r="I693" i="57"/>
  <c r="H693" i="57"/>
  <c r="I692" i="57"/>
  <c r="H692" i="57"/>
  <c r="I691" i="57"/>
  <c r="H691" i="57"/>
  <c r="I690" i="57"/>
  <c r="H690" i="57"/>
  <c r="D689" i="57"/>
  <c r="I689" i="57" s="1"/>
  <c r="D688" i="57"/>
  <c r="I688" i="57" s="1"/>
  <c r="D687" i="57"/>
  <c r="H687" i="57" s="1"/>
  <c r="D686" i="57"/>
  <c r="I686" i="57" s="1"/>
  <c r="D685" i="57"/>
  <c r="I685" i="57" s="1"/>
  <c r="I684" i="57"/>
  <c r="H684" i="57"/>
  <c r="D675" i="57"/>
  <c r="I675" i="57" s="1"/>
  <c r="D674" i="57"/>
  <c r="D673" i="57"/>
  <c r="I673" i="57" s="1"/>
  <c r="D672" i="57"/>
  <c r="I672" i="57" s="1"/>
  <c r="D671" i="57"/>
  <c r="I670" i="57"/>
  <c r="H670" i="57"/>
  <c r="I669" i="57"/>
  <c r="H669" i="57"/>
  <c r="D668" i="57"/>
  <c r="D667" i="57"/>
  <c r="I667" i="57" s="1"/>
  <c r="I666" i="57"/>
  <c r="H666" i="57"/>
  <c r="D665" i="57"/>
  <c r="H665" i="57" s="1"/>
  <c r="D664" i="57"/>
  <c r="I664" i="57" s="1"/>
  <c r="I663" i="57"/>
  <c r="H663" i="57"/>
  <c r="H661" i="57"/>
  <c r="G661" i="57"/>
  <c r="I661" i="57" s="1"/>
  <c r="H660" i="57"/>
  <c r="G660" i="57"/>
  <c r="I660" i="57" s="1"/>
  <c r="H659" i="57"/>
  <c r="G659" i="57"/>
  <c r="I659" i="57" s="1"/>
  <c r="H658" i="57"/>
  <c r="G658" i="57"/>
  <c r="I658" i="57" s="1"/>
  <c r="H657" i="57"/>
  <c r="G657" i="57"/>
  <c r="I657" i="57" s="1"/>
  <c r="H656" i="57"/>
  <c r="G656" i="57"/>
  <c r="I656" i="57" s="1"/>
  <c r="H655" i="57"/>
  <c r="G655" i="57"/>
  <c r="I655" i="57" s="1"/>
  <c r="H654" i="57"/>
  <c r="G654" i="57"/>
  <c r="I654" i="57" s="1"/>
  <c r="H653" i="57"/>
  <c r="G653" i="57"/>
  <c r="I653" i="57" s="1"/>
  <c r="H652" i="57"/>
  <c r="G652" i="57"/>
  <c r="I652" i="57" s="1"/>
  <c r="H651" i="57"/>
  <c r="G651" i="57"/>
  <c r="I651" i="57" s="1"/>
  <c r="I641" i="57"/>
  <c r="H641" i="57"/>
  <c r="I640" i="57"/>
  <c r="H640" i="57"/>
  <c r="I639" i="57"/>
  <c r="H639" i="57"/>
  <c r="I638" i="57"/>
  <c r="H638" i="57"/>
  <c r="H637" i="57"/>
  <c r="G637" i="57"/>
  <c r="I637" i="57" s="1"/>
  <c r="I636" i="57"/>
  <c r="H636" i="57"/>
  <c r="I633" i="57"/>
  <c r="H633" i="57"/>
  <c r="I632" i="57"/>
  <c r="H632" i="57"/>
  <c r="I631" i="57"/>
  <c r="H631" i="57"/>
  <c r="I630" i="57"/>
  <c r="H630" i="57"/>
  <c r="J630" i="57" s="1"/>
  <c r="I629" i="57"/>
  <c r="H629" i="57"/>
  <c r="I627" i="57"/>
  <c r="H627" i="57"/>
  <c r="I626" i="57"/>
  <c r="H626" i="57"/>
  <c r="D625" i="57"/>
  <c r="I625" i="57" s="1"/>
  <c r="D624" i="57"/>
  <c r="I624" i="57" s="1"/>
  <c r="D623" i="57"/>
  <c r="D622" i="57"/>
  <c r="I612" i="57"/>
  <c r="H612" i="57"/>
  <c r="I611" i="57"/>
  <c r="H611" i="57"/>
  <c r="I610" i="57"/>
  <c r="H610" i="57"/>
  <c r="I609" i="57"/>
  <c r="H609" i="57"/>
  <c r="I608" i="57"/>
  <c r="H608" i="57"/>
  <c r="J608" i="57" s="1"/>
  <c r="I607" i="57"/>
  <c r="H607" i="57"/>
  <c r="I606" i="57"/>
  <c r="H606" i="57"/>
  <c r="I605" i="57"/>
  <c r="H605" i="57"/>
  <c r="I604" i="57"/>
  <c r="H604" i="57"/>
  <c r="I603" i="57"/>
  <c r="H603" i="57"/>
  <c r="I602" i="57"/>
  <c r="H602" i="57"/>
  <c r="I601" i="57"/>
  <c r="H601" i="57"/>
  <c r="I600" i="57"/>
  <c r="H600" i="57"/>
  <c r="I599" i="57"/>
  <c r="H599" i="57"/>
  <c r="I597" i="57"/>
  <c r="H597" i="57"/>
  <c r="I596" i="57"/>
  <c r="H596" i="57"/>
  <c r="I595" i="57"/>
  <c r="H595" i="57"/>
  <c r="D593" i="57"/>
  <c r="I593" i="57" s="1"/>
  <c r="D592" i="57"/>
  <c r="I592" i="57" s="1"/>
  <c r="I591" i="57"/>
  <c r="H591" i="57"/>
  <c r="I590" i="57"/>
  <c r="H590" i="57"/>
  <c r="I589" i="57"/>
  <c r="H589" i="57"/>
  <c r="I588" i="57"/>
  <c r="H588" i="57"/>
  <c r="I587" i="57"/>
  <c r="H587" i="57"/>
  <c r="I586" i="57"/>
  <c r="H586" i="57"/>
  <c r="I585" i="57"/>
  <c r="H585" i="57"/>
  <c r="C574" i="57"/>
  <c r="H572" i="57"/>
  <c r="G572" i="57"/>
  <c r="I572" i="57" s="1"/>
  <c r="I571" i="57"/>
  <c r="H571" i="57"/>
  <c r="I570" i="57"/>
  <c r="H570" i="57"/>
  <c r="D568" i="57"/>
  <c r="H568" i="57" s="1"/>
  <c r="I567" i="57"/>
  <c r="H567" i="57"/>
  <c r="I566" i="57"/>
  <c r="H566" i="57"/>
  <c r="I565" i="57"/>
  <c r="H565" i="57"/>
  <c r="I564" i="57"/>
  <c r="H564" i="57"/>
  <c r="I562" i="57"/>
  <c r="H562" i="57"/>
  <c r="I561" i="57"/>
  <c r="H561" i="57"/>
  <c r="I560" i="57"/>
  <c r="H560" i="57"/>
  <c r="I558" i="57"/>
  <c r="H558" i="57"/>
  <c r="I557" i="57"/>
  <c r="H557" i="57"/>
  <c r="I556" i="57"/>
  <c r="H556" i="57"/>
  <c r="I555" i="57"/>
  <c r="H555" i="57"/>
  <c r="I554" i="57"/>
  <c r="H554" i="57"/>
  <c r="I552" i="57"/>
  <c r="H552" i="57"/>
  <c r="I551" i="57"/>
  <c r="H551" i="57"/>
  <c r="I550" i="57"/>
  <c r="H550" i="57"/>
  <c r="I549" i="57"/>
  <c r="H549" i="57"/>
  <c r="J549" i="57" s="1"/>
  <c r="I548" i="57"/>
  <c r="H548" i="57"/>
  <c r="I539" i="57"/>
  <c r="H539" i="57"/>
  <c r="I538" i="57"/>
  <c r="H538" i="57"/>
  <c r="I535" i="57"/>
  <c r="H535" i="57"/>
  <c r="I534" i="57"/>
  <c r="H534" i="57"/>
  <c r="I533" i="57"/>
  <c r="H533" i="57"/>
  <c r="I532" i="57"/>
  <c r="H532" i="57"/>
  <c r="I531" i="57"/>
  <c r="H531" i="57"/>
  <c r="I530" i="57"/>
  <c r="H530" i="57"/>
  <c r="D529" i="57"/>
  <c r="I529" i="57" s="1"/>
  <c r="I528" i="57"/>
  <c r="H528" i="57"/>
  <c r="I527" i="57"/>
  <c r="H527" i="57"/>
  <c r="I526" i="57"/>
  <c r="H526" i="57"/>
  <c r="I525" i="57"/>
  <c r="H525" i="57"/>
  <c r="I524" i="57"/>
  <c r="H524" i="57"/>
  <c r="I523" i="57"/>
  <c r="H523" i="57"/>
  <c r="I522" i="57"/>
  <c r="H522" i="57"/>
  <c r="D521" i="57"/>
  <c r="D520" i="57"/>
  <c r="I520" i="57" s="1"/>
  <c r="D519" i="57"/>
  <c r="I519" i="57" s="1"/>
  <c r="D518" i="57"/>
  <c r="I518" i="57" s="1"/>
  <c r="D517" i="57"/>
  <c r="I517" i="57" s="1"/>
  <c r="I516" i="57"/>
  <c r="H516" i="57"/>
  <c r="J516" i="57" s="1"/>
  <c r="D515" i="57"/>
  <c r="H515" i="57" s="1"/>
  <c r="D514" i="57"/>
  <c r="I514" i="57" s="1"/>
  <c r="D513" i="57"/>
  <c r="I513" i="57" s="1"/>
  <c r="D512" i="57"/>
  <c r="I512" i="57" s="1"/>
  <c r="D511" i="57"/>
  <c r="I511" i="57" s="1"/>
  <c r="I502" i="57"/>
  <c r="H502" i="57"/>
  <c r="I501" i="57"/>
  <c r="H501" i="57"/>
  <c r="J501" i="57" s="1"/>
  <c r="D500" i="57"/>
  <c r="H500" i="57" s="1"/>
  <c r="D499" i="57"/>
  <c r="I499" i="57" s="1"/>
  <c r="I498" i="57"/>
  <c r="H498" i="57"/>
  <c r="D497" i="57"/>
  <c r="I497" i="57" s="1"/>
  <c r="D496" i="57"/>
  <c r="I496" i="57" s="1"/>
  <c r="I495" i="57"/>
  <c r="H495" i="57"/>
  <c r="H493" i="57"/>
  <c r="G493" i="57"/>
  <c r="I493" i="57" s="1"/>
  <c r="H492" i="57"/>
  <c r="G492" i="57"/>
  <c r="I492" i="57" s="1"/>
  <c r="H491" i="57"/>
  <c r="G491" i="57"/>
  <c r="I491" i="57" s="1"/>
  <c r="H490" i="57"/>
  <c r="G490" i="57"/>
  <c r="I490" i="57" s="1"/>
  <c r="H489" i="57"/>
  <c r="G489" i="57"/>
  <c r="I489" i="57" s="1"/>
  <c r="H488" i="57"/>
  <c r="G488" i="57"/>
  <c r="I488" i="57" s="1"/>
  <c r="H487" i="57"/>
  <c r="G487" i="57"/>
  <c r="I487" i="57" s="1"/>
  <c r="H486" i="57"/>
  <c r="G486" i="57"/>
  <c r="I486" i="57" s="1"/>
  <c r="H485" i="57"/>
  <c r="G485" i="57"/>
  <c r="I485" i="57" s="1"/>
  <c r="H484" i="57"/>
  <c r="G484" i="57"/>
  <c r="I484" i="57" s="1"/>
  <c r="I482" i="57"/>
  <c r="H482" i="57"/>
  <c r="I481" i="57"/>
  <c r="H481" i="57"/>
  <c r="I480" i="57"/>
  <c r="H480" i="57"/>
  <c r="I479" i="57"/>
  <c r="H479" i="57"/>
  <c r="I478" i="57"/>
  <c r="H478" i="57"/>
  <c r="I477" i="57"/>
  <c r="H477" i="57"/>
  <c r="I476" i="57"/>
  <c r="H476" i="57"/>
  <c r="H475" i="57"/>
  <c r="G475" i="57"/>
  <c r="I475" i="57" s="1"/>
  <c r="I474" i="57"/>
  <c r="H474" i="57"/>
  <c r="I471" i="57"/>
  <c r="H471" i="57"/>
  <c r="I462" i="57"/>
  <c r="H462" i="57"/>
  <c r="I461" i="57"/>
  <c r="H461" i="57"/>
  <c r="I460" i="57"/>
  <c r="H460" i="57"/>
  <c r="I459" i="57"/>
  <c r="H459" i="57"/>
  <c r="I458" i="57"/>
  <c r="H458" i="57"/>
  <c r="I456" i="57"/>
  <c r="H456" i="57"/>
  <c r="I455" i="57"/>
  <c r="H455" i="57"/>
  <c r="D454" i="57"/>
  <c r="I454" i="57" s="1"/>
  <c r="D453" i="57"/>
  <c r="D452" i="57"/>
  <c r="H452" i="57" s="1"/>
  <c r="D451" i="57"/>
  <c r="I451" i="57" s="1"/>
  <c r="D450" i="57"/>
  <c r="H450" i="57" s="1"/>
  <c r="I448" i="57"/>
  <c r="H448" i="57"/>
  <c r="I447" i="57"/>
  <c r="H447" i="57"/>
  <c r="J447" i="57" s="1"/>
  <c r="I446" i="57"/>
  <c r="H446" i="57"/>
  <c r="I445" i="57"/>
  <c r="H445" i="57"/>
  <c r="I444" i="57"/>
  <c r="H444" i="57"/>
  <c r="I443" i="57"/>
  <c r="H443" i="57"/>
  <c r="I434" i="57"/>
  <c r="H434" i="57"/>
  <c r="I433" i="57"/>
  <c r="H433" i="57"/>
  <c r="I432" i="57"/>
  <c r="H432" i="57"/>
  <c r="I431" i="57"/>
  <c r="H431" i="57"/>
  <c r="I430" i="57"/>
  <c r="H430" i="57"/>
  <c r="I429" i="57"/>
  <c r="H429" i="57"/>
  <c r="I428" i="57"/>
  <c r="H428" i="57"/>
  <c r="I427" i="57"/>
  <c r="H427" i="57"/>
  <c r="I426" i="57"/>
  <c r="H426" i="57"/>
  <c r="I425" i="57"/>
  <c r="H425" i="57"/>
  <c r="I423" i="57"/>
  <c r="H423" i="57"/>
  <c r="I422" i="57"/>
  <c r="H422" i="57"/>
  <c r="J422" i="57" s="1"/>
  <c r="I421" i="57"/>
  <c r="H421" i="57"/>
  <c r="I420" i="57"/>
  <c r="H420" i="57"/>
  <c r="D418" i="57"/>
  <c r="I418" i="57" s="1"/>
  <c r="D417" i="57"/>
  <c r="I416" i="57"/>
  <c r="H416" i="57"/>
  <c r="I407" i="57"/>
  <c r="H407" i="57"/>
  <c r="I406" i="57"/>
  <c r="H406" i="57"/>
  <c r="I405" i="57"/>
  <c r="H405" i="57"/>
  <c r="I404" i="57"/>
  <c r="H404" i="57"/>
  <c r="I403" i="57"/>
  <c r="H403" i="57"/>
  <c r="I402" i="57"/>
  <c r="H402" i="57"/>
  <c r="I401" i="57"/>
  <c r="H401" i="57"/>
  <c r="C398" i="57"/>
  <c r="H396" i="57"/>
  <c r="G396" i="57"/>
  <c r="I396" i="57" s="1"/>
  <c r="I395" i="57"/>
  <c r="H395" i="57"/>
  <c r="I394" i="57"/>
  <c r="H394" i="57"/>
  <c r="J394" i="57" s="1"/>
  <c r="I393" i="57"/>
  <c r="H393" i="57"/>
  <c r="I390" i="57"/>
  <c r="H390" i="57"/>
  <c r="I389" i="57"/>
  <c r="H389" i="57"/>
  <c r="D387" i="57"/>
  <c r="I387" i="57" s="1"/>
  <c r="I386" i="57"/>
  <c r="H386" i="57"/>
  <c r="I377" i="57"/>
  <c r="H377" i="57"/>
  <c r="I376" i="57"/>
  <c r="H376" i="57"/>
  <c r="I375" i="57"/>
  <c r="H375" i="57"/>
  <c r="I373" i="57"/>
  <c r="H373" i="57"/>
  <c r="I372" i="57"/>
  <c r="H372" i="57"/>
  <c r="J372" i="57" s="1"/>
  <c r="I371" i="57"/>
  <c r="H371" i="57"/>
  <c r="I369" i="57"/>
  <c r="H369" i="57"/>
  <c r="I368" i="57"/>
  <c r="H368" i="57"/>
  <c r="I367" i="57"/>
  <c r="H367" i="57"/>
  <c r="I366" i="57"/>
  <c r="H366" i="57"/>
  <c r="I365" i="57"/>
  <c r="H365" i="57"/>
  <c r="I363" i="57"/>
  <c r="H363" i="57"/>
  <c r="I362" i="57"/>
  <c r="H362" i="57"/>
  <c r="I361" i="57"/>
  <c r="H361" i="57"/>
  <c r="I360" i="57"/>
  <c r="H360" i="57"/>
  <c r="I359" i="57"/>
  <c r="H359" i="57"/>
  <c r="I358" i="57"/>
  <c r="H358" i="57"/>
  <c r="I357" i="57"/>
  <c r="H357" i="57"/>
  <c r="I356" i="57"/>
  <c r="H356" i="57"/>
  <c r="I346" i="57"/>
  <c r="H346" i="57"/>
  <c r="I345" i="57"/>
  <c r="H345" i="57"/>
  <c r="I344" i="57"/>
  <c r="H344" i="57"/>
  <c r="I343" i="57"/>
  <c r="H343" i="57"/>
  <c r="I342" i="57"/>
  <c r="H342" i="57"/>
  <c r="I341" i="57"/>
  <c r="H341" i="57"/>
  <c r="J341" i="57" s="1"/>
  <c r="I340" i="57"/>
  <c r="H340" i="57"/>
  <c r="I339" i="57"/>
  <c r="H339" i="57"/>
  <c r="I337" i="57"/>
  <c r="H337" i="57"/>
  <c r="I336" i="57"/>
  <c r="H336" i="57"/>
  <c r="I335" i="57"/>
  <c r="H335" i="57"/>
  <c r="I334" i="57"/>
  <c r="H334" i="57"/>
  <c r="I333" i="57"/>
  <c r="H333" i="57"/>
  <c r="I332" i="57"/>
  <c r="H332" i="57"/>
  <c r="I331" i="57"/>
  <c r="H331" i="57"/>
  <c r="I328" i="57"/>
  <c r="H328" i="57"/>
  <c r="I327" i="57"/>
  <c r="H327" i="57"/>
  <c r="I326" i="57"/>
  <c r="H326" i="57"/>
  <c r="I317" i="57"/>
  <c r="H317" i="57"/>
  <c r="I316" i="57"/>
  <c r="H316" i="57"/>
  <c r="I315" i="57"/>
  <c r="H315" i="57"/>
  <c r="D314" i="57"/>
  <c r="I314" i="57" s="1"/>
  <c r="I313" i="57"/>
  <c r="H313" i="57"/>
  <c r="I312" i="57"/>
  <c r="H312" i="57"/>
  <c r="I311" i="57"/>
  <c r="H311" i="57"/>
  <c r="I310" i="57"/>
  <c r="H310" i="57"/>
  <c r="I309" i="57"/>
  <c r="H309" i="57"/>
  <c r="I308" i="57"/>
  <c r="H308" i="57"/>
  <c r="D307" i="57"/>
  <c r="I307" i="57" s="1"/>
  <c r="D306" i="57"/>
  <c r="I306" i="57" s="1"/>
  <c r="D305" i="57"/>
  <c r="D304" i="57"/>
  <c r="I304" i="57" s="1"/>
  <c r="D303" i="57"/>
  <c r="H303" i="57" s="1"/>
  <c r="I302" i="57"/>
  <c r="H302" i="57"/>
  <c r="D301" i="57"/>
  <c r="I301" i="57" s="1"/>
  <c r="D300" i="57"/>
  <c r="H300" i="57" s="1"/>
  <c r="D299" i="57"/>
  <c r="I299" i="57" s="1"/>
  <c r="D298" i="57"/>
  <c r="H298" i="57" s="1"/>
  <c r="D297" i="57"/>
  <c r="I297" i="57" s="1"/>
  <c r="I296" i="57"/>
  <c r="H296" i="57"/>
  <c r="D286" i="57"/>
  <c r="H286" i="57" s="1"/>
  <c r="D285" i="57"/>
  <c r="I285" i="57" s="1"/>
  <c r="I284" i="57"/>
  <c r="H284" i="57"/>
  <c r="J284" i="57" s="1"/>
  <c r="D283" i="57"/>
  <c r="I283" i="57" s="1"/>
  <c r="D282" i="57"/>
  <c r="I281" i="57"/>
  <c r="H281" i="57"/>
  <c r="H279" i="57"/>
  <c r="G279" i="57"/>
  <c r="I279" i="57" s="1"/>
  <c r="H278" i="57"/>
  <c r="G278" i="57"/>
  <c r="I278" i="57" s="1"/>
  <c r="H277" i="57"/>
  <c r="G277" i="57"/>
  <c r="I277" i="57" s="1"/>
  <c r="H276" i="57"/>
  <c r="G276" i="57"/>
  <c r="I276" i="57" s="1"/>
  <c r="H275" i="57"/>
  <c r="G275" i="57"/>
  <c r="I275" i="57" s="1"/>
  <c r="H274" i="57"/>
  <c r="G274" i="57"/>
  <c r="I274" i="57" s="1"/>
  <c r="H273" i="57"/>
  <c r="G273" i="57"/>
  <c r="I273" i="57" s="1"/>
  <c r="H272" i="57"/>
  <c r="G272" i="57"/>
  <c r="I272" i="57" s="1"/>
  <c r="H271" i="57"/>
  <c r="G271" i="57"/>
  <c r="I271" i="57" s="1"/>
  <c r="H270" i="57"/>
  <c r="G270" i="57"/>
  <c r="I270" i="57" s="1"/>
  <c r="I268" i="57"/>
  <c r="H268" i="57"/>
  <c r="H267" i="57"/>
  <c r="G267" i="57"/>
  <c r="I267" i="57" s="1"/>
  <c r="I266" i="57"/>
  <c r="H266" i="57"/>
  <c r="I265" i="57"/>
  <c r="H265" i="57"/>
  <c r="I264" i="57"/>
  <c r="H264" i="57"/>
  <c r="I255" i="57"/>
  <c r="H255" i="57"/>
  <c r="I254" i="57"/>
  <c r="H254" i="57"/>
  <c r="H253" i="57"/>
  <c r="G253" i="57"/>
  <c r="I253" i="57" s="1"/>
  <c r="I252" i="57"/>
  <c r="H252" i="57"/>
  <c r="I249" i="57"/>
  <c r="H249" i="57"/>
  <c r="I248" i="57"/>
  <c r="H248" i="57"/>
  <c r="I247" i="57"/>
  <c r="H247" i="57"/>
  <c r="I246" i="57"/>
  <c r="H246" i="57"/>
  <c r="I245" i="57"/>
  <c r="H245" i="57"/>
  <c r="I243" i="57"/>
  <c r="H243" i="57"/>
  <c r="I242" i="57"/>
  <c r="H242" i="57"/>
  <c r="D241" i="57"/>
  <c r="I241" i="57" s="1"/>
  <c r="D240" i="57"/>
  <c r="I240" i="57" s="1"/>
  <c r="D239" i="57"/>
  <c r="I239" i="57" s="1"/>
  <c r="D238" i="57"/>
  <c r="I238" i="57" s="1"/>
  <c r="D237" i="57"/>
  <c r="I227" i="57"/>
  <c r="H227" i="57"/>
  <c r="I226" i="57"/>
  <c r="H226" i="57"/>
  <c r="I225" i="57"/>
  <c r="H225" i="57"/>
  <c r="I224" i="57"/>
  <c r="H224" i="57"/>
  <c r="I223" i="57"/>
  <c r="H223" i="57"/>
  <c r="I222" i="57"/>
  <c r="H222" i="57"/>
  <c r="I221" i="57"/>
  <c r="H221" i="57"/>
  <c r="I220" i="57"/>
  <c r="H220" i="57"/>
  <c r="I219" i="57"/>
  <c r="H219" i="57"/>
  <c r="I218" i="57"/>
  <c r="H218" i="57"/>
  <c r="I217" i="57"/>
  <c r="H217" i="57"/>
  <c r="I216" i="57"/>
  <c r="H216" i="57"/>
  <c r="I215" i="57"/>
  <c r="H215" i="57"/>
  <c r="I213" i="57"/>
  <c r="H213" i="57"/>
  <c r="J213" i="57" s="1"/>
  <c r="I212" i="57"/>
  <c r="H212" i="57"/>
  <c r="I211" i="57"/>
  <c r="H211" i="57"/>
  <c r="D201" i="57"/>
  <c r="I201" i="57" s="1"/>
  <c r="I200" i="57"/>
  <c r="H200" i="57"/>
  <c r="I199" i="57"/>
  <c r="H199" i="57"/>
  <c r="I198" i="57"/>
  <c r="H198" i="57"/>
  <c r="I197" i="57"/>
  <c r="H197" i="57"/>
  <c r="I196" i="57"/>
  <c r="H196" i="57"/>
  <c r="I195" i="57"/>
  <c r="H195" i="57"/>
  <c r="I194" i="57"/>
  <c r="H194" i="57"/>
  <c r="C191" i="57"/>
  <c r="I189" i="57"/>
  <c r="H189" i="57"/>
  <c r="I188" i="57"/>
  <c r="H188" i="57"/>
  <c r="I187" i="57"/>
  <c r="H187" i="57"/>
  <c r="I186" i="57"/>
  <c r="H186" i="57"/>
  <c r="I185" i="57"/>
  <c r="H185" i="57"/>
  <c r="I184" i="57"/>
  <c r="H184" i="57"/>
  <c r="I183" i="57"/>
  <c r="H183" i="57"/>
  <c r="I182" i="57"/>
  <c r="H182" i="57"/>
  <c r="I181" i="57"/>
  <c r="H181" i="57"/>
  <c r="D171" i="57"/>
  <c r="H171" i="57" s="1"/>
  <c r="I170" i="57"/>
  <c r="H170" i="57"/>
  <c r="I169" i="57"/>
  <c r="H169" i="57"/>
  <c r="I168" i="57"/>
  <c r="H168" i="57"/>
  <c r="I167" i="57"/>
  <c r="H167" i="57"/>
  <c r="I166" i="57"/>
  <c r="H166" i="57"/>
  <c r="I164" i="57"/>
  <c r="H164" i="57"/>
  <c r="I163" i="57"/>
  <c r="H163" i="57"/>
  <c r="I162" i="57"/>
  <c r="H162" i="57"/>
  <c r="I160" i="57"/>
  <c r="H160" i="57"/>
  <c r="I159" i="57"/>
  <c r="H159" i="57"/>
  <c r="J159" i="57" s="1"/>
  <c r="I158" i="57"/>
  <c r="H158" i="57"/>
  <c r="I157" i="57"/>
  <c r="H157" i="57"/>
  <c r="I156" i="57"/>
  <c r="H156" i="57"/>
  <c r="I154" i="57"/>
  <c r="H154" i="57"/>
  <c r="I153" i="57"/>
  <c r="H153" i="57"/>
  <c r="I151" i="57"/>
  <c r="H151" i="57"/>
  <c r="I142" i="57"/>
  <c r="H142" i="57"/>
  <c r="I140" i="57"/>
  <c r="H140" i="57"/>
  <c r="I139" i="57"/>
  <c r="H139" i="57"/>
  <c r="I137" i="57"/>
  <c r="H137" i="57"/>
  <c r="I136" i="57"/>
  <c r="H136" i="57"/>
  <c r="I135" i="57"/>
  <c r="H135" i="57"/>
  <c r="I133" i="57"/>
  <c r="H133" i="57"/>
  <c r="I116" i="57"/>
  <c r="H116" i="57"/>
  <c r="I115" i="57"/>
  <c r="H115" i="57"/>
  <c r="I114" i="57"/>
  <c r="H114" i="57"/>
  <c r="I113" i="57"/>
  <c r="H113" i="57"/>
  <c r="I112" i="57"/>
  <c r="H112" i="57"/>
  <c r="I111" i="57"/>
  <c r="H111" i="57"/>
  <c r="J111" i="57" s="1"/>
  <c r="I110" i="57"/>
  <c r="H110" i="57"/>
  <c r="I109" i="57"/>
  <c r="H109" i="57"/>
  <c r="I108" i="57"/>
  <c r="H108" i="57"/>
  <c r="I107" i="57"/>
  <c r="H107" i="57"/>
  <c r="I106" i="57"/>
  <c r="H106" i="57"/>
  <c r="D105" i="57"/>
  <c r="I105" i="57" s="1"/>
  <c r="D104" i="57"/>
  <c r="H104" i="57" s="1"/>
  <c r="D103" i="57"/>
  <c r="H103" i="57" s="1"/>
  <c r="D102" i="57"/>
  <c r="I102" i="57" s="1"/>
  <c r="D101" i="57"/>
  <c r="I101" i="57" s="1"/>
  <c r="I100" i="57"/>
  <c r="H100" i="57"/>
  <c r="D99" i="57"/>
  <c r="H99" i="57" s="1"/>
  <c r="D98" i="57"/>
  <c r="H98" i="57" s="1"/>
  <c r="I97" i="57"/>
  <c r="H97" i="57"/>
  <c r="H87" i="57"/>
  <c r="G87" i="57"/>
  <c r="I87" i="57" s="1"/>
  <c r="H86" i="57"/>
  <c r="G86" i="57"/>
  <c r="I86" i="57" s="1"/>
  <c r="H85" i="57"/>
  <c r="G85" i="57"/>
  <c r="I85" i="57" s="1"/>
  <c r="H84" i="57"/>
  <c r="G84" i="57"/>
  <c r="I84" i="57" s="1"/>
  <c r="H83" i="57"/>
  <c r="G83" i="57"/>
  <c r="I83" i="57" s="1"/>
  <c r="H82" i="57"/>
  <c r="G82" i="57"/>
  <c r="I82" i="57" s="1"/>
  <c r="H81" i="57"/>
  <c r="G81" i="57"/>
  <c r="I81" i="57" s="1"/>
  <c r="H80" i="57"/>
  <c r="G80" i="57"/>
  <c r="I80" i="57" s="1"/>
  <c r="I78" i="57"/>
  <c r="H78" i="57"/>
  <c r="H77" i="57"/>
  <c r="G77" i="57"/>
  <c r="I77" i="57" s="1"/>
  <c r="H76" i="57"/>
  <c r="G76" i="57"/>
  <c r="I76" i="57" s="1"/>
  <c r="I75" i="57"/>
  <c r="H75" i="57"/>
  <c r="I74" i="57"/>
  <c r="H74" i="57"/>
  <c r="I73" i="57"/>
  <c r="H73" i="57"/>
  <c r="I72" i="57"/>
  <c r="H72" i="57"/>
  <c r="I71" i="57"/>
  <c r="H71" i="57"/>
  <c r="I68" i="57"/>
  <c r="H68" i="57"/>
  <c r="I67" i="57"/>
  <c r="H67" i="57"/>
  <c r="I66" i="57"/>
  <c r="H66" i="57"/>
  <c r="I57" i="57"/>
  <c r="H57" i="57"/>
  <c r="I56" i="57"/>
  <c r="H56" i="57"/>
  <c r="I54" i="57"/>
  <c r="H54" i="57"/>
  <c r="D53" i="57"/>
  <c r="I53" i="57" s="1"/>
  <c r="D52" i="57"/>
  <c r="I52" i="57" s="1"/>
  <c r="D51" i="57"/>
  <c r="I51" i="57" s="1"/>
  <c r="D50" i="57"/>
  <c r="H50" i="57" s="1"/>
  <c r="I48" i="57"/>
  <c r="H48" i="57"/>
  <c r="I47" i="57"/>
  <c r="H47" i="57"/>
  <c r="I46" i="57"/>
  <c r="H46" i="57"/>
  <c r="I45" i="57"/>
  <c r="H45" i="57"/>
  <c r="I44" i="57"/>
  <c r="H44" i="57"/>
  <c r="I43" i="57"/>
  <c r="H43" i="57"/>
  <c r="I42" i="57"/>
  <c r="H42" i="57"/>
  <c r="I41" i="57"/>
  <c r="H41" i="57"/>
  <c r="I40" i="57"/>
  <c r="H40" i="57"/>
  <c r="I31" i="57"/>
  <c r="H31" i="57"/>
  <c r="I30" i="57"/>
  <c r="H30" i="57"/>
  <c r="I29" i="57"/>
  <c r="H29" i="57"/>
  <c r="I27" i="57"/>
  <c r="H27" i="57"/>
  <c r="I26" i="57"/>
  <c r="H26" i="57"/>
  <c r="D24" i="57"/>
  <c r="I24" i="57" s="1"/>
  <c r="I23" i="57"/>
  <c r="H23" i="57"/>
  <c r="I22" i="57"/>
  <c r="H22" i="57"/>
  <c r="I21" i="57"/>
  <c r="H21" i="57"/>
  <c r="I20" i="57"/>
  <c r="H20" i="57"/>
  <c r="I19" i="57"/>
  <c r="H19" i="57"/>
  <c r="I18" i="57"/>
  <c r="H18" i="57"/>
  <c r="I17" i="57"/>
  <c r="H17" i="57"/>
  <c r="I16" i="57"/>
  <c r="H16" i="57"/>
  <c r="C6" i="57"/>
  <c r="C5" i="57"/>
  <c r="C4" i="57"/>
  <c r="C3" i="57"/>
  <c r="C2" i="57"/>
  <c r="A1" i="57"/>
  <c r="J17" i="57" l="1"/>
  <c r="J699" i="57"/>
  <c r="J533" i="57"/>
  <c r="J1681" i="57"/>
  <c r="J30" i="57"/>
  <c r="J19" i="57"/>
  <c r="J1397" i="57"/>
  <c r="J156" i="57"/>
  <c r="J247" i="57"/>
  <c r="J747" i="57"/>
  <c r="J824" i="57"/>
  <c r="J1208" i="57"/>
  <c r="J157" i="57"/>
  <c r="J1600" i="57"/>
  <c r="J565" i="57"/>
  <c r="J139" i="57"/>
  <c r="J985" i="57"/>
  <c r="J255" i="57"/>
  <c r="J1353" i="57"/>
  <c r="J1704" i="57"/>
  <c r="J1011" i="57"/>
  <c r="J1685" i="57"/>
  <c r="J106" i="57"/>
  <c r="J168" i="57"/>
  <c r="J243" i="57"/>
  <c r="J495" i="57"/>
  <c r="J332" i="57"/>
  <c r="J362" i="57"/>
  <c r="J531" i="57"/>
  <c r="J199" i="57"/>
  <c r="J560" i="57"/>
  <c r="J443" i="57"/>
  <c r="J629" i="57"/>
  <c r="J696" i="57"/>
  <c r="J114" i="57"/>
  <c r="J666" i="57"/>
  <c r="J1169" i="57"/>
  <c r="J1200" i="57"/>
  <c r="J884" i="57"/>
  <c r="J1066" i="57"/>
  <c r="J142" i="57"/>
  <c r="J21" i="57"/>
  <c r="J109" i="57"/>
  <c r="J136" i="57"/>
  <c r="J170" i="57"/>
  <c r="J1622" i="57"/>
  <c r="J1633" i="57"/>
  <c r="J826" i="57"/>
  <c r="J46" i="57"/>
  <c r="J20" i="57"/>
  <c r="J108" i="57"/>
  <c r="J196" i="57"/>
  <c r="J811" i="57"/>
  <c r="J555" i="57"/>
  <c r="J590" i="57"/>
  <c r="J692" i="57"/>
  <c r="J833" i="57"/>
  <c r="J887" i="57"/>
  <c r="J1363" i="57"/>
  <c r="J1749" i="57"/>
  <c r="J1646" i="57"/>
  <c r="J481" i="57"/>
  <c r="J358" i="57"/>
  <c r="J427" i="57"/>
  <c r="J595" i="57"/>
  <c r="J640" i="57"/>
  <c r="J805" i="57"/>
  <c r="J1701" i="57"/>
  <c r="J1736" i="57"/>
  <c r="J264" i="57"/>
  <c r="J1495" i="57"/>
  <c r="J1499" i="57"/>
  <c r="J1537" i="57"/>
  <c r="J1542" i="57"/>
  <c r="J307" i="31"/>
  <c r="J1172" i="57"/>
  <c r="J1176" i="57"/>
  <c r="J1350" i="57"/>
  <c r="J1355" i="57"/>
  <c r="J1075" i="57"/>
  <c r="J1102" i="57"/>
  <c r="J288" i="31"/>
  <c r="J22" i="57"/>
  <c r="J164" i="57"/>
  <c r="J194" i="57"/>
  <c r="J276" i="57"/>
  <c r="J308" i="57"/>
  <c r="J395" i="57"/>
  <c r="I450" i="57"/>
  <c r="J450" i="57" s="1"/>
  <c r="J551" i="57"/>
  <c r="J561" i="57"/>
  <c r="J855" i="57"/>
  <c r="J886" i="57"/>
  <c r="J988" i="57"/>
  <c r="J1000" i="57"/>
  <c r="J1006" i="57"/>
  <c r="J1010" i="57"/>
  <c r="J1199" i="57"/>
  <c r="J1506" i="57"/>
  <c r="J1674" i="57"/>
  <c r="J1686" i="57"/>
  <c r="J1733" i="57"/>
  <c r="J41" i="57"/>
  <c r="J45" i="57"/>
  <c r="J57" i="57"/>
  <c r="J71" i="57"/>
  <c r="J183" i="57"/>
  <c r="J212" i="57"/>
  <c r="J221" i="57"/>
  <c r="J225" i="57"/>
  <c r="J302" i="57"/>
  <c r="J317" i="57"/>
  <c r="J344" i="57"/>
  <c r="J403" i="57"/>
  <c r="J421" i="57"/>
  <c r="J462" i="57"/>
  <c r="J476" i="57"/>
  <c r="J720" i="57"/>
  <c r="J743" i="57"/>
  <c r="J756" i="57"/>
  <c r="J775" i="57"/>
  <c r="J779" i="57"/>
  <c r="J868" i="57"/>
  <c r="J891" i="57"/>
  <c r="J918" i="57"/>
  <c r="J945" i="57"/>
  <c r="J955" i="57"/>
  <c r="J976" i="57"/>
  <c r="J1076" i="57"/>
  <c r="J1086" i="57"/>
  <c r="J1099" i="57"/>
  <c r="J1109" i="57"/>
  <c r="J1130" i="57"/>
  <c r="J1134" i="57"/>
  <c r="J1140" i="57"/>
  <c r="J1145" i="57"/>
  <c r="J1149" i="57"/>
  <c r="J1255" i="57"/>
  <c r="J1287" i="57"/>
  <c r="J1292" i="57"/>
  <c r="J1305" i="57"/>
  <c r="J1485" i="57"/>
  <c r="J1497" i="57"/>
  <c r="J1544" i="57"/>
  <c r="J1567" i="57"/>
  <c r="J1578" i="57"/>
  <c r="J1603" i="57"/>
  <c r="J390" i="57"/>
  <c r="J603" i="57"/>
  <c r="J607" i="57"/>
  <c r="J626" i="57"/>
  <c r="J658" i="57"/>
  <c r="J663" i="57"/>
  <c r="J892" i="57"/>
  <c r="J898" i="57"/>
  <c r="J902" i="57"/>
  <c r="J915" i="57"/>
  <c r="J920" i="57"/>
  <c r="J1083" i="57"/>
  <c r="J1100" i="57"/>
  <c r="J1110" i="57"/>
  <c r="J1131" i="57"/>
  <c r="J1142" i="57"/>
  <c r="J1146" i="57"/>
  <c r="J1162" i="57"/>
  <c r="J1233" i="57"/>
  <c r="J26" i="57"/>
  <c r="J31" i="57"/>
  <c r="J47" i="57"/>
  <c r="J54" i="57"/>
  <c r="J100" i="57"/>
  <c r="J185" i="57"/>
  <c r="J189" i="57"/>
  <c r="J215" i="57"/>
  <c r="J219" i="57"/>
  <c r="J223" i="57"/>
  <c r="J227" i="57"/>
  <c r="J315" i="57"/>
  <c r="J327" i="57"/>
  <c r="J337" i="57"/>
  <c r="J346" i="57"/>
  <c r="J363" i="57"/>
  <c r="J368" i="57"/>
  <c r="J428" i="57"/>
  <c r="J432" i="57"/>
  <c r="J478" i="57"/>
  <c r="J491" i="57"/>
  <c r="J502" i="57"/>
  <c r="J523" i="57"/>
  <c r="J570" i="57"/>
  <c r="J758" i="57"/>
  <c r="J781" i="57"/>
  <c r="J893" i="57"/>
  <c r="J903" i="57"/>
  <c r="J921" i="57"/>
  <c r="J926" i="57"/>
  <c r="J947" i="57"/>
  <c r="J958" i="57"/>
  <c r="J962" i="57"/>
  <c r="J1074" i="57"/>
  <c r="J1084" i="57"/>
  <c r="J1101" i="57"/>
  <c r="J1267" i="57"/>
  <c r="J1321" i="57"/>
  <c r="J1429" i="57"/>
  <c r="J1441" i="57"/>
  <c r="J1447" i="57"/>
  <c r="J1456" i="57"/>
  <c r="J1469" i="57"/>
  <c r="J1474" i="57"/>
  <c r="J1613" i="57"/>
  <c r="J1623" i="57"/>
  <c r="J1627" i="57"/>
  <c r="J1632" i="57"/>
  <c r="J1650" i="57"/>
  <c r="J1505" i="57"/>
  <c r="J1518" i="57"/>
  <c r="J1702" i="57"/>
  <c r="J1706" i="57"/>
  <c r="J1717" i="57"/>
  <c r="J1737" i="57"/>
  <c r="J1765" i="57"/>
  <c r="J27" i="57"/>
  <c r="J40" i="57"/>
  <c r="J74" i="57"/>
  <c r="J182" i="57"/>
  <c r="J211" i="57"/>
  <c r="J220" i="57"/>
  <c r="J334" i="57"/>
  <c r="J343" i="57"/>
  <c r="J360" i="57"/>
  <c r="J365" i="57"/>
  <c r="J406" i="57"/>
  <c r="J425" i="57"/>
  <c r="J445" i="57"/>
  <c r="J461" i="57"/>
  <c r="J475" i="57"/>
  <c r="J498" i="57"/>
  <c r="J524" i="57"/>
  <c r="J571" i="57"/>
  <c r="J701" i="57"/>
  <c r="J778" i="57"/>
  <c r="J794" i="57"/>
  <c r="J904" i="57"/>
  <c r="J917" i="57"/>
  <c r="J959" i="57"/>
  <c r="J1108" i="57"/>
  <c r="J1129" i="57"/>
  <c r="J1139" i="57"/>
  <c r="J1144" i="57"/>
  <c r="J1148" i="57"/>
  <c r="J1258" i="57"/>
  <c r="J1268" i="57"/>
  <c r="J1281" i="57"/>
  <c r="J1291" i="57"/>
  <c r="J1327" i="57"/>
  <c r="J1331" i="57"/>
  <c r="J1335" i="57"/>
  <c r="J1442" i="57"/>
  <c r="J1448" i="57"/>
  <c r="J1457" i="57"/>
  <c r="J1496" i="57"/>
  <c r="J1500" i="57"/>
  <c r="J1539" i="57"/>
  <c r="J1543" i="57"/>
  <c r="J1561" i="57"/>
  <c r="J1602" i="57"/>
  <c r="J1614" i="57"/>
  <c r="J187" i="57"/>
  <c r="J525" i="57"/>
  <c r="J1738" i="57"/>
  <c r="J23" i="57"/>
  <c r="J296" i="57"/>
  <c r="J552" i="57"/>
  <c r="J557" i="57"/>
  <c r="J562" i="57"/>
  <c r="J129" i="28"/>
  <c r="J273" i="57"/>
  <c r="J740" i="57"/>
  <c r="J956" i="57"/>
  <c r="J973" i="57"/>
  <c r="J310" i="57"/>
  <c r="J695" i="57"/>
  <c r="J746" i="57"/>
  <c r="J1069" i="57"/>
  <c r="J1175" i="57"/>
  <c r="J1192" i="57"/>
  <c r="J1197" i="57"/>
  <c r="J1240" i="57"/>
  <c r="J1368" i="57"/>
  <c r="J1393" i="57"/>
  <c r="J1424" i="57"/>
  <c r="J1521" i="57"/>
  <c r="J156" i="28"/>
  <c r="J161" i="28"/>
  <c r="J180" i="28"/>
  <c r="J141" i="28"/>
  <c r="J155" i="28"/>
  <c r="J18" i="28"/>
  <c r="H91" i="28"/>
  <c r="J104" i="28"/>
  <c r="D165" i="28"/>
  <c r="D166" i="28" s="1"/>
  <c r="I166" i="28" s="1"/>
  <c r="J53" i="28"/>
  <c r="J28" i="28"/>
  <c r="I112" i="28"/>
  <c r="J112" i="28" s="1"/>
  <c r="J45" i="28"/>
  <c r="J55" i="28"/>
  <c r="J64" i="28"/>
  <c r="J81" i="28"/>
  <c r="D167" i="28"/>
  <c r="J79" i="28"/>
  <c r="H314" i="31"/>
  <c r="J308" i="31"/>
  <c r="I314" i="31"/>
  <c r="J301" i="31"/>
  <c r="J310" i="31"/>
  <c r="J284" i="31"/>
  <c r="J287" i="31"/>
  <c r="J303" i="31"/>
  <c r="J305" i="31"/>
  <c r="J291" i="31"/>
  <c r="J292" i="31"/>
  <c r="J304" i="31"/>
  <c r="J286" i="31"/>
  <c r="J302" i="31"/>
  <c r="J309" i="31"/>
  <c r="I452" i="57"/>
  <c r="J452" i="57" s="1"/>
  <c r="J1710" i="57"/>
  <c r="J1684" i="57"/>
  <c r="I98" i="57"/>
  <c r="J98" i="57" s="1"/>
  <c r="J1187" i="57"/>
  <c r="J1017" i="57"/>
  <c r="H981" i="57"/>
  <c r="J981" i="57" s="1"/>
  <c r="J1009" i="57"/>
  <c r="J1564" i="57"/>
  <c r="I1237" i="57"/>
  <c r="J1237" i="57" s="1"/>
  <c r="J460" i="57"/>
  <c r="J538" i="57"/>
  <c r="I298" i="57"/>
  <c r="J298" i="57" s="1"/>
  <c r="J1290" i="57"/>
  <c r="I1595" i="57"/>
  <c r="J1595" i="57" s="1"/>
  <c r="J48" i="57"/>
  <c r="J660" i="57"/>
  <c r="J890" i="57"/>
  <c r="J1088" i="57"/>
  <c r="J1427" i="57"/>
  <c r="J396" i="57"/>
  <c r="H304" i="57"/>
  <c r="J304" i="57" s="1"/>
  <c r="J548" i="57"/>
  <c r="J1644" i="57"/>
  <c r="J1042" i="57"/>
  <c r="J1033" i="57"/>
  <c r="J1329" i="57"/>
  <c r="J1536" i="57"/>
  <c r="J725" i="57"/>
  <c r="J1479" i="57"/>
  <c r="J1517" i="57"/>
  <c r="J140" i="57"/>
  <c r="I171" i="57"/>
  <c r="J171" i="57" s="1"/>
  <c r="J188" i="57"/>
  <c r="J331" i="57"/>
  <c r="J340" i="57"/>
  <c r="J357" i="57"/>
  <c r="J376" i="57"/>
  <c r="J407" i="57"/>
  <c r="J587" i="57"/>
  <c r="J606" i="57"/>
  <c r="J861" i="57"/>
  <c r="J874" i="57"/>
  <c r="J1039" i="57"/>
  <c r="J1070" i="57"/>
  <c r="J1283" i="57"/>
  <c r="J1306" i="57"/>
  <c r="J1325" i="57"/>
  <c r="J1333" i="57"/>
  <c r="J1446" i="57"/>
  <c r="J1455" i="57"/>
  <c r="J1473" i="57"/>
  <c r="J1494" i="57"/>
  <c r="J1599" i="57"/>
  <c r="H418" i="57"/>
  <c r="J418" i="57" s="1"/>
  <c r="J1741" i="57"/>
  <c r="I1221" i="57"/>
  <c r="H1221" i="57"/>
  <c r="J1170" i="57"/>
  <c r="I1347" i="57"/>
  <c r="J1347" i="57" s="1"/>
  <c r="J1367" i="57"/>
  <c r="J1392" i="57"/>
  <c r="J1617" i="57"/>
  <c r="I873" i="57"/>
  <c r="J873" i="57" s="1"/>
  <c r="J1330" i="57"/>
  <c r="J567" i="57"/>
  <c r="J1115" i="57"/>
  <c r="I1135" i="57"/>
  <c r="H1135" i="57"/>
  <c r="H1594" i="57"/>
  <c r="I1594" i="57"/>
  <c r="H299" i="57"/>
  <c r="J299" i="57" s="1"/>
  <c r="H512" i="57"/>
  <c r="J512" i="57" s="1"/>
  <c r="J1510" i="57"/>
  <c r="H1575" i="57"/>
  <c r="J1575" i="57" s="1"/>
  <c r="J837" i="57"/>
  <c r="H1063" i="57"/>
  <c r="J1063" i="57" s="1"/>
  <c r="H1428" i="57"/>
  <c r="J1428" i="57" s="1"/>
  <c r="H237" i="57"/>
  <c r="I237" i="57"/>
  <c r="J783" i="57"/>
  <c r="J1196" i="57"/>
  <c r="J1204" i="57"/>
  <c r="J1220" i="57"/>
  <c r="J1679" i="57"/>
  <c r="J222" i="57"/>
  <c r="I286" i="57"/>
  <c r="J286" i="57" s="1"/>
  <c r="J1067" i="57"/>
  <c r="J1085" i="57"/>
  <c r="H1232" i="57"/>
  <c r="J1232" i="57" s="1"/>
  <c r="J1351" i="57"/>
  <c r="J1371" i="57"/>
  <c r="H1395" i="57"/>
  <c r="J1395" i="57" s="1"/>
  <c r="J1631" i="57"/>
  <c r="J1662" i="57"/>
  <c r="J1714" i="57"/>
  <c r="J490" i="57"/>
  <c r="J534" i="57"/>
  <c r="J639" i="57"/>
  <c r="J656" i="57"/>
  <c r="J1029" i="57"/>
  <c r="J1037" i="57"/>
  <c r="J67" i="57"/>
  <c r="J85" i="57"/>
  <c r="J197" i="57"/>
  <c r="J242" i="57"/>
  <c r="J253" i="57"/>
  <c r="J270" i="57"/>
  <c r="J339" i="57"/>
  <c r="J373" i="57"/>
  <c r="J393" i="57"/>
  <c r="J405" i="57"/>
  <c r="J431" i="57"/>
  <c r="J456" i="57"/>
  <c r="J482" i="57"/>
  <c r="J526" i="57"/>
  <c r="J591" i="57"/>
  <c r="J610" i="57"/>
  <c r="J807" i="57"/>
  <c r="J885" i="57"/>
  <c r="H951" i="57"/>
  <c r="J951" i="57" s="1"/>
  <c r="H1224" i="57"/>
  <c r="J1224" i="57" s="1"/>
  <c r="H1396" i="57"/>
  <c r="J1396" i="57" s="1"/>
  <c r="J1723" i="57"/>
  <c r="J654" i="57"/>
  <c r="J822" i="57"/>
  <c r="J1422" i="57"/>
  <c r="J1678" i="57"/>
  <c r="J444" i="57"/>
  <c r="J535" i="57"/>
  <c r="H667" i="57"/>
  <c r="J667" i="57" s="1"/>
  <c r="H859" i="57"/>
  <c r="J859" i="57" s="1"/>
  <c r="I869" i="57"/>
  <c r="J869" i="57" s="1"/>
  <c r="H1165" i="57"/>
  <c r="J1165" i="57" s="1"/>
  <c r="H1316" i="57"/>
  <c r="J1316" i="57" s="1"/>
  <c r="J1425" i="57"/>
  <c r="J1598" i="57"/>
  <c r="I104" i="57"/>
  <c r="J104" i="57" s="1"/>
  <c r="J771" i="57"/>
  <c r="J825" i="57"/>
  <c r="J1373" i="57"/>
  <c r="I1416" i="57"/>
  <c r="J1416" i="57" s="1"/>
  <c r="J68" i="57"/>
  <c r="J271" i="57"/>
  <c r="H519" i="57"/>
  <c r="J519" i="57" s="1"/>
  <c r="J723" i="57"/>
  <c r="J1087" i="57"/>
  <c r="H1112" i="57"/>
  <c r="J1112" i="57" s="1"/>
  <c r="I1225" i="57"/>
  <c r="J1225" i="57" s="1"/>
  <c r="J1451" i="57"/>
  <c r="I1581" i="57"/>
  <c r="J1581" i="57" s="1"/>
  <c r="J217" i="57"/>
  <c r="H306" i="57"/>
  <c r="J306" i="57" s="1"/>
  <c r="J42" i="57"/>
  <c r="J151" i="57"/>
  <c r="J162" i="57"/>
  <c r="J218" i="57"/>
  <c r="J272" i="57"/>
  <c r="J586" i="57"/>
  <c r="H689" i="57"/>
  <c r="J689" i="57" s="1"/>
  <c r="J698" i="57"/>
  <c r="J742" i="57"/>
  <c r="J755" i="57"/>
  <c r="I871" i="57"/>
  <c r="J871" i="57" s="1"/>
  <c r="J888" i="57"/>
  <c r="J925" i="57"/>
  <c r="J946" i="57"/>
  <c r="J971" i="57"/>
  <c r="I980" i="57"/>
  <c r="J980" i="57" s="1"/>
  <c r="J1195" i="57"/>
  <c r="J1263" i="57"/>
  <c r="J1272" i="57"/>
  <c r="J1356" i="57"/>
  <c r="J1453" i="57"/>
  <c r="J1516" i="57"/>
  <c r="J1547" i="57"/>
  <c r="I1590" i="57"/>
  <c r="J1590" i="57" s="1"/>
  <c r="J1683" i="57"/>
  <c r="J1692" i="57"/>
  <c r="J275" i="57"/>
  <c r="J369" i="57"/>
  <c r="H301" i="57"/>
  <c r="J301" i="57" s="1"/>
  <c r="J336" i="57"/>
  <c r="H454" i="57"/>
  <c r="J454" i="57" s="1"/>
  <c r="J1189" i="57"/>
  <c r="J1198" i="57"/>
  <c r="I1231" i="57"/>
  <c r="J1231" i="57" s="1"/>
  <c r="I1293" i="57"/>
  <c r="J1293" i="57" s="1"/>
  <c r="J1430" i="57"/>
  <c r="J1577" i="57"/>
  <c r="J1604" i="57"/>
  <c r="J75" i="57"/>
  <c r="J249" i="57"/>
  <c r="H497" i="57"/>
  <c r="J497" i="57" s="1"/>
  <c r="I515" i="57"/>
  <c r="J515" i="57" s="1"/>
  <c r="J693" i="57"/>
  <c r="H867" i="57"/>
  <c r="J867" i="57" s="1"/>
  <c r="J975" i="57"/>
  <c r="J1324" i="57"/>
  <c r="J1423" i="57"/>
  <c r="J1503" i="57"/>
  <c r="J169" i="57"/>
  <c r="J527" i="57"/>
  <c r="I687" i="57"/>
  <c r="J687" i="57" s="1"/>
  <c r="J1297" i="57"/>
  <c r="I50" i="57"/>
  <c r="J50" i="57" s="1"/>
  <c r="H297" i="57"/>
  <c r="J297" i="57" s="1"/>
  <c r="J604" i="57"/>
  <c r="J632" i="57"/>
  <c r="I1040" i="57"/>
  <c r="J1040" i="57" s="1"/>
  <c r="I1236" i="57"/>
  <c r="J1236" i="57" s="1"/>
  <c r="I1417" i="57"/>
  <c r="J1417" i="57" s="1"/>
  <c r="J72" i="57"/>
  <c r="J97" i="57"/>
  <c r="J115" i="57"/>
  <c r="J133" i="57"/>
  <c r="J153" i="57"/>
  <c r="J200" i="57"/>
  <c r="J246" i="57"/>
  <c r="J316" i="57"/>
  <c r="J426" i="57"/>
  <c r="J899" i="57"/>
  <c r="J972" i="57"/>
  <c r="J1133" i="57"/>
  <c r="J1203" i="57"/>
  <c r="J1219" i="57"/>
  <c r="J1227" i="57"/>
  <c r="J1320" i="57"/>
  <c r="J1400" i="57"/>
  <c r="J1454" i="57"/>
  <c r="J107" i="57"/>
  <c r="J113" i="57"/>
  <c r="J166" i="57"/>
  <c r="J181" i="57"/>
  <c r="J328" i="57"/>
  <c r="J375" i="57"/>
  <c r="J564" i="57"/>
  <c r="J684" i="57"/>
  <c r="J703" i="57"/>
  <c r="J777" i="57"/>
  <c r="J977" i="57"/>
  <c r="J1251" i="57"/>
  <c r="J1265" i="57"/>
  <c r="J1304" i="57"/>
  <c r="J1445" i="57"/>
  <c r="J1210" i="57"/>
  <c r="I1238" i="57"/>
  <c r="H1238" i="57"/>
  <c r="H1579" i="57"/>
  <c r="I1579" i="57"/>
  <c r="J29" i="57"/>
  <c r="J56" i="57"/>
  <c r="J87" i="57"/>
  <c r="J137" i="57"/>
  <c r="J154" i="57"/>
  <c r="J160" i="57"/>
  <c r="J224" i="57"/>
  <c r="H238" i="57"/>
  <c r="J238" i="57" s="1"/>
  <c r="J254" i="57"/>
  <c r="J268" i="57"/>
  <c r="J281" i="57"/>
  <c r="J530" i="57"/>
  <c r="J633" i="57"/>
  <c r="J641" i="57"/>
  <c r="J669" i="57"/>
  <c r="J757" i="57"/>
  <c r="J772" i="57"/>
  <c r="J784" i="57"/>
  <c r="I857" i="57"/>
  <c r="H857" i="57"/>
  <c r="J1015" i="57"/>
  <c r="H1049" i="57"/>
  <c r="J1049" i="57" s="1"/>
  <c r="J1193" i="57"/>
  <c r="I1412" i="57"/>
  <c r="J1412" i="57" s="1"/>
  <c r="H1420" i="57"/>
  <c r="J1420" i="57" s="1"/>
  <c r="J43" i="57"/>
  <c r="J77" i="57"/>
  <c r="J83" i="57"/>
  <c r="H511" i="57"/>
  <c r="J511" i="57" s="1"/>
  <c r="J599" i="57"/>
  <c r="J605" i="57"/>
  <c r="J611" i="57"/>
  <c r="J726" i="57"/>
  <c r="J802" i="57"/>
  <c r="H872" i="57"/>
  <c r="J872" i="57" s="1"/>
  <c r="H928" i="57"/>
  <c r="I928" i="57"/>
  <c r="J1138" i="57"/>
  <c r="J1173" i="57"/>
  <c r="J1188" i="57"/>
  <c r="J748" i="57"/>
  <c r="H1573" i="57"/>
  <c r="I1573" i="57"/>
  <c r="H134" i="28"/>
  <c r="D135" i="28"/>
  <c r="I135" i="28" s="1"/>
  <c r="I134" i="28"/>
  <c r="J44" i="57"/>
  <c r="J78" i="57"/>
  <c r="J110" i="57"/>
  <c r="J116" i="57"/>
  <c r="J386" i="57"/>
  <c r="J430" i="57"/>
  <c r="J694" i="57"/>
  <c r="J700" i="57"/>
  <c r="J722" i="57"/>
  <c r="J728" i="57"/>
  <c r="J1036" i="57"/>
  <c r="H1043" i="57"/>
  <c r="J1043" i="57" s="1"/>
  <c r="J1060" i="57"/>
  <c r="J1360" i="57"/>
  <c r="J81" i="57"/>
  <c r="H529" i="57"/>
  <c r="J529" i="57" s="1"/>
  <c r="I282" i="57"/>
  <c r="H282" i="57"/>
  <c r="J66" i="57"/>
  <c r="J73" i="57"/>
  <c r="J163" i="57"/>
  <c r="J248" i="57"/>
  <c r="J404" i="57"/>
  <c r="J458" i="57"/>
  <c r="J471" i="57"/>
  <c r="J479" i="57"/>
  <c r="J486" i="57"/>
  <c r="J554" i="57"/>
  <c r="J600" i="57"/>
  <c r="J637" i="57"/>
  <c r="H1044" i="57"/>
  <c r="I1044" i="57"/>
  <c r="J1068" i="57"/>
  <c r="J1082" i="57"/>
  <c r="J1366" i="57"/>
  <c r="I796" i="57"/>
  <c r="H796" i="57"/>
  <c r="J80" i="57"/>
  <c r="J345" i="57"/>
  <c r="J359" i="57"/>
  <c r="H387" i="57"/>
  <c r="J387" i="57" s="1"/>
  <c r="I568" i="57"/>
  <c r="J568" i="57" s="1"/>
  <c r="I622" i="57"/>
  <c r="H622" i="57"/>
  <c r="I760" i="57"/>
  <c r="J760" i="57" s="1"/>
  <c r="J1472" i="57"/>
  <c r="J18" i="57"/>
  <c r="J366" i="57"/>
  <c r="I521" i="57"/>
  <c r="H521" i="57"/>
  <c r="I623" i="57"/>
  <c r="H623" i="57"/>
  <c r="J653" i="57"/>
  <c r="J659" i="57"/>
  <c r="H744" i="57"/>
  <c r="J744" i="57" s="1"/>
  <c r="H797" i="57"/>
  <c r="J797" i="57" s="1"/>
  <c r="J839" i="57"/>
  <c r="I1062" i="57"/>
  <c r="J1062" i="57" s="1"/>
  <c r="H53" i="57"/>
  <c r="J53" i="57" s="1"/>
  <c r="I99" i="57"/>
  <c r="J99" i="57" s="1"/>
  <c r="J112" i="57"/>
  <c r="J135" i="57"/>
  <c r="J158" i="57"/>
  <c r="J313" i="57"/>
  <c r="J335" i="57"/>
  <c r="J446" i="57"/>
  <c r="J522" i="57"/>
  <c r="J528" i="57"/>
  <c r="J691" i="57"/>
  <c r="J806" i="57"/>
  <c r="J999" i="57"/>
  <c r="J1257" i="57"/>
  <c r="J1271" i="57"/>
  <c r="J1286" i="57"/>
  <c r="J216" i="57"/>
  <c r="J265" i="57"/>
  <c r="J401" i="57"/>
  <c r="J433" i="57"/>
  <c r="J558" i="57"/>
  <c r="J602" i="57"/>
  <c r="J651" i="57"/>
  <c r="J724" i="57"/>
  <c r="J754" i="57"/>
  <c r="J808" i="57"/>
  <c r="J823" i="57"/>
  <c r="J829" i="57"/>
  <c r="J841" i="57"/>
  <c r="J862" i="57"/>
  <c r="J894" i="57"/>
  <c r="J901" i="57"/>
  <c r="J922" i="57"/>
  <c r="J954" i="57"/>
  <c r="J960" i="57"/>
  <c r="J974" i="57"/>
  <c r="J986" i="57"/>
  <c r="J1003" i="57"/>
  <c r="J1008" i="57"/>
  <c r="H1065" i="57"/>
  <c r="J1065" i="57" s="1"/>
  <c r="J1071" i="57"/>
  <c r="J1077" i="57"/>
  <c r="J1105" i="57"/>
  <c r="J1147" i="57"/>
  <c r="J1161" i="57"/>
  <c r="J1190" i="57"/>
  <c r="J1207" i="57"/>
  <c r="J1226" i="57"/>
  <c r="J1253" i="57"/>
  <c r="J1282" i="57"/>
  <c r="J1401" i="57"/>
  <c r="J1498" i="57"/>
  <c r="J1512" i="57"/>
  <c r="I1532" i="57"/>
  <c r="J1532" i="57" s="1"/>
  <c r="J1540" i="57"/>
  <c r="J1548" i="57"/>
  <c r="J1601" i="57"/>
  <c r="J1615" i="57"/>
  <c r="J1634" i="57"/>
  <c r="J1712" i="57"/>
  <c r="J1764" i="57"/>
  <c r="J1568" i="57"/>
  <c r="J41" i="28"/>
  <c r="J59" i="28"/>
  <c r="J86" i="28"/>
  <c r="J186" i="57"/>
  <c r="J195" i="57"/>
  <c r="J252" i="57"/>
  <c r="J266" i="57"/>
  <c r="J311" i="57"/>
  <c r="J371" i="57"/>
  <c r="J434" i="57"/>
  <c r="J539" i="57"/>
  <c r="J589" i="57"/>
  <c r="J770" i="57"/>
  <c r="J776" i="57"/>
  <c r="J836" i="57"/>
  <c r="J842" i="57"/>
  <c r="J895" i="57"/>
  <c r="J916" i="57"/>
  <c r="J924" i="57"/>
  <c r="J961" i="57"/>
  <c r="J1020" i="57"/>
  <c r="J1106" i="57"/>
  <c r="J1202" i="57"/>
  <c r="J1260" i="57"/>
  <c r="J1328" i="57"/>
  <c r="J1334" i="57"/>
  <c r="J1477" i="57"/>
  <c r="J1513" i="57"/>
  <c r="I1533" i="57"/>
  <c r="J1533" i="57" s="1"/>
  <c r="J1541" i="57"/>
  <c r="J1562" i="57"/>
  <c r="J48" i="28"/>
  <c r="J74" i="28"/>
  <c r="J105" i="28"/>
  <c r="J128" i="28"/>
  <c r="J245" i="57"/>
  <c r="J312" i="57"/>
  <c r="J326" i="57"/>
  <c r="J333" i="57"/>
  <c r="J377" i="57"/>
  <c r="J416" i="57"/>
  <c r="J423" i="57"/>
  <c r="J429" i="57"/>
  <c r="J448" i="57"/>
  <c r="J455" i="57"/>
  <c r="J477" i="57"/>
  <c r="J532" i="57"/>
  <c r="J566" i="57"/>
  <c r="J597" i="57"/>
  <c r="J609" i="57"/>
  <c r="J631" i="57"/>
  <c r="J638" i="57"/>
  <c r="I665" i="57"/>
  <c r="J665" i="57" s="1"/>
  <c r="J670" i="57"/>
  <c r="J741" i="57"/>
  <c r="J782" i="57"/>
  <c r="J804" i="57"/>
  <c r="J831" i="57"/>
  <c r="H863" i="57"/>
  <c r="J863" i="57" s="1"/>
  <c r="J931" i="57"/>
  <c r="J948" i="57"/>
  <c r="J989" i="57"/>
  <c r="J1004" i="57"/>
  <c r="J1034" i="57"/>
  <c r="J1046" i="57"/>
  <c r="J1143" i="57"/>
  <c r="J1186" i="57"/>
  <c r="J1191" i="57"/>
  <c r="J1223" i="57"/>
  <c r="J1249" i="57"/>
  <c r="J1302" i="57"/>
  <c r="J1323" i="57"/>
  <c r="J1364" i="57"/>
  <c r="J1449" i="57"/>
  <c r="J1478" i="57"/>
  <c r="J1508" i="57"/>
  <c r="J1514" i="57"/>
  <c r="J1519" i="57"/>
  <c r="J1557" i="57"/>
  <c r="H1596" i="57"/>
  <c r="J1596" i="57" s="1"/>
  <c r="J1630" i="57"/>
  <c r="J1661" i="57"/>
  <c r="J1676" i="57"/>
  <c r="J1682" i="57"/>
  <c r="J1687" i="57"/>
  <c r="J1709" i="57"/>
  <c r="J138" i="28"/>
  <c r="J162" i="28"/>
  <c r="J181" i="28"/>
  <c r="J838" i="57"/>
  <c r="J843" i="57"/>
  <c r="J858" i="57"/>
  <c r="J949" i="57"/>
  <c r="J998" i="57"/>
  <c r="J1005" i="57"/>
  <c r="J1079" i="57"/>
  <c r="J1114" i="57"/>
  <c r="J1250" i="57"/>
  <c r="J1256" i="57"/>
  <c r="J1264" i="57"/>
  <c r="J1269" i="57"/>
  <c r="J1285" i="57"/>
  <c r="J1365" i="57"/>
  <c r="J1391" i="57"/>
  <c r="J1450" i="57"/>
  <c r="J1471" i="57"/>
  <c r="J1509" i="57"/>
  <c r="J1515" i="57"/>
  <c r="J1520" i="57"/>
  <c r="J1558" i="57"/>
  <c r="J1571" i="57"/>
  <c r="J1645" i="57"/>
  <c r="J1677" i="57"/>
  <c r="J1689" i="57"/>
  <c r="J1732" i="57"/>
  <c r="J16" i="28"/>
  <c r="J43" i="28"/>
  <c r="J62" i="28"/>
  <c r="J75" i="28"/>
  <c r="J88" i="28"/>
  <c r="J107" i="28"/>
  <c r="J1559" i="57"/>
  <c r="J1618" i="57"/>
  <c r="J1625" i="57"/>
  <c r="J1690" i="57"/>
  <c r="J1703" i="57"/>
  <c r="J23" i="28"/>
  <c r="J50" i="28"/>
  <c r="J56" i="28"/>
  <c r="J76" i="28"/>
  <c r="J131" i="28"/>
  <c r="J184" i="57"/>
  <c r="J198" i="57"/>
  <c r="J226" i="57"/>
  <c r="J342" i="57"/>
  <c r="J356" i="57"/>
  <c r="J361" i="57"/>
  <c r="J389" i="57"/>
  <c r="J420" i="57"/>
  <c r="J459" i="57"/>
  <c r="J474" i="57"/>
  <c r="J480" i="57"/>
  <c r="J550" i="57"/>
  <c r="J601" i="57"/>
  <c r="J612" i="57"/>
  <c r="J627" i="57"/>
  <c r="J636" i="57"/>
  <c r="J661" i="57"/>
  <c r="J690" i="57"/>
  <c r="J729" i="57"/>
  <c r="J774" i="57"/>
  <c r="J793" i="57"/>
  <c r="J827" i="57"/>
  <c r="J853" i="57"/>
  <c r="J900" i="57"/>
  <c r="J914" i="57"/>
  <c r="J978" i="57"/>
  <c r="J1018" i="57"/>
  <c r="J1098" i="57"/>
  <c r="J1132" i="57"/>
  <c r="J1159" i="57"/>
  <c r="J1252" i="57"/>
  <c r="J1266" i="57"/>
  <c r="J1295" i="57"/>
  <c r="J1319" i="57"/>
  <c r="J1326" i="57"/>
  <c r="J1332" i="57"/>
  <c r="J1354" i="57"/>
  <c r="J1361" i="57"/>
  <c r="J1387" i="57"/>
  <c r="J1415" i="57"/>
  <c r="J1426" i="57"/>
  <c r="J1431" i="57"/>
  <c r="J1467" i="57"/>
  <c r="J1504" i="57"/>
  <c r="J1511" i="57"/>
  <c r="J1560" i="57"/>
  <c r="J1619" i="57"/>
  <c r="J1626" i="57"/>
  <c r="J1648" i="57"/>
  <c r="J1665" i="57"/>
  <c r="J1691" i="57"/>
  <c r="J1735" i="57"/>
  <c r="J1754" i="57"/>
  <c r="J102" i="28"/>
  <c r="J159" i="28"/>
  <c r="J801" i="57"/>
  <c r="J1104" i="57"/>
  <c r="J1116" i="57"/>
  <c r="J1160" i="57"/>
  <c r="J1289" i="57"/>
  <c r="J1296" i="57"/>
  <c r="J1421" i="57"/>
  <c r="J1763" i="57"/>
  <c r="J31" i="28"/>
  <c r="J114" i="28"/>
  <c r="J160" i="28"/>
  <c r="J85" i="28"/>
  <c r="H111" i="28"/>
  <c r="I111" i="28"/>
  <c r="J22" i="28"/>
  <c r="J47" i="28"/>
  <c r="J80" i="28"/>
  <c r="J27" i="28"/>
  <c r="J15" i="28"/>
  <c r="J89" i="28"/>
  <c r="J51" i="28"/>
  <c r="J44" i="28"/>
  <c r="J60" i="28"/>
  <c r="J20" i="28"/>
  <c r="J54" i="28"/>
  <c r="J77" i="28"/>
  <c r="J29" i="28"/>
  <c r="I91" i="28"/>
  <c r="J49" i="28"/>
  <c r="J73" i="28"/>
  <c r="J24" i="28"/>
  <c r="J87" i="28"/>
  <c r="J58" i="28"/>
  <c r="J82" i="28"/>
  <c r="J63" i="28"/>
  <c r="J17" i="28"/>
  <c r="J42" i="28"/>
  <c r="I110" i="28"/>
  <c r="J154" i="28"/>
  <c r="H139" i="28"/>
  <c r="J139" i="28" s="1"/>
  <c r="H103" i="28"/>
  <c r="J103" i="28" s="1"/>
  <c r="H110" i="28"/>
  <c r="I115" i="28"/>
  <c r="J115" i="28" s="1"/>
  <c r="I133" i="28"/>
  <c r="J133" i="28" s="1"/>
  <c r="H136" i="28"/>
  <c r="J136" i="28" s="1"/>
  <c r="H164" i="28"/>
  <c r="J164" i="28" s="1"/>
  <c r="H178" i="28"/>
  <c r="J178" i="28" s="1"/>
  <c r="J14" i="28"/>
  <c r="J267" i="57"/>
  <c r="J488" i="57"/>
  <c r="J1035" i="57"/>
  <c r="J76" i="57"/>
  <c r="J834" i="57"/>
  <c r="J487" i="57"/>
  <c r="J492" i="57"/>
  <c r="J277" i="57"/>
  <c r="J1388" i="57"/>
  <c r="J82" i="57"/>
  <c r="J1209" i="57"/>
  <c r="J1569" i="57"/>
  <c r="J86" i="57"/>
  <c r="J1030" i="57"/>
  <c r="J1383" i="57"/>
  <c r="H688" i="57"/>
  <c r="J688" i="57" s="1"/>
  <c r="H798" i="57"/>
  <c r="J798" i="57" s="1"/>
  <c r="H870" i="57"/>
  <c r="J870" i="57" s="1"/>
  <c r="H1576" i="57"/>
  <c r="J1576" i="57" s="1"/>
  <c r="J1655" i="57"/>
  <c r="J572" i="57"/>
  <c r="H1041" i="57"/>
  <c r="J1041" i="57" s="1"/>
  <c r="H865" i="57"/>
  <c r="J865" i="57" s="1"/>
  <c r="J1386" i="57"/>
  <c r="J852" i="57"/>
  <c r="H592" i="57"/>
  <c r="J592" i="57" s="1"/>
  <c r="H24" i="57"/>
  <c r="J24" i="57" s="1"/>
  <c r="H52" i="57"/>
  <c r="J52" i="57" s="1"/>
  <c r="H101" i="57"/>
  <c r="J101" i="57" s="1"/>
  <c r="J274" i="57"/>
  <c r="H307" i="57"/>
  <c r="J307" i="57" s="1"/>
  <c r="J493" i="57"/>
  <c r="I860" i="57"/>
  <c r="J860" i="57" s="1"/>
  <c r="J1016" i="57"/>
  <c r="H1228" i="57"/>
  <c r="J1228" i="57" s="1"/>
  <c r="H518" i="57"/>
  <c r="J518" i="57" s="1"/>
  <c r="H673" i="57"/>
  <c r="J673" i="57" s="1"/>
  <c r="H105" i="57"/>
  <c r="J105" i="57" s="1"/>
  <c r="J1205" i="57"/>
  <c r="I1403" i="57"/>
  <c r="J1403" i="57" s="1"/>
  <c r="I1418" i="57"/>
  <c r="J1418" i="57" s="1"/>
  <c r="H51" i="57"/>
  <c r="J51" i="57" s="1"/>
  <c r="H1166" i="57"/>
  <c r="J1166" i="57" s="1"/>
  <c r="I500" i="57"/>
  <c r="J500" i="57" s="1"/>
  <c r="J1372" i="57"/>
  <c r="I1531" i="57"/>
  <c r="H1531" i="57"/>
  <c r="H1073" i="57"/>
  <c r="J1073" i="57" s="1"/>
  <c r="H1167" i="57"/>
  <c r="J1167" i="57" s="1"/>
  <c r="I1229" i="57"/>
  <c r="H1229" i="57"/>
  <c r="J1303" i="57"/>
  <c r="H1317" i="57"/>
  <c r="I1348" i="57"/>
  <c r="H1348" i="57"/>
  <c r="J1394" i="57"/>
  <c r="H283" i="57"/>
  <c r="J283" i="57" s="1"/>
  <c r="H952" i="57"/>
  <c r="J952" i="57" s="1"/>
  <c r="J1206" i="57"/>
  <c r="H1234" i="57"/>
  <c r="J1234" i="57" s="1"/>
  <c r="I1337" i="57"/>
  <c r="J1337" i="57" s="1"/>
  <c r="J278" i="57"/>
  <c r="J585" i="57"/>
  <c r="H668" i="57"/>
  <c r="I668" i="57"/>
  <c r="H697" i="57"/>
  <c r="J697" i="57" s="1"/>
  <c r="I1222" i="57"/>
  <c r="I300" i="57"/>
  <c r="J484" i="57"/>
  <c r="H686" i="57"/>
  <c r="J686" i="57" s="1"/>
  <c r="J812" i="57"/>
  <c r="I1597" i="57"/>
  <c r="H1597" i="57"/>
  <c r="I759" i="57"/>
  <c r="H759" i="57"/>
  <c r="J835" i="57"/>
  <c r="H625" i="57"/>
  <c r="J625" i="57" s="1"/>
  <c r="H864" i="57"/>
  <c r="J864" i="57" s="1"/>
  <c r="H239" i="57"/>
  <c r="J239" i="57" s="1"/>
  <c r="J1718" i="57"/>
  <c r="H513" i="57"/>
  <c r="J513" i="57" s="1"/>
  <c r="I799" i="57"/>
  <c r="H799" i="57"/>
  <c r="H983" i="57"/>
  <c r="J983" i="57" s="1"/>
  <c r="J1201" i="57"/>
  <c r="I1235" i="57"/>
  <c r="H1235" i="57"/>
  <c r="J1565" i="57"/>
  <c r="I453" i="57"/>
  <c r="H453" i="57"/>
  <c r="H517" i="57"/>
  <c r="J517" i="57" s="1"/>
  <c r="H624" i="57"/>
  <c r="J624" i="57" s="1"/>
  <c r="J655" i="57"/>
  <c r="I889" i="57"/>
  <c r="H889" i="57"/>
  <c r="J1031" i="57"/>
  <c r="J1715" i="57"/>
  <c r="J657" i="57"/>
  <c r="J1013" i="57"/>
  <c r="J753" i="57"/>
  <c r="J830" i="57"/>
  <c r="I305" i="57"/>
  <c r="H305" i="57"/>
  <c r="I674" i="57"/>
  <c r="H674" i="57"/>
  <c r="H1047" i="57"/>
  <c r="J1047" i="57" s="1"/>
  <c r="H1398" i="57"/>
  <c r="J1398" i="57" s="1"/>
  <c r="J167" i="57"/>
  <c r="J367" i="57"/>
  <c r="J402" i="57"/>
  <c r="I671" i="57"/>
  <c r="H671" i="57"/>
  <c r="J1111" i="57"/>
  <c r="J1382" i="57"/>
  <c r="H1534" i="57"/>
  <c r="I1534" i="57"/>
  <c r="H1663" i="57"/>
  <c r="J1663" i="57" s="1"/>
  <c r="H1414" i="57"/>
  <c r="J1414" i="57" s="1"/>
  <c r="J16" i="57"/>
  <c r="J84" i="57"/>
  <c r="I103" i="57"/>
  <c r="J103" i="57" s="1"/>
  <c r="H241" i="57"/>
  <c r="J241" i="57" s="1"/>
  <c r="I303" i="57"/>
  <c r="J303" i="57" s="1"/>
  <c r="H314" i="57"/>
  <c r="J314" i="57" s="1"/>
  <c r="I417" i="57"/>
  <c r="H417" i="57"/>
  <c r="H451" i="57"/>
  <c r="J451" i="57" s="1"/>
  <c r="J485" i="57"/>
  <c r="H664" i="57"/>
  <c r="J664" i="57" s="1"/>
  <c r="H675" i="57"/>
  <c r="J675" i="57" s="1"/>
  <c r="I856" i="57"/>
  <c r="H856" i="57"/>
  <c r="J932" i="57"/>
  <c r="J1019" i="57"/>
  <c r="H1050" i="57"/>
  <c r="J1050" i="57" s="1"/>
  <c r="I1064" i="57"/>
  <c r="I1230" i="57"/>
  <c r="H1230" i="57"/>
  <c r="H1419" i="57"/>
  <c r="J1419" i="57" s="1"/>
  <c r="I1535" i="57"/>
  <c r="H1535" i="57"/>
  <c r="J1566" i="57"/>
  <c r="I1593" i="57"/>
  <c r="H1593" i="57"/>
  <c r="H1767" i="57"/>
  <c r="J489" i="57"/>
  <c r="I1744" i="57"/>
  <c r="J1660" i="57"/>
  <c r="J279" i="57"/>
  <c r="H496" i="57"/>
  <c r="J496" i="57" s="1"/>
  <c r="H514" i="57"/>
  <c r="J514" i="57" s="1"/>
  <c r="H593" i="57"/>
  <c r="J593" i="57" s="1"/>
  <c r="J652" i="57"/>
  <c r="J702" i="57"/>
  <c r="H984" i="57"/>
  <c r="J984" i="57" s="1"/>
  <c r="J1014" i="57"/>
  <c r="J1370" i="57"/>
  <c r="J1384" i="57"/>
  <c r="I1767" i="57"/>
  <c r="J840" i="57"/>
  <c r="J309" i="57"/>
  <c r="J588" i="57"/>
  <c r="H1051" i="57"/>
  <c r="J1051" i="57" s="1"/>
  <c r="H1349" i="57"/>
  <c r="J1349" i="57" s="1"/>
  <c r="H1501" i="57"/>
  <c r="J1501" i="57" s="1"/>
  <c r="H1580" i="57"/>
  <c r="J1580" i="57" s="1"/>
  <c r="J1747" i="57"/>
  <c r="J1315" i="57"/>
  <c r="H1402" i="57"/>
  <c r="J1402" i="57" s="1"/>
  <c r="J1742" i="57"/>
  <c r="J1389" i="57"/>
  <c r="J556" i="57"/>
  <c r="J927" i="57"/>
  <c r="J1259" i="57"/>
  <c r="J1385" i="57"/>
  <c r="J1721" i="57"/>
  <c r="I1399" i="57"/>
  <c r="H1399" i="57"/>
  <c r="J832" i="57"/>
  <c r="H1048" i="57"/>
  <c r="J1048" i="57" s="1"/>
  <c r="H1061" i="57"/>
  <c r="J1061" i="57" s="1"/>
  <c r="H1168" i="57"/>
  <c r="J1168" i="57" s="1"/>
  <c r="H1254" i="57"/>
  <c r="J1254" i="57" s="1"/>
  <c r="H1346" i="57"/>
  <c r="J1346" i="57" s="1"/>
  <c r="H1475" i="57"/>
  <c r="J1475" i="57" s="1"/>
  <c r="I1572" i="57"/>
  <c r="H1572" i="57"/>
  <c r="H1739" i="57"/>
  <c r="J1739" i="57" s="1"/>
  <c r="H499" i="57"/>
  <c r="J499" i="57" s="1"/>
  <c r="H520" i="57"/>
  <c r="J520" i="57" s="1"/>
  <c r="H866" i="57"/>
  <c r="J866" i="57" s="1"/>
  <c r="H982" i="57"/>
  <c r="J982" i="57" s="1"/>
  <c r="J1032" i="57"/>
  <c r="H1136" i="57"/>
  <c r="J1136" i="57" s="1"/>
  <c r="J1484" i="57"/>
  <c r="H102" i="57"/>
  <c r="J102" i="57" s="1"/>
  <c r="H201" i="57"/>
  <c r="J201" i="57" s="1"/>
  <c r="H240" i="57"/>
  <c r="J240" i="57" s="1"/>
  <c r="H285" i="57"/>
  <c r="J285" i="57" s="1"/>
  <c r="J596" i="57"/>
  <c r="H672" i="57"/>
  <c r="J672" i="57" s="1"/>
  <c r="H685" i="57"/>
  <c r="J685" i="57" s="1"/>
  <c r="J730" i="57"/>
  <c r="H800" i="57"/>
  <c r="J800" i="57" s="1"/>
  <c r="H1164" i="57"/>
  <c r="J1164" i="57" s="1"/>
  <c r="J1390" i="57"/>
  <c r="H1413" i="57"/>
  <c r="J1413" i="57" s="1"/>
  <c r="H1591" i="57"/>
  <c r="J1591" i="57" s="1"/>
  <c r="H1652" i="57"/>
  <c r="J1652" i="57" s="1"/>
  <c r="J950" i="57"/>
  <c r="J1078" i="57"/>
  <c r="J1158" i="57"/>
  <c r="J1753" i="57"/>
  <c r="H166" i="28" l="1"/>
  <c r="J166" i="28" s="1"/>
  <c r="J110" i="28"/>
  <c r="J1238" i="57"/>
  <c r="J1572" i="57"/>
  <c r="J1221" i="57"/>
  <c r="J1135" i="57"/>
  <c r="J796" i="57"/>
  <c r="J417" i="57"/>
  <c r="J674" i="57"/>
  <c r="J1229" i="57"/>
  <c r="J799" i="57"/>
  <c r="J622" i="57"/>
  <c r="J671" i="57"/>
  <c r="J1535" i="57"/>
  <c r="J282" i="57"/>
  <c r="J857" i="57"/>
  <c r="J623" i="57"/>
  <c r="I165" i="28"/>
  <c r="H165" i="28"/>
  <c r="J134" i="28"/>
  <c r="H117" i="28"/>
  <c r="I117" i="28"/>
  <c r="I167" i="28"/>
  <c r="H167" i="28"/>
  <c r="H135" i="28"/>
  <c r="J135" i="28" s="1"/>
  <c r="J314" i="31"/>
  <c r="C15" i="41" s="1"/>
  <c r="E15" i="41" s="1"/>
  <c r="J1594" i="57"/>
  <c r="I191" i="57"/>
  <c r="J1230" i="57"/>
  <c r="J453" i="57"/>
  <c r="J237" i="57"/>
  <c r="J1573" i="57"/>
  <c r="J928" i="57"/>
  <c r="J1044" i="57"/>
  <c r="I1299" i="57"/>
  <c r="I574" i="57"/>
  <c r="I1481" i="57"/>
  <c r="I1118" i="57"/>
  <c r="J1222" i="57"/>
  <c r="I398" i="57"/>
  <c r="I750" i="57"/>
  <c r="J1235" i="57"/>
  <c r="I1657" i="57"/>
  <c r="J759" i="57"/>
  <c r="J1399" i="57"/>
  <c r="J1593" i="57"/>
  <c r="J1064" i="57"/>
  <c r="J1348" i="57"/>
  <c r="J889" i="57"/>
  <c r="J521" i="57"/>
  <c r="J1579" i="57"/>
  <c r="I934" i="57"/>
  <c r="J305" i="57"/>
  <c r="J91" i="28"/>
  <c r="J111" i="28"/>
  <c r="J117" i="28" s="1"/>
  <c r="I143" i="28"/>
  <c r="H574" i="57"/>
  <c r="J668" i="57"/>
  <c r="H1118" i="57"/>
  <c r="J191" i="57"/>
  <c r="H1744" i="57"/>
  <c r="H1657" i="57"/>
  <c r="J1744" i="57"/>
  <c r="J856" i="57"/>
  <c r="J300" i="57"/>
  <c r="H191" i="57"/>
  <c r="H398" i="57"/>
  <c r="J1767" i="57"/>
  <c r="J1317" i="57"/>
  <c r="H1481" i="57"/>
  <c r="H750" i="57"/>
  <c r="J1534" i="57"/>
  <c r="H934" i="57"/>
  <c r="J1597" i="57"/>
  <c r="H1299" i="57"/>
  <c r="J1531" i="57"/>
  <c r="J165" i="28" l="1"/>
  <c r="I183" i="28"/>
  <c r="J750" i="57"/>
  <c r="J574" i="57"/>
  <c r="J167" i="28"/>
  <c r="I184" i="28"/>
  <c r="J398" i="57"/>
  <c r="H183" i="28"/>
  <c r="J1299" i="57"/>
  <c r="J143" i="28"/>
  <c r="H143" i="28"/>
  <c r="J1118" i="57"/>
  <c r="J1481" i="57"/>
  <c r="I1768" i="57"/>
  <c r="J934" i="57"/>
  <c r="J1657" i="57"/>
  <c r="H1768" i="57"/>
  <c r="J183" i="28" l="1"/>
  <c r="J184" i="28" s="1"/>
  <c r="H184" i="28"/>
  <c r="J1768" i="57"/>
  <c r="C24" i="36"/>
  <c r="F20" i="36"/>
  <c r="G20" i="36"/>
  <c r="G163" i="35"/>
  <c r="F163" i="35"/>
  <c r="G162" i="35"/>
  <c r="F162" i="35"/>
  <c r="G161" i="35"/>
  <c r="F161" i="35"/>
  <c r="G160" i="35"/>
  <c r="F160" i="35"/>
  <c r="B113" i="9"/>
  <c r="B112" i="9"/>
  <c r="B13" i="19" s="1"/>
  <c r="B133" i="9"/>
  <c r="B2" i="19"/>
  <c r="B2" i="56"/>
  <c r="B2" i="42"/>
  <c r="B2" i="41"/>
  <c r="C2" i="58" l="1"/>
  <c r="C2" i="36"/>
  <c r="C2" i="35"/>
  <c r="B15" i="39" l="1"/>
  <c r="C21" i="56" l="1"/>
  <c r="G471" i="27"/>
  <c r="G472" i="27"/>
  <c r="G470" i="27"/>
  <c r="G447" i="27"/>
  <c r="G448" i="27"/>
  <c r="G449" i="27"/>
  <c r="G450" i="27"/>
  <c r="G451" i="27"/>
  <c r="G452" i="27"/>
  <c r="G453" i="27"/>
  <c r="G454" i="27"/>
  <c r="G455" i="27"/>
  <c r="G464" i="27"/>
  <c r="G465" i="27"/>
  <c r="G466" i="27"/>
  <c r="G467" i="27"/>
  <c r="G468" i="27"/>
  <c r="G446" i="27"/>
  <c r="G423" i="27"/>
  <c r="G424" i="27"/>
  <c r="G425" i="27"/>
  <c r="G434" i="27"/>
  <c r="G435" i="27"/>
  <c r="G436" i="27"/>
  <c r="G437" i="27"/>
  <c r="G438" i="27"/>
  <c r="G439" i="27"/>
  <c r="G440" i="27"/>
  <c r="G441" i="27"/>
  <c r="G442" i="27"/>
  <c r="G443" i="27"/>
  <c r="G444" i="27"/>
  <c r="G422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06" i="27"/>
  <c r="G383" i="27"/>
  <c r="G384" i="27"/>
  <c r="G385" i="27"/>
  <c r="G386" i="27"/>
  <c r="G387" i="27"/>
  <c r="G388" i="27"/>
  <c r="G389" i="27"/>
  <c r="G390" i="27"/>
  <c r="G391" i="27"/>
  <c r="G392" i="27"/>
  <c r="G393" i="27"/>
  <c r="G402" i="27"/>
  <c r="G403" i="27"/>
  <c r="G404" i="27"/>
  <c r="G382" i="27"/>
  <c r="G359" i="27"/>
  <c r="G360" i="27"/>
  <c r="G361" i="27"/>
  <c r="G370" i="27"/>
  <c r="G371" i="27"/>
  <c r="G372" i="27"/>
  <c r="G373" i="27"/>
  <c r="G374" i="27"/>
  <c r="G375" i="27"/>
  <c r="G376" i="27"/>
  <c r="G377" i="27"/>
  <c r="G378" i="27"/>
  <c r="G379" i="27"/>
  <c r="G380" i="27"/>
  <c r="G358" i="27"/>
  <c r="G346" i="27"/>
  <c r="G347" i="27"/>
  <c r="G348" i="27"/>
  <c r="G349" i="27"/>
  <c r="G350" i="27"/>
  <c r="G351" i="27"/>
  <c r="G352" i="27"/>
  <c r="G353" i="27"/>
  <c r="G354" i="27"/>
  <c r="G355" i="27"/>
  <c r="G356" i="27"/>
  <c r="G345" i="27"/>
  <c r="G319" i="27"/>
  <c r="G320" i="27"/>
  <c r="G321" i="27"/>
  <c r="G322" i="27"/>
  <c r="G323" i="27"/>
  <c r="G324" i="27"/>
  <c r="G325" i="27"/>
  <c r="G326" i="27"/>
  <c r="G327" i="27"/>
  <c r="G328" i="27"/>
  <c r="G329" i="27"/>
  <c r="G338" i="27"/>
  <c r="G339" i="27"/>
  <c r="G340" i="27"/>
  <c r="G341" i="27"/>
  <c r="G342" i="27"/>
  <c r="G343" i="27"/>
  <c r="G318" i="27"/>
  <c r="G293" i="27"/>
  <c r="G294" i="27"/>
  <c r="G295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292" i="27"/>
  <c r="G284" i="27"/>
  <c r="G285" i="27"/>
  <c r="G286" i="27"/>
  <c r="G287" i="27"/>
  <c r="G288" i="27"/>
  <c r="G289" i="27"/>
  <c r="G290" i="27"/>
  <c r="G283" i="27"/>
  <c r="F15" i="50"/>
  <c r="F13" i="50"/>
  <c r="F14" i="50"/>
  <c r="G210" i="35"/>
  <c r="F210" i="35"/>
  <c r="G207" i="35"/>
  <c r="F207" i="35"/>
  <c r="H566" i="53"/>
  <c r="I566" i="53"/>
  <c r="D568" i="53"/>
  <c r="H568" i="53" s="1"/>
  <c r="D569" i="53"/>
  <c r="H569" i="53" s="1"/>
  <c r="D571" i="53"/>
  <c r="H571" i="53" s="1"/>
  <c r="D572" i="53"/>
  <c r="H572" i="53" s="1"/>
  <c r="J566" i="53" l="1"/>
  <c r="D570" i="53"/>
  <c r="H570" i="53" s="1"/>
  <c r="I572" i="53"/>
  <c r="J572" i="53" s="1"/>
  <c r="I569" i="53"/>
  <c r="J569" i="53" s="1"/>
  <c r="I571" i="53"/>
  <c r="J571" i="53" s="1"/>
  <c r="I568" i="53"/>
  <c r="J568" i="53" s="1"/>
  <c r="I570" i="53" l="1"/>
  <c r="J570" i="53" s="1"/>
  <c r="I470" i="27"/>
  <c r="I434" i="27"/>
  <c r="D2222" i="53"/>
  <c r="H2222" i="53" s="1"/>
  <c r="H434" i="27"/>
  <c r="I410" i="27"/>
  <c r="H410" i="27"/>
  <c r="I386" i="27"/>
  <c r="H386" i="27"/>
  <c r="I370" i="27"/>
  <c r="H370" i="27"/>
  <c r="I287" i="27"/>
  <c r="H287" i="27"/>
  <c r="J370" i="27" l="1"/>
  <c r="J434" i="27"/>
  <c r="J410" i="27"/>
  <c r="J386" i="27"/>
  <c r="J287" i="27"/>
  <c r="B2237" i="53"/>
  <c r="C2236" i="53"/>
  <c r="C2209" i="53"/>
  <c r="C2105" i="53"/>
  <c r="C1973" i="53"/>
  <c r="C1788" i="53"/>
  <c r="C1588" i="53"/>
  <c r="C1395" i="53"/>
  <c r="C1202" i="53"/>
  <c r="C1009" i="53"/>
  <c r="C817" i="53"/>
  <c r="C618" i="53"/>
  <c r="C422" i="53"/>
  <c r="C171" i="53"/>
  <c r="C23" i="53"/>
  <c r="C3" i="53"/>
  <c r="C7" i="58"/>
  <c r="C7" i="36"/>
  <c r="C7" i="35"/>
  <c r="H518" i="53"/>
  <c r="I518" i="53"/>
  <c r="H521" i="53"/>
  <c r="I521" i="53"/>
  <c r="H519" i="53"/>
  <c r="I519" i="53"/>
  <c r="H520" i="53"/>
  <c r="I520" i="53"/>
  <c r="H755" i="53"/>
  <c r="I755" i="53"/>
  <c r="H2035" i="53"/>
  <c r="I2035" i="53"/>
  <c r="H1911" i="53"/>
  <c r="I1911" i="53"/>
  <c r="H2041" i="53"/>
  <c r="I2041" i="53"/>
  <c r="D2040" i="53"/>
  <c r="I2040" i="53" s="1"/>
  <c r="H2039" i="53"/>
  <c r="I2039" i="53"/>
  <c r="H2037" i="53"/>
  <c r="I2037" i="53"/>
  <c r="H2038" i="53"/>
  <c r="I2038" i="53"/>
  <c r="D28" i="53"/>
  <c r="D74" i="53"/>
  <c r="D2101" i="53"/>
  <c r="D1971" i="53"/>
  <c r="D1786" i="53"/>
  <c r="D1586" i="53"/>
  <c r="D1393" i="53"/>
  <c r="D1200" i="53"/>
  <c r="D1007" i="53"/>
  <c r="D815" i="53"/>
  <c r="D1950" i="53"/>
  <c r="D1765" i="53"/>
  <c r="D1572" i="53"/>
  <c r="D1379" i="53"/>
  <c r="D1186" i="53"/>
  <c r="D993" i="53"/>
  <c r="D776" i="53"/>
  <c r="H753" i="53"/>
  <c r="I753" i="53"/>
  <c r="H2033" i="53"/>
  <c r="I2033" i="53"/>
  <c r="H2034" i="53"/>
  <c r="I2034" i="53"/>
  <c r="H1909" i="53"/>
  <c r="I1909" i="53"/>
  <c r="H1908" i="53"/>
  <c r="I1908" i="53"/>
  <c r="D1648" i="53"/>
  <c r="D1262" i="53"/>
  <c r="B131" i="9"/>
  <c r="B130" i="9"/>
  <c r="B129" i="9"/>
  <c r="B128" i="9"/>
  <c r="B126" i="9"/>
  <c r="B14" i="19" s="1"/>
  <c r="B116" i="9"/>
  <c r="B115" i="9"/>
  <c r="B114" i="9"/>
  <c r="I345" i="27"/>
  <c r="H345" i="27"/>
  <c r="I346" i="27"/>
  <c r="H346" i="27"/>
  <c r="H347" i="27"/>
  <c r="I347" i="27"/>
  <c r="I348" i="27"/>
  <c r="H348" i="27"/>
  <c r="H349" i="27"/>
  <c r="I349" i="27"/>
  <c r="H350" i="27"/>
  <c r="I350" i="27"/>
  <c r="H351" i="27"/>
  <c r="I351" i="27"/>
  <c r="H352" i="27"/>
  <c r="I352" i="27"/>
  <c r="H353" i="27"/>
  <c r="I353" i="27"/>
  <c r="I354" i="27"/>
  <c r="H354" i="27"/>
  <c r="I355" i="27"/>
  <c r="H355" i="27"/>
  <c r="I356" i="27"/>
  <c r="H356" i="27"/>
  <c r="I358" i="27"/>
  <c r="H358" i="27"/>
  <c r="I359" i="27"/>
  <c r="H359" i="27"/>
  <c r="H360" i="27"/>
  <c r="I360" i="27"/>
  <c r="I361" i="27"/>
  <c r="H361" i="27"/>
  <c r="I371" i="27"/>
  <c r="H371" i="27"/>
  <c r="I372" i="27"/>
  <c r="H372" i="27"/>
  <c r="H373" i="27"/>
  <c r="I373" i="27"/>
  <c r="H374" i="27"/>
  <c r="I374" i="27"/>
  <c r="H375" i="27"/>
  <c r="I375" i="27"/>
  <c r="H376" i="27"/>
  <c r="I376" i="27"/>
  <c r="I377" i="27"/>
  <c r="H377" i="27"/>
  <c r="I378" i="27"/>
  <c r="H378" i="27"/>
  <c r="I379" i="27"/>
  <c r="H379" i="27"/>
  <c r="I380" i="27"/>
  <c r="H380" i="27"/>
  <c r="I382" i="27"/>
  <c r="H382" i="27"/>
  <c r="I383" i="27"/>
  <c r="H383" i="27"/>
  <c r="H384" i="27"/>
  <c r="I384" i="27"/>
  <c r="I385" i="27"/>
  <c r="H385" i="27"/>
  <c r="I387" i="27"/>
  <c r="H387" i="27"/>
  <c r="I388" i="27"/>
  <c r="H388" i="27"/>
  <c r="H389" i="27"/>
  <c r="I389" i="27"/>
  <c r="H390" i="27"/>
  <c r="I390" i="27"/>
  <c r="H391" i="27"/>
  <c r="I391" i="27"/>
  <c r="H392" i="27"/>
  <c r="I392" i="27"/>
  <c r="I393" i="27"/>
  <c r="H393" i="27"/>
  <c r="I402" i="27"/>
  <c r="H402" i="27"/>
  <c r="I403" i="27"/>
  <c r="H403" i="27"/>
  <c r="I404" i="27"/>
  <c r="H404" i="27"/>
  <c r="I406" i="27"/>
  <c r="H406" i="27"/>
  <c r="I407" i="27"/>
  <c r="H407" i="27"/>
  <c r="H408" i="27"/>
  <c r="I408" i="27"/>
  <c r="I409" i="27"/>
  <c r="H409" i="27"/>
  <c r="I411" i="27"/>
  <c r="H411" i="27"/>
  <c r="I412" i="27"/>
  <c r="H412" i="27"/>
  <c r="H413" i="27"/>
  <c r="I413" i="27"/>
  <c r="H414" i="27"/>
  <c r="I414" i="27"/>
  <c r="H415" i="27"/>
  <c r="I415" i="27"/>
  <c r="H416" i="27"/>
  <c r="I416" i="27"/>
  <c r="I417" i="27"/>
  <c r="H417" i="27"/>
  <c r="I418" i="27"/>
  <c r="H418" i="27"/>
  <c r="I419" i="27"/>
  <c r="H419" i="27"/>
  <c r="I420" i="27"/>
  <c r="H420" i="27"/>
  <c r="I422" i="27"/>
  <c r="H422" i="27"/>
  <c r="I423" i="27"/>
  <c r="H423" i="27"/>
  <c r="H424" i="27"/>
  <c r="I424" i="27"/>
  <c r="I425" i="27"/>
  <c r="H425" i="27"/>
  <c r="I435" i="27"/>
  <c r="H435" i="27"/>
  <c r="I436" i="27"/>
  <c r="H436" i="27"/>
  <c r="H437" i="27"/>
  <c r="I437" i="27"/>
  <c r="H438" i="27"/>
  <c r="I438" i="27"/>
  <c r="H439" i="27"/>
  <c r="I439" i="27"/>
  <c r="H440" i="27"/>
  <c r="I440" i="27"/>
  <c r="I441" i="27"/>
  <c r="H441" i="27"/>
  <c r="I442" i="27"/>
  <c r="H442" i="27"/>
  <c r="I443" i="27"/>
  <c r="H443" i="27"/>
  <c r="I444" i="27"/>
  <c r="H444" i="27"/>
  <c r="I446" i="27"/>
  <c r="H446" i="27"/>
  <c r="I447" i="27"/>
  <c r="H447" i="27"/>
  <c r="H448" i="27"/>
  <c r="I448" i="27"/>
  <c r="I449" i="27"/>
  <c r="H449" i="27"/>
  <c r="I450" i="27"/>
  <c r="H450" i="27"/>
  <c r="I451" i="27"/>
  <c r="H451" i="27"/>
  <c r="I452" i="27"/>
  <c r="H452" i="27"/>
  <c r="H453" i="27"/>
  <c r="I453" i="27"/>
  <c r="H454" i="27"/>
  <c r="I454" i="27"/>
  <c r="H455" i="27"/>
  <c r="I455" i="27"/>
  <c r="H464" i="27"/>
  <c r="I464" i="27"/>
  <c r="I465" i="27"/>
  <c r="H465" i="27"/>
  <c r="I466" i="27"/>
  <c r="H466" i="27"/>
  <c r="I467" i="27"/>
  <c r="H467" i="27"/>
  <c r="I468" i="27"/>
  <c r="H468" i="27"/>
  <c r="H470" i="27"/>
  <c r="J470" i="27" s="1"/>
  <c r="H471" i="27"/>
  <c r="I471" i="27"/>
  <c r="H472" i="27"/>
  <c r="I472" i="27"/>
  <c r="I318" i="27"/>
  <c r="H318" i="27"/>
  <c r="I319" i="27"/>
  <c r="H319" i="27"/>
  <c r="H320" i="27"/>
  <c r="I320" i="27"/>
  <c r="I321" i="27"/>
  <c r="H321" i="27"/>
  <c r="I322" i="27"/>
  <c r="H322" i="27"/>
  <c r="I323" i="27"/>
  <c r="H323" i="27"/>
  <c r="I324" i="27"/>
  <c r="H324" i="27"/>
  <c r="I325" i="27"/>
  <c r="H325" i="27"/>
  <c r="I326" i="27"/>
  <c r="H326" i="27"/>
  <c r="I327" i="27"/>
  <c r="H327" i="27"/>
  <c r="H328" i="27"/>
  <c r="I328" i="27"/>
  <c r="H329" i="27"/>
  <c r="I329" i="27"/>
  <c r="H338" i="27"/>
  <c r="I338" i="27"/>
  <c r="H339" i="27"/>
  <c r="I339" i="27"/>
  <c r="I340" i="27"/>
  <c r="H340" i="27"/>
  <c r="I341" i="27"/>
  <c r="H341" i="27"/>
  <c r="I342" i="27"/>
  <c r="H342" i="27"/>
  <c r="I343" i="27"/>
  <c r="H343" i="27"/>
  <c r="I292" i="27"/>
  <c r="H292" i="27"/>
  <c r="I293" i="27"/>
  <c r="H293" i="27"/>
  <c r="H294" i="27"/>
  <c r="I294" i="27"/>
  <c r="I295" i="27"/>
  <c r="H295" i="27"/>
  <c r="I304" i="27"/>
  <c r="H304" i="27"/>
  <c r="I305" i="27"/>
  <c r="H305" i="27"/>
  <c r="I306" i="27"/>
  <c r="H306" i="27"/>
  <c r="I307" i="27"/>
  <c r="H307" i="27"/>
  <c r="I308" i="27"/>
  <c r="H308" i="27"/>
  <c r="H309" i="27"/>
  <c r="I309" i="27"/>
  <c r="H310" i="27"/>
  <c r="I310" i="27"/>
  <c r="H311" i="27"/>
  <c r="I311" i="27"/>
  <c r="H312" i="27"/>
  <c r="I312" i="27"/>
  <c r="I313" i="27"/>
  <c r="H313" i="27"/>
  <c r="I314" i="27"/>
  <c r="H314" i="27"/>
  <c r="I315" i="27"/>
  <c r="H315" i="27"/>
  <c r="I316" i="27"/>
  <c r="H316" i="27"/>
  <c r="I283" i="27"/>
  <c r="H283" i="27"/>
  <c r="I284" i="27"/>
  <c r="H284" i="27"/>
  <c r="H285" i="27"/>
  <c r="I285" i="27"/>
  <c r="H286" i="27"/>
  <c r="I286" i="27"/>
  <c r="H288" i="27"/>
  <c r="I288" i="27"/>
  <c r="H289" i="27"/>
  <c r="I289" i="27"/>
  <c r="I290" i="27"/>
  <c r="H290" i="27"/>
  <c r="H275" i="27"/>
  <c r="I275" i="27"/>
  <c r="H276" i="27"/>
  <c r="I276" i="27"/>
  <c r="H277" i="27"/>
  <c r="I277" i="27"/>
  <c r="H246" i="27"/>
  <c r="I246" i="27"/>
  <c r="H247" i="27"/>
  <c r="I247" i="27"/>
  <c r="H248" i="27"/>
  <c r="I248" i="27"/>
  <c r="H249" i="27"/>
  <c r="I249" i="27"/>
  <c r="H250" i="27"/>
  <c r="I250" i="27"/>
  <c r="H251" i="27"/>
  <c r="I251" i="27"/>
  <c r="H252" i="27"/>
  <c r="I252" i="27"/>
  <c r="H253" i="27"/>
  <c r="I253" i="27"/>
  <c r="H254" i="27"/>
  <c r="I254" i="27"/>
  <c r="H255" i="27"/>
  <c r="I255" i="27"/>
  <c r="H256" i="27"/>
  <c r="I256" i="27"/>
  <c r="H257" i="27"/>
  <c r="I257" i="27"/>
  <c r="H258" i="27"/>
  <c r="I258" i="27"/>
  <c r="H259" i="27"/>
  <c r="I259" i="27"/>
  <c r="H260" i="27"/>
  <c r="I260" i="27"/>
  <c r="H261" i="27"/>
  <c r="I261" i="27"/>
  <c r="H262" i="27"/>
  <c r="I262" i="27"/>
  <c r="H263" i="27"/>
  <c r="I263" i="27"/>
  <c r="H264" i="27"/>
  <c r="I264" i="27"/>
  <c r="H265" i="27"/>
  <c r="I265" i="27"/>
  <c r="H218" i="27"/>
  <c r="I218" i="27"/>
  <c r="H219" i="27"/>
  <c r="I219" i="27"/>
  <c r="H220" i="27"/>
  <c r="I220" i="27"/>
  <c r="H221" i="27"/>
  <c r="I221" i="27"/>
  <c r="H222" i="27"/>
  <c r="I222" i="27"/>
  <c r="H223" i="27"/>
  <c r="I223" i="27"/>
  <c r="H224" i="27"/>
  <c r="I224" i="27"/>
  <c r="H225" i="27"/>
  <c r="I225" i="27"/>
  <c r="H226" i="27"/>
  <c r="I226" i="27"/>
  <c r="H227" i="27"/>
  <c r="I227" i="27"/>
  <c r="H228" i="27"/>
  <c r="I228" i="27"/>
  <c r="H229" i="27"/>
  <c r="I229" i="27"/>
  <c r="H230" i="27"/>
  <c r="I230" i="27"/>
  <c r="H231" i="27"/>
  <c r="I231" i="27"/>
  <c r="H232" i="27"/>
  <c r="I232" i="27"/>
  <c r="H233" i="27"/>
  <c r="I233" i="27"/>
  <c r="H234" i="27"/>
  <c r="I234" i="27"/>
  <c r="H235" i="27"/>
  <c r="I235" i="27"/>
  <c r="H236" i="27"/>
  <c r="I236" i="27"/>
  <c r="H188" i="27"/>
  <c r="I188" i="27"/>
  <c r="H189" i="27"/>
  <c r="I189" i="27"/>
  <c r="H190" i="27"/>
  <c r="I190" i="27"/>
  <c r="H191" i="27"/>
  <c r="I191" i="27"/>
  <c r="H192" i="27"/>
  <c r="I192" i="27"/>
  <c r="H193" i="27"/>
  <c r="I193" i="27"/>
  <c r="H194" i="27"/>
  <c r="I194" i="27"/>
  <c r="H195" i="27"/>
  <c r="I195" i="27"/>
  <c r="H196" i="27"/>
  <c r="I196" i="27"/>
  <c r="H197" i="27"/>
  <c r="I197" i="27"/>
  <c r="H198" i="27"/>
  <c r="I198" i="27"/>
  <c r="H199" i="27"/>
  <c r="I199" i="27"/>
  <c r="H200" i="27"/>
  <c r="I200" i="27"/>
  <c r="H201" i="27"/>
  <c r="I201" i="27"/>
  <c r="H202" i="27"/>
  <c r="I202" i="27"/>
  <c r="H203" i="27"/>
  <c r="I203" i="27"/>
  <c r="H204" i="27"/>
  <c r="I204" i="27"/>
  <c r="H205" i="27"/>
  <c r="I205" i="27"/>
  <c r="H206" i="27"/>
  <c r="I206" i="27"/>
  <c r="H215" i="27"/>
  <c r="I215" i="27"/>
  <c r="H216" i="27"/>
  <c r="I216" i="27"/>
  <c r="H158" i="27"/>
  <c r="I158" i="27"/>
  <c r="H159" i="27"/>
  <c r="I159" i="27"/>
  <c r="H160" i="27"/>
  <c r="I160" i="27"/>
  <c r="H161" i="27"/>
  <c r="I161" i="27"/>
  <c r="H162" i="27"/>
  <c r="I162" i="27"/>
  <c r="H163" i="27"/>
  <c r="I163" i="27"/>
  <c r="H164" i="27"/>
  <c r="I164" i="27"/>
  <c r="H165" i="27"/>
  <c r="I165" i="27"/>
  <c r="H166" i="27"/>
  <c r="I166" i="27"/>
  <c r="H167" i="27"/>
  <c r="I167" i="27"/>
  <c r="H168" i="27"/>
  <c r="I168" i="27"/>
  <c r="H169" i="27"/>
  <c r="I169" i="27"/>
  <c r="H170" i="27"/>
  <c r="I170" i="27"/>
  <c r="H171" i="27"/>
  <c r="I171" i="27"/>
  <c r="H172" i="27"/>
  <c r="I172" i="27"/>
  <c r="H173" i="27"/>
  <c r="I173" i="27"/>
  <c r="H174" i="27"/>
  <c r="I174" i="27"/>
  <c r="H183" i="27"/>
  <c r="I183" i="27"/>
  <c r="H184" i="27"/>
  <c r="I184" i="27"/>
  <c r="H185" i="27"/>
  <c r="I185" i="27"/>
  <c r="H186" i="27"/>
  <c r="I186" i="27"/>
  <c r="H136" i="27"/>
  <c r="I136" i="27"/>
  <c r="H137" i="27"/>
  <c r="I137" i="27"/>
  <c r="H138" i="27"/>
  <c r="I138" i="27"/>
  <c r="H139" i="27"/>
  <c r="I139" i="27"/>
  <c r="H140" i="27"/>
  <c r="I140" i="27"/>
  <c r="H141" i="27"/>
  <c r="I141" i="27"/>
  <c r="H142" i="27"/>
  <c r="I142" i="27"/>
  <c r="H151" i="27"/>
  <c r="I151" i="27"/>
  <c r="H152" i="27"/>
  <c r="I152" i="27"/>
  <c r="H153" i="27"/>
  <c r="I153" i="27"/>
  <c r="H154" i="27"/>
  <c r="I154" i="27"/>
  <c r="H155" i="27"/>
  <c r="I155" i="27"/>
  <c r="H156" i="27"/>
  <c r="I156" i="27"/>
  <c r="H120" i="27"/>
  <c r="I120" i="27"/>
  <c r="H121" i="27"/>
  <c r="I121" i="27"/>
  <c r="H122" i="27"/>
  <c r="I122" i="27"/>
  <c r="H123" i="27"/>
  <c r="I123" i="27"/>
  <c r="H124" i="27"/>
  <c r="I124" i="27"/>
  <c r="H125" i="27"/>
  <c r="I125" i="27"/>
  <c r="H126" i="27"/>
  <c r="I126" i="27"/>
  <c r="H127" i="27"/>
  <c r="I127" i="27"/>
  <c r="H128" i="27"/>
  <c r="I128" i="27"/>
  <c r="H129" i="27"/>
  <c r="I129" i="27"/>
  <c r="H130" i="27"/>
  <c r="I130" i="27"/>
  <c r="H131" i="27"/>
  <c r="I131" i="27"/>
  <c r="H132" i="27"/>
  <c r="I132" i="27"/>
  <c r="H133" i="27"/>
  <c r="I133" i="27"/>
  <c r="H134" i="27"/>
  <c r="I134" i="27"/>
  <c r="H91" i="27"/>
  <c r="I91" i="27"/>
  <c r="H92" i="27"/>
  <c r="I92" i="27"/>
  <c r="H93" i="27"/>
  <c r="I93" i="27"/>
  <c r="H94" i="27"/>
  <c r="I94" i="27"/>
  <c r="H95" i="27"/>
  <c r="I95" i="27"/>
  <c r="H96" i="27"/>
  <c r="I96" i="27"/>
  <c r="H97" i="27"/>
  <c r="I97" i="27"/>
  <c r="H98" i="27"/>
  <c r="I98" i="27"/>
  <c r="H99" i="27"/>
  <c r="I99" i="27"/>
  <c r="H100" i="27"/>
  <c r="I100" i="27"/>
  <c r="H101" i="27"/>
  <c r="I101" i="27"/>
  <c r="H102" i="27"/>
  <c r="I102" i="27"/>
  <c r="H103" i="27"/>
  <c r="I103" i="27"/>
  <c r="H104" i="27"/>
  <c r="I104" i="27"/>
  <c r="H105" i="27"/>
  <c r="I105" i="27"/>
  <c r="H106" i="27"/>
  <c r="I106" i="27"/>
  <c r="H107" i="27"/>
  <c r="I107" i="27"/>
  <c r="H108" i="27"/>
  <c r="I108" i="27"/>
  <c r="H109" i="27"/>
  <c r="I109" i="27"/>
  <c r="G74" i="27"/>
  <c r="I74" i="27" s="1"/>
  <c r="H74" i="27"/>
  <c r="G75" i="27"/>
  <c r="I75" i="27" s="1"/>
  <c r="H75" i="27"/>
  <c r="G76" i="27"/>
  <c r="I76" i="27" s="1"/>
  <c r="H76" i="27"/>
  <c r="G77" i="27"/>
  <c r="I77" i="27" s="1"/>
  <c r="H77" i="27"/>
  <c r="G78" i="27"/>
  <c r="I78" i="27" s="1"/>
  <c r="H78" i="27"/>
  <c r="H69" i="27"/>
  <c r="I69" i="27"/>
  <c r="G70" i="27"/>
  <c r="I70" i="27" s="1"/>
  <c r="H70" i="27"/>
  <c r="G71" i="27"/>
  <c r="I71" i="27" s="1"/>
  <c r="H71" i="27"/>
  <c r="G72" i="27"/>
  <c r="I72" i="27" s="1"/>
  <c r="H72" i="27"/>
  <c r="H64" i="27"/>
  <c r="I64" i="27"/>
  <c r="G65" i="27"/>
  <c r="I65" i="27" s="1"/>
  <c r="H65" i="27"/>
  <c r="G66" i="27"/>
  <c r="I66" i="27" s="1"/>
  <c r="H66" i="27"/>
  <c r="G67" i="27"/>
  <c r="I67" i="27" s="1"/>
  <c r="H67" i="27"/>
  <c r="H59" i="27"/>
  <c r="I59" i="27"/>
  <c r="G60" i="27"/>
  <c r="I60" i="27" s="1"/>
  <c r="H60" i="27"/>
  <c r="G61" i="27"/>
  <c r="I61" i="27" s="1"/>
  <c r="H61" i="27"/>
  <c r="G62" i="27"/>
  <c r="I62" i="27" s="1"/>
  <c r="H62" i="27"/>
  <c r="H44" i="27"/>
  <c r="I44" i="27"/>
  <c r="G45" i="27"/>
  <c r="I45" i="27" s="1"/>
  <c r="H45" i="27"/>
  <c r="G46" i="27"/>
  <c r="I46" i="27" s="1"/>
  <c r="H46" i="27"/>
  <c r="G47" i="27"/>
  <c r="I47" i="27" s="1"/>
  <c r="H47" i="27"/>
  <c r="G48" i="27"/>
  <c r="I48" i="27" s="1"/>
  <c r="H48" i="27"/>
  <c r="G49" i="27"/>
  <c r="I49" i="27" s="1"/>
  <c r="H49" i="27"/>
  <c r="G40" i="27"/>
  <c r="I40" i="27" s="1"/>
  <c r="H40" i="27"/>
  <c r="G41" i="27"/>
  <c r="I41" i="27" s="1"/>
  <c r="H41" i="27"/>
  <c r="G42" i="27"/>
  <c r="I42" i="27" s="1"/>
  <c r="H42" i="27"/>
  <c r="G22" i="27"/>
  <c r="I22" i="27" s="1"/>
  <c r="H22" i="27"/>
  <c r="G23" i="27"/>
  <c r="I23" i="27" s="1"/>
  <c r="H23" i="27"/>
  <c r="G24" i="27"/>
  <c r="I24" i="27" s="1"/>
  <c r="H24" i="27"/>
  <c r="G33" i="27"/>
  <c r="I33" i="27" s="1"/>
  <c r="H33" i="27"/>
  <c r="G34" i="27"/>
  <c r="I34" i="27" s="1"/>
  <c r="H34" i="27"/>
  <c r="G35" i="27"/>
  <c r="I35" i="27" s="1"/>
  <c r="H35" i="27"/>
  <c r="G36" i="27"/>
  <c r="I36" i="27" s="1"/>
  <c r="H36" i="27"/>
  <c r="G37" i="27"/>
  <c r="I37" i="27" s="1"/>
  <c r="H37" i="27"/>
  <c r="G38" i="27"/>
  <c r="I38" i="27" s="1"/>
  <c r="H38" i="27"/>
  <c r="H16" i="27"/>
  <c r="I16" i="27"/>
  <c r="G17" i="27"/>
  <c r="I17" i="27" s="1"/>
  <c r="H17" i="27"/>
  <c r="G18" i="27"/>
  <c r="I18" i="27" s="1"/>
  <c r="H18" i="27"/>
  <c r="G19" i="27"/>
  <c r="I19" i="27" s="1"/>
  <c r="H19" i="27"/>
  <c r="G20" i="27"/>
  <c r="I20" i="27" s="1"/>
  <c r="H20" i="27"/>
  <c r="G14" i="27"/>
  <c r="I14" i="27" s="1"/>
  <c r="H14" i="27"/>
  <c r="H17" i="56"/>
  <c r="G21" i="56"/>
  <c r="H21" i="56"/>
  <c r="G24" i="56"/>
  <c r="H24" i="56"/>
  <c r="C36" i="56"/>
  <c r="G36" i="56" s="1"/>
  <c r="G40" i="56"/>
  <c r="H40" i="56"/>
  <c r="G41" i="56"/>
  <c r="H41" i="56"/>
  <c r="G44" i="56"/>
  <c r="H44" i="56"/>
  <c r="G45" i="56"/>
  <c r="H45" i="56"/>
  <c r="H47" i="56"/>
  <c r="I47" i="56" s="1"/>
  <c r="G49" i="56"/>
  <c r="H49" i="56"/>
  <c r="G13" i="56"/>
  <c r="H13" i="56"/>
  <c r="C297" i="35"/>
  <c r="B68" i="9" s="1"/>
  <c r="C298" i="35"/>
  <c r="H16" i="35"/>
  <c r="I16" i="35"/>
  <c r="H22" i="35"/>
  <c r="I22" i="35"/>
  <c r="H27" i="35"/>
  <c r="I27" i="35"/>
  <c r="H29" i="35"/>
  <c r="I29" i="35"/>
  <c r="H30" i="35"/>
  <c r="I30" i="35"/>
  <c r="H31" i="35"/>
  <c r="I31" i="35"/>
  <c r="H32" i="35"/>
  <c r="I32" i="35"/>
  <c r="H41" i="35"/>
  <c r="I41" i="35"/>
  <c r="H42" i="35"/>
  <c r="I42" i="35"/>
  <c r="H44" i="35"/>
  <c r="I44" i="35"/>
  <c r="H49" i="35"/>
  <c r="I49" i="35"/>
  <c r="H50" i="35"/>
  <c r="I50" i="35"/>
  <c r="H51" i="35"/>
  <c r="I51" i="35"/>
  <c r="H52" i="35"/>
  <c r="I52" i="35"/>
  <c r="D53" i="35"/>
  <c r="H53" i="35" s="1"/>
  <c r="H54" i="35"/>
  <c r="I54" i="35"/>
  <c r="H56" i="35"/>
  <c r="I56" i="35"/>
  <c r="H66" i="35"/>
  <c r="I66" i="35"/>
  <c r="H68" i="35"/>
  <c r="I68" i="35"/>
  <c r="H70" i="35"/>
  <c r="I70" i="35"/>
  <c r="H72" i="35"/>
  <c r="I72" i="35"/>
  <c r="H74" i="35"/>
  <c r="I74" i="35"/>
  <c r="H75" i="35"/>
  <c r="I75" i="35"/>
  <c r="H77" i="35"/>
  <c r="I77" i="35"/>
  <c r="H80" i="35"/>
  <c r="I80" i="35"/>
  <c r="H81" i="35"/>
  <c r="I81" i="35"/>
  <c r="H83" i="35"/>
  <c r="I83" i="35"/>
  <c r="H85" i="35"/>
  <c r="I85" i="35"/>
  <c r="H95" i="35"/>
  <c r="I95" i="35"/>
  <c r="H97" i="35"/>
  <c r="I97" i="35"/>
  <c r="H98" i="35"/>
  <c r="I98" i="35"/>
  <c r="H99" i="35"/>
  <c r="I99" i="35"/>
  <c r="H100" i="35"/>
  <c r="I100" i="35"/>
  <c r="C102" i="35"/>
  <c r="B53" i="9" s="1"/>
  <c r="H105" i="35"/>
  <c r="I105" i="35"/>
  <c r="H106" i="35"/>
  <c r="I106" i="35"/>
  <c r="H107" i="35"/>
  <c r="I107" i="35"/>
  <c r="H108" i="35"/>
  <c r="I108" i="35"/>
  <c r="H111" i="35"/>
  <c r="I111" i="35"/>
  <c r="J111" i="35" s="1"/>
  <c r="H112" i="35"/>
  <c r="I112" i="35"/>
  <c r="H113" i="35"/>
  <c r="I113" i="35"/>
  <c r="H114" i="35"/>
  <c r="I114" i="35"/>
  <c r="H124" i="35"/>
  <c r="I124" i="35"/>
  <c r="H125" i="35"/>
  <c r="I125" i="35"/>
  <c r="H126" i="35"/>
  <c r="I126" i="35"/>
  <c r="H127" i="35"/>
  <c r="I127" i="35"/>
  <c r="H129" i="35"/>
  <c r="I129" i="35"/>
  <c r="D130" i="35"/>
  <c r="I130" i="35" s="1"/>
  <c r="H135" i="35"/>
  <c r="I135" i="35"/>
  <c r="H136" i="35"/>
  <c r="I136" i="35"/>
  <c r="H138" i="35"/>
  <c r="I138" i="35"/>
  <c r="H139" i="35"/>
  <c r="I139" i="35"/>
  <c r="F149" i="35"/>
  <c r="H149" i="35" s="1"/>
  <c r="I149" i="35"/>
  <c r="H151" i="35"/>
  <c r="I151" i="35"/>
  <c r="H152" i="35"/>
  <c r="I152" i="35"/>
  <c r="H153" i="35"/>
  <c r="I153" i="35"/>
  <c r="H154" i="35"/>
  <c r="I154" i="35"/>
  <c r="H156" i="35"/>
  <c r="I156" i="35"/>
  <c r="H157" i="35"/>
  <c r="I157" i="35"/>
  <c r="H159" i="35"/>
  <c r="I159" i="35"/>
  <c r="H160" i="35"/>
  <c r="I160" i="35"/>
  <c r="H161" i="35"/>
  <c r="I161" i="35"/>
  <c r="H162" i="35"/>
  <c r="I162" i="35"/>
  <c r="H163" i="35"/>
  <c r="I163" i="35"/>
  <c r="C165" i="35"/>
  <c r="B54" i="9" s="1"/>
  <c r="H177" i="35"/>
  <c r="I177" i="35"/>
  <c r="H178" i="35"/>
  <c r="I178" i="35"/>
  <c r="H180" i="35"/>
  <c r="I180" i="35"/>
  <c r="H181" i="35"/>
  <c r="I181" i="35"/>
  <c r="H183" i="35"/>
  <c r="I183" i="35"/>
  <c r="H184" i="35"/>
  <c r="I184" i="35"/>
  <c r="H189" i="35"/>
  <c r="I189" i="35"/>
  <c r="H190" i="35"/>
  <c r="I190" i="35"/>
  <c r="H192" i="35"/>
  <c r="I192" i="35"/>
  <c r="H193" i="35"/>
  <c r="I193" i="35"/>
  <c r="C195" i="35"/>
  <c r="B55" i="9" s="1"/>
  <c r="H207" i="35"/>
  <c r="I207" i="35"/>
  <c r="H210" i="35"/>
  <c r="I210" i="35"/>
  <c r="C211" i="35"/>
  <c r="B65" i="9" s="1"/>
  <c r="D214" i="35"/>
  <c r="H214" i="35" s="1"/>
  <c r="H215" i="35"/>
  <c r="I215" i="35"/>
  <c r="H216" i="35"/>
  <c r="I216" i="35"/>
  <c r="H217" i="35"/>
  <c r="I217" i="35"/>
  <c r="H218" i="35"/>
  <c r="I218" i="35"/>
  <c r="D219" i="35"/>
  <c r="I219" i="35" s="1"/>
  <c r="H220" i="35"/>
  <c r="I220" i="35"/>
  <c r="H221" i="35"/>
  <c r="I221" i="35"/>
  <c r="C235" i="35"/>
  <c r="B66" i="9" s="1"/>
  <c r="H238" i="35"/>
  <c r="I238" i="35"/>
  <c r="H239" i="35"/>
  <c r="I239" i="35"/>
  <c r="H240" i="35"/>
  <c r="I240" i="35"/>
  <c r="H242" i="35"/>
  <c r="I242" i="35"/>
  <c r="H244" i="35"/>
  <c r="I244" i="35"/>
  <c r="H245" i="35"/>
  <c r="I245" i="35"/>
  <c r="H247" i="35"/>
  <c r="I247" i="35"/>
  <c r="H249" i="35"/>
  <c r="I249" i="35"/>
  <c r="H259" i="35"/>
  <c r="I259" i="35"/>
  <c r="H261" i="35"/>
  <c r="I261" i="35"/>
  <c r="H263" i="35"/>
  <c r="I263" i="35"/>
  <c r="H264" i="35"/>
  <c r="I264" i="35"/>
  <c r="H265" i="35"/>
  <c r="I265" i="35"/>
  <c r="H267" i="35"/>
  <c r="I267" i="35"/>
  <c r="H268" i="35"/>
  <c r="I268" i="35"/>
  <c r="H269" i="35"/>
  <c r="I269" i="35"/>
  <c r="H271" i="35"/>
  <c r="I271" i="35"/>
  <c r="H272" i="35"/>
  <c r="I272" i="35"/>
  <c r="C274" i="35"/>
  <c r="B67" i="9" s="1"/>
  <c r="H285" i="35"/>
  <c r="I285" i="35"/>
  <c r="H286" i="35"/>
  <c r="I286" i="35"/>
  <c r="H288" i="35"/>
  <c r="I288" i="35"/>
  <c r="H289" i="35"/>
  <c r="I289" i="35"/>
  <c r="H290" i="35"/>
  <c r="I290" i="35"/>
  <c r="H292" i="35"/>
  <c r="I292" i="35"/>
  <c r="H293" i="35"/>
  <c r="I293" i="35"/>
  <c r="H294" i="35"/>
  <c r="I294" i="35"/>
  <c r="H295" i="35"/>
  <c r="I295" i="35"/>
  <c r="H27" i="36"/>
  <c r="I27" i="36"/>
  <c r="H28" i="36"/>
  <c r="I28" i="36"/>
  <c r="H29" i="36"/>
  <c r="I29" i="36"/>
  <c r="H30" i="36"/>
  <c r="I30" i="36"/>
  <c r="H31" i="36"/>
  <c r="I31" i="36"/>
  <c r="H40" i="36"/>
  <c r="I40" i="36"/>
  <c r="H41" i="36"/>
  <c r="I41" i="36"/>
  <c r="J41" i="36" s="1"/>
  <c r="H42" i="36"/>
  <c r="I42" i="36"/>
  <c r="F43" i="36"/>
  <c r="H43" i="36" s="1"/>
  <c r="I43" i="36"/>
  <c r="H44" i="36"/>
  <c r="I44" i="36"/>
  <c r="H45" i="36"/>
  <c r="I45" i="36"/>
  <c r="H46" i="36"/>
  <c r="I46" i="36"/>
  <c r="H47" i="36"/>
  <c r="I47" i="36"/>
  <c r="H49" i="36"/>
  <c r="I49" i="36"/>
  <c r="H50" i="36"/>
  <c r="I50" i="36"/>
  <c r="F51" i="36"/>
  <c r="H51" i="36" s="1"/>
  <c r="I51" i="36"/>
  <c r="F52" i="36"/>
  <c r="H52" i="36" s="1"/>
  <c r="I52" i="36"/>
  <c r="F53" i="36"/>
  <c r="H53" i="36" s="1"/>
  <c r="I53" i="36"/>
  <c r="H54" i="36"/>
  <c r="I54" i="36"/>
  <c r="H55" i="36"/>
  <c r="I55" i="36"/>
  <c r="H56" i="36"/>
  <c r="I56" i="36"/>
  <c r="H57" i="36"/>
  <c r="I57" i="36"/>
  <c r="H59" i="36"/>
  <c r="I59" i="36"/>
  <c r="H60" i="36"/>
  <c r="I60" i="36"/>
  <c r="H69" i="36"/>
  <c r="I69" i="36"/>
  <c r="H70" i="36"/>
  <c r="I70" i="36"/>
  <c r="H71" i="36"/>
  <c r="I71" i="36"/>
  <c r="H73" i="36"/>
  <c r="I73" i="36"/>
  <c r="H75" i="36"/>
  <c r="I75" i="36"/>
  <c r="H76" i="36"/>
  <c r="I76" i="36"/>
  <c r="H77" i="36"/>
  <c r="I77" i="36"/>
  <c r="F78" i="36"/>
  <c r="H78" i="36" s="1"/>
  <c r="I78" i="36"/>
  <c r="H79" i="36"/>
  <c r="I79" i="36"/>
  <c r="H80" i="36"/>
  <c r="I80" i="36"/>
  <c r="H81" i="36"/>
  <c r="I81" i="36"/>
  <c r="H83" i="36"/>
  <c r="I83" i="36"/>
  <c r="H84" i="36"/>
  <c r="I84" i="36"/>
  <c r="H85" i="36"/>
  <c r="I85" i="36"/>
  <c r="H86" i="36"/>
  <c r="I86" i="36"/>
  <c r="H87" i="36"/>
  <c r="I87" i="36"/>
  <c r="H88" i="36"/>
  <c r="I88" i="36"/>
  <c r="C90" i="36"/>
  <c r="B73" i="9" s="1"/>
  <c r="H101" i="36"/>
  <c r="I101" i="36"/>
  <c r="H102" i="36"/>
  <c r="I102" i="36"/>
  <c r="H103" i="36"/>
  <c r="I103" i="36"/>
  <c r="H104" i="36"/>
  <c r="I104" i="36"/>
  <c r="H105" i="36"/>
  <c r="I105" i="36"/>
  <c r="J105" i="36" s="1"/>
  <c r="H106" i="36"/>
  <c r="I106" i="36"/>
  <c r="H108" i="36"/>
  <c r="I108" i="36"/>
  <c r="H109" i="36"/>
  <c r="I109" i="36"/>
  <c r="H110" i="36"/>
  <c r="I110" i="36"/>
  <c r="H111" i="36"/>
  <c r="I111" i="36"/>
  <c r="H112" i="36"/>
  <c r="I112" i="36"/>
  <c r="H114" i="36"/>
  <c r="I114" i="36"/>
  <c r="H115" i="36"/>
  <c r="I115" i="36"/>
  <c r="J115" i="36" s="1"/>
  <c r="H117" i="36"/>
  <c r="I117" i="36"/>
  <c r="H118" i="36"/>
  <c r="I118" i="36"/>
  <c r="H119" i="36"/>
  <c r="I119" i="36"/>
  <c r="H120" i="36"/>
  <c r="I120" i="36"/>
  <c r="H121" i="36"/>
  <c r="I121" i="36"/>
  <c r="H123" i="36"/>
  <c r="I123" i="36"/>
  <c r="H124" i="36"/>
  <c r="I124" i="36"/>
  <c r="H134" i="36"/>
  <c r="I134" i="36"/>
  <c r="H135" i="36"/>
  <c r="I135" i="36"/>
  <c r="H136" i="36"/>
  <c r="I136" i="36"/>
  <c r="H137" i="36"/>
  <c r="I137" i="36"/>
  <c r="H138" i="36"/>
  <c r="I138" i="36"/>
  <c r="H140" i="36"/>
  <c r="I140" i="36"/>
  <c r="H141" i="36"/>
  <c r="I141" i="36"/>
  <c r="H143" i="36"/>
  <c r="I143" i="36"/>
  <c r="H144" i="36"/>
  <c r="I144" i="36"/>
  <c r="H145" i="36"/>
  <c r="I145" i="36"/>
  <c r="H146" i="36"/>
  <c r="I146" i="36"/>
  <c r="H147" i="36"/>
  <c r="I147" i="36"/>
  <c r="H149" i="36"/>
  <c r="I149" i="36"/>
  <c r="H150" i="36"/>
  <c r="I150" i="36"/>
  <c r="H152" i="36"/>
  <c r="I152" i="36"/>
  <c r="H153" i="36"/>
  <c r="I153" i="36"/>
  <c r="H154" i="36"/>
  <c r="I154" i="36"/>
  <c r="H155" i="36"/>
  <c r="I155" i="36"/>
  <c r="H164" i="36"/>
  <c r="I164" i="36"/>
  <c r="H166" i="36"/>
  <c r="I166" i="36"/>
  <c r="H167" i="36"/>
  <c r="I167" i="36"/>
  <c r="H169" i="36"/>
  <c r="I169" i="36"/>
  <c r="H170" i="36"/>
  <c r="I170" i="36"/>
  <c r="H171" i="36"/>
  <c r="I171" i="36"/>
  <c r="H172" i="36"/>
  <c r="I172" i="36"/>
  <c r="H173" i="36"/>
  <c r="I173" i="36"/>
  <c r="H175" i="36"/>
  <c r="I175" i="36"/>
  <c r="H176" i="36"/>
  <c r="I176" i="36"/>
  <c r="H178" i="36"/>
  <c r="I178" i="36"/>
  <c r="H179" i="36"/>
  <c r="I179" i="36"/>
  <c r="H180" i="36"/>
  <c r="I180" i="36"/>
  <c r="H181" i="36"/>
  <c r="I181" i="36"/>
  <c r="H182" i="36"/>
  <c r="I182" i="36"/>
  <c r="H184" i="36"/>
  <c r="I184" i="36"/>
  <c r="H185" i="36"/>
  <c r="I185" i="36"/>
  <c r="H195" i="36"/>
  <c r="I195" i="36"/>
  <c r="H196" i="36"/>
  <c r="I196" i="36"/>
  <c r="H197" i="36"/>
  <c r="I197" i="36"/>
  <c r="H198" i="36"/>
  <c r="I198" i="36"/>
  <c r="H200" i="36"/>
  <c r="I200" i="36"/>
  <c r="H201" i="36"/>
  <c r="I201" i="36"/>
  <c r="H202" i="36"/>
  <c r="I202" i="36"/>
  <c r="H203" i="36"/>
  <c r="I203" i="36"/>
  <c r="J203" i="36" s="1"/>
  <c r="H204" i="36"/>
  <c r="I204" i="36"/>
  <c r="H205" i="36"/>
  <c r="I205" i="36"/>
  <c r="H206" i="36"/>
  <c r="I206" i="36"/>
  <c r="H207" i="36"/>
  <c r="I207" i="36"/>
  <c r="H209" i="36"/>
  <c r="I209" i="36"/>
  <c r="H210" i="36"/>
  <c r="I210" i="36"/>
  <c r="H211" i="36"/>
  <c r="I211" i="36"/>
  <c r="H212" i="36"/>
  <c r="I212" i="36"/>
  <c r="H214" i="36"/>
  <c r="I214" i="36"/>
  <c r="H215" i="36"/>
  <c r="I215" i="36"/>
  <c r="H216" i="36"/>
  <c r="I216" i="36"/>
  <c r="H225" i="36"/>
  <c r="I225" i="36"/>
  <c r="H227" i="36"/>
  <c r="I227" i="36"/>
  <c r="H228" i="36"/>
  <c r="I228" i="36"/>
  <c r="H229" i="36"/>
  <c r="I229" i="36"/>
  <c r="H230" i="36"/>
  <c r="I230" i="36"/>
  <c r="H232" i="36"/>
  <c r="I232" i="36"/>
  <c r="J232" i="36" s="1"/>
  <c r="H233" i="36"/>
  <c r="I233" i="36"/>
  <c r="H234" i="36"/>
  <c r="I234" i="36"/>
  <c r="H235" i="36"/>
  <c r="I235" i="36"/>
  <c r="H237" i="36"/>
  <c r="I237" i="36"/>
  <c r="H238" i="36"/>
  <c r="I238" i="36"/>
  <c r="H239" i="36"/>
  <c r="I239" i="36"/>
  <c r="H240" i="36"/>
  <c r="I240" i="36"/>
  <c r="H242" i="36"/>
  <c r="I242" i="36"/>
  <c r="J242" i="36" s="1"/>
  <c r="H243" i="36"/>
  <c r="I243" i="36"/>
  <c r="H244" i="36"/>
  <c r="I244" i="36"/>
  <c r="H245" i="36"/>
  <c r="I245" i="36"/>
  <c r="H247" i="36"/>
  <c r="I247" i="36"/>
  <c r="H256" i="36"/>
  <c r="I256" i="36"/>
  <c r="H257" i="36"/>
  <c r="I257" i="36"/>
  <c r="H258" i="36"/>
  <c r="I258" i="36"/>
  <c r="H260" i="36"/>
  <c r="I260" i="36"/>
  <c r="H261" i="36"/>
  <c r="I261" i="36"/>
  <c r="H262" i="36"/>
  <c r="I262" i="36"/>
  <c r="H263" i="36"/>
  <c r="I263" i="36"/>
  <c r="H265" i="36"/>
  <c r="I265" i="36"/>
  <c r="H266" i="36"/>
  <c r="I266" i="36"/>
  <c r="H267" i="36"/>
  <c r="I267" i="36"/>
  <c r="H268" i="36"/>
  <c r="I268" i="36"/>
  <c r="H271" i="36"/>
  <c r="I271" i="36"/>
  <c r="H272" i="36"/>
  <c r="I272" i="36"/>
  <c r="H273" i="36"/>
  <c r="I273" i="36"/>
  <c r="H274" i="36"/>
  <c r="I274" i="36"/>
  <c r="H276" i="36"/>
  <c r="I276" i="36"/>
  <c r="H277" i="36"/>
  <c r="I277" i="36"/>
  <c r="H278" i="36"/>
  <c r="I278" i="36"/>
  <c r="H287" i="36"/>
  <c r="I287" i="36"/>
  <c r="H288" i="36"/>
  <c r="I288" i="36"/>
  <c r="H290" i="36"/>
  <c r="I290" i="36"/>
  <c r="H291" i="36"/>
  <c r="I291" i="36"/>
  <c r="H292" i="36"/>
  <c r="I292" i="36"/>
  <c r="H293" i="36"/>
  <c r="I293" i="36"/>
  <c r="H295" i="36"/>
  <c r="I295" i="36"/>
  <c r="H296" i="36"/>
  <c r="I296" i="36"/>
  <c r="H297" i="36"/>
  <c r="I297" i="36"/>
  <c r="H298" i="36"/>
  <c r="I298" i="36"/>
  <c r="H299" i="36"/>
  <c r="I299" i="36"/>
  <c r="H301" i="36"/>
  <c r="I301" i="36"/>
  <c r="H302" i="36"/>
  <c r="I302" i="36"/>
  <c r="H303" i="36"/>
  <c r="I303" i="36"/>
  <c r="H304" i="36"/>
  <c r="I304" i="36"/>
  <c r="H305" i="36"/>
  <c r="I305" i="36"/>
  <c r="H307" i="36"/>
  <c r="I307" i="36"/>
  <c r="H308" i="36"/>
  <c r="I308" i="36"/>
  <c r="H309" i="36"/>
  <c r="I309" i="36"/>
  <c r="H318" i="36"/>
  <c r="I318" i="36"/>
  <c r="H319" i="36"/>
  <c r="I319" i="36"/>
  <c r="H321" i="36"/>
  <c r="I321" i="36"/>
  <c r="H322" i="36"/>
  <c r="I322" i="36"/>
  <c r="H323" i="36"/>
  <c r="I323" i="36"/>
  <c r="H324" i="36"/>
  <c r="I324" i="36"/>
  <c r="H326" i="36"/>
  <c r="I326" i="36"/>
  <c r="H327" i="36"/>
  <c r="I327" i="36"/>
  <c r="H328" i="36"/>
  <c r="I328" i="36"/>
  <c r="H329" i="36"/>
  <c r="I329" i="36"/>
  <c r="C331" i="36"/>
  <c r="B74" i="9" s="1"/>
  <c r="H335" i="36"/>
  <c r="I335" i="36"/>
  <c r="H336" i="36"/>
  <c r="I336" i="36"/>
  <c r="D337" i="36"/>
  <c r="H337" i="36" s="1"/>
  <c r="H339" i="36"/>
  <c r="I339" i="36"/>
  <c r="H340" i="36"/>
  <c r="I340" i="36"/>
  <c r="H349" i="36"/>
  <c r="I349" i="36"/>
  <c r="H350" i="36"/>
  <c r="I350" i="36"/>
  <c r="H351" i="36"/>
  <c r="I351" i="36"/>
  <c r="I352" i="36"/>
  <c r="D354" i="36"/>
  <c r="H354" i="36" s="1"/>
  <c r="I356" i="36"/>
  <c r="H359" i="36"/>
  <c r="I359" i="36"/>
  <c r="I361" i="36"/>
  <c r="D363" i="36"/>
  <c r="H363" i="36" s="1"/>
  <c r="H364" i="36"/>
  <c r="I364" i="36"/>
  <c r="I366" i="36"/>
  <c r="D369" i="36"/>
  <c r="H369" i="36" s="1"/>
  <c r="H370" i="36"/>
  <c r="I370" i="36"/>
  <c r="H371" i="36"/>
  <c r="I371" i="36"/>
  <c r="I381" i="36"/>
  <c r="D383" i="36"/>
  <c r="H383" i="36" s="1"/>
  <c r="D384" i="36"/>
  <c r="I384" i="36" s="1"/>
  <c r="D385" i="36"/>
  <c r="H385" i="36" s="1"/>
  <c r="D386" i="36"/>
  <c r="H386" i="36" s="1"/>
  <c r="D387" i="36"/>
  <c r="H387" i="36" s="1"/>
  <c r="I389" i="36"/>
  <c r="H392" i="36"/>
  <c r="I392" i="36"/>
  <c r="D393" i="36"/>
  <c r="H393" i="36" s="1"/>
  <c r="D394" i="36"/>
  <c r="D395" i="36"/>
  <c r="H395" i="36" s="1"/>
  <c r="D396" i="36"/>
  <c r="H396" i="36" s="1"/>
  <c r="I398" i="36"/>
  <c r="H400" i="36"/>
  <c r="I400" i="36"/>
  <c r="D401" i="36"/>
  <c r="H410" i="36"/>
  <c r="I410" i="36"/>
  <c r="H411" i="36"/>
  <c r="I411" i="36"/>
  <c r="D412" i="36"/>
  <c r="H412" i="36" s="1"/>
  <c r="H413" i="36"/>
  <c r="I413" i="36"/>
  <c r="I415" i="36"/>
  <c r="H418" i="36"/>
  <c r="I418" i="36"/>
  <c r="D419" i="36"/>
  <c r="D420" i="36"/>
  <c r="H420" i="36" s="1"/>
  <c r="I420" i="36"/>
  <c r="D421" i="36"/>
  <c r="H421" i="36" s="1"/>
  <c r="D422" i="36"/>
  <c r="H423" i="36"/>
  <c r="I423" i="36"/>
  <c r="H424" i="36"/>
  <c r="I424" i="36"/>
  <c r="H425" i="36"/>
  <c r="I425" i="36"/>
  <c r="H426" i="36"/>
  <c r="I426" i="36"/>
  <c r="I428" i="36"/>
  <c r="D430" i="36"/>
  <c r="H430" i="36" s="1"/>
  <c r="D431" i="36"/>
  <c r="D432" i="36"/>
  <c r="H432" i="36" s="1"/>
  <c r="D441" i="36"/>
  <c r="H441" i="36" s="1"/>
  <c r="D442" i="36"/>
  <c r="H443" i="36"/>
  <c r="I443" i="36"/>
  <c r="H444" i="36"/>
  <c r="I444" i="36"/>
  <c r="I446" i="36"/>
  <c r="H449" i="36"/>
  <c r="I449" i="36"/>
  <c r="D450" i="36"/>
  <c r="H451" i="36"/>
  <c r="I451" i="36"/>
  <c r="H452" i="36"/>
  <c r="I452" i="36"/>
  <c r="H453" i="36"/>
  <c r="I453" i="36"/>
  <c r="J453" i="36" s="1"/>
  <c r="I455" i="36"/>
  <c r="D457" i="36"/>
  <c r="H457" i="36" s="1"/>
  <c r="D458" i="36"/>
  <c r="H458" i="36" s="1"/>
  <c r="H459" i="36"/>
  <c r="I459" i="36"/>
  <c r="H460" i="36"/>
  <c r="I460" i="36"/>
  <c r="D461" i="36"/>
  <c r="H462" i="36"/>
  <c r="I462" i="36"/>
  <c r="D463" i="36"/>
  <c r="H463" i="36" s="1"/>
  <c r="H472" i="36"/>
  <c r="I472" i="36"/>
  <c r="I474" i="36"/>
  <c r="D477" i="36"/>
  <c r="H477" i="36" s="1"/>
  <c r="H478" i="36"/>
  <c r="I478" i="36"/>
  <c r="H479" i="36"/>
  <c r="I479" i="36"/>
  <c r="D480" i="36"/>
  <c r="H480" i="36" s="1"/>
  <c r="H481" i="36"/>
  <c r="I481" i="36"/>
  <c r="D482" i="36"/>
  <c r="I482" i="36" s="1"/>
  <c r="H483" i="36"/>
  <c r="I483" i="36"/>
  <c r="H484" i="36"/>
  <c r="I484" i="36"/>
  <c r="I486" i="36"/>
  <c r="H488" i="36"/>
  <c r="I488" i="36"/>
  <c r="D489" i="36"/>
  <c r="H489" i="36" s="1"/>
  <c r="H490" i="36"/>
  <c r="I490" i="36"/>
  <c r="H491" i="36"/>
  <c r="I491" i="36"/>
  <c r="D492" i="36"/>
  <c r="H492" i="36" s="1"/>
  <c r="D493" i="36"/>
  <c r="H493" i="36" s="1"/>
  <c r="I503" i="36"/>
  <c r="C505" i="36"/>
  <c r="B75" i="9" s="1"/>
  <c r="H507" i="36"/>
  <c r="I507" i="36"/>
  <c r="H508" i="36"/>
  <c r="I508" i="36"/>
  <c r="H509" i="36"/>
  <c r="I509" i="36"/>
  <c r="H510" i="36"/>
  <c r="I510" i="36"/>
  <c r="H511" i="36"/>
  <c r="I511" i="36"/>
  <c r="H512" i="36"/>
  <c r="I512" i="36"/>
  <c r="H513" i="36"/>
  <c r="I513" i="36"/>
  <c r="H514" i="36"/>
  <c r="I514" i="36"/>
  <c r="H515" i="36"/>
  <c r="I515" i="36"/>
  <c r="H516" i="36"/>
  <c r="I516" i="36"/>
  <c r="H517" i="36"/>
  <c r="I517" i="36"/>
  <c r="H518" i="36"/>
  <c r="I518" i="36"/>
  <c r="H519" i="36"/>
  <c r="I519" i="36"/>
  <c r="H520" i="36"/>
  <c r="I520" i="36"/>
  <c r="H521" i="36"/>
  <c r="I521" i="36"/>
  <c r="H522" i="36"/>
  <c r="I522" i="36"/>
  <c r="H523" i="36"/>
  <c r="I523" i="36"/>
  <c r="H524" i="36"/>
  <c r="I524" i="36"/>
  <c r="H533" i="36"/>
  <c r="I533" i="36"/>
  <c r="D534" i="36"/>
  <c r="H534" i="36" s="1"/>
  <c r="D535" i="36"/>
  <c r="H535" i="36" s="1"/>
  <c r="H536" i="36"/>
  <c r="I536" i="36"/>
  <c r="H537" i="36"/>
  <c r="I537" i="36"/>
  <c r="H538" i="36"/>
  <c r="I538" i="36"/>
  <c r="H539" i="36"/>
  <c r="I539" i="36"/>
  <c r="D540" i="36"/>
  <c r="I540" i="36" s="1"/>
  <c r="C542" i="36"/>
  <c r="B76" i="9" s="1"/>
  <c r="H545" i="36"/>
  <c r="I545" i="36"/>
  <c r="D547" i="36"/>
  <c r="H547" i="36" s="1"/>
  <c r="H548" i="36"/>
  <c r="I548" i="36"/>
  <c r="H549" i="36"/>
  <c r="I549" i="36"/>
  <c r="H550" i="36"/>
  <c r="I550" i="36"/>
  <c r="H551" i="36"/>
  <c r="I551" i="36"/>
  <c r="H552" i="36"/>
  <c r="I552" i="36"/>
  <c r="H553" i="36"/>
  <c r="I553" i="36"/>
  <c r="H554" i="36"/>
  <c r="I554" i="36"/>
  <c r="C563" i="36"/>
  <c r="B77" i="9" s="1"/>
  <c r="H566" i="36"/>
  <c r="I566" i="36"/>
  <c r="H567" i="36"/>
  <c r="I567" i="36"/>
  <c r="H568" i="36"/>
  <c r="I568" i="36"/>
  <c r="H569" i="36"/>
  <c r="I569" i="36"/>
  <c r="H570" i="36"/>
  <c r="I570" i="36"/>
  <c r="H572" i="36"/>
  <c r="I572" i="36"/>
  <c r="H575" i="36"/>
  <c r="I575" i="36"/>
  <c r="D576" i="36"/>
  <c r="H577" i="36"/>
  <c r="I577" i="36"/>
  <c r="H578" i="36"/>
  <c r="I578" i="36"/>
  <c r="H579" i="36"/>
  <c r="I579" i="36"/>
  <c r="D580" i="36"/>
  <c r="H580" i="36" s="1"/>
  <c r="I582" i="36"/>
  <c r="H584" i="36"/>
  <c r="I584" i="36"/>
  <c r="H585" i="36"/>
  <c r="I585" i="36"/>
  <c r="H594" i="36"/>
  <c r="I594" i="36"/>
  <c r="D595" i="36"/>
  <c r="H595" i="36" s="1"/>
  <c r="H597" i="36"/>
  <c r="I597" i="36"/>
  <c r="H598" i="36"/>
  <c r="I598" i="36"/>
  <c r="H599" i="36"/>
  <c r="I599" i="36"/>
  <c r="H600" i="36"/>
  <c r="I600" i="36"/>
  <c r="H601" i="36"/>
  <c r="I601" i="36"/>
  <c r="I602" i="36"/>
  <c r="C604" i="36"/>
  <c r="B78" i="9" s="1"/>
  <c r="H607" i="36"/>
  <c r="I607" i="36"/>
  <c r="H608" i="36"/>
  <c r="I608" i="36"/>
  <c r="H609" i="36"/>
  <c r="I609" i="36"/>
  <c r="D610" i="36"/>
  <c r="H610" i="36" s="1"/>
  <c r="H611" i="36"/>
  <c r="I611" i="36"/>
  <c r="H612" i="36"/>
  <c r="I612" i="36"/>
  <c r="H613" i="36"/>
  <c r="I613" i="36"/>
  <c r="H614" i="36"/>
  <c r="I614" i="36"/>
  <c r="H615" i="36"/>
  <c r="I615" i="36"/>
  <c r="H616" i="36"/>
  <c r="I616" i="36"/>
  <c r="H625" i="36"/>
  <c r="I625" i="36"/>
  <c r="H627" i="36"/>
  <c r="I627" i="36"/>
  <c r="H628" i="36"/>
  <c r="I628" i="36"/>
  <c r="H629" i="36"/>
  <c r="I629" i="36"/>
  <c r="H630" i="36"/>
  <c r="I630" i="36"/>
  <c r="H631" i="36"/>
  <c r="I631" i="36"/>
  <c r="H632" i="36"/>
  <c r="I632" i="36"/>
  <c r="H634" i="36"/>
  <c r="I634" i="36"/>
  <c r="H637" i="36"/>
  <c r="I637" i="36"/>
  <c r="D638" i="36"/>
  <c r="I638" i="36" s="1"/>
  <c r="H639" i="36"/>
  <c r="I639" i="36"/>
  <c r="D640" i="36"/>
  <c r="I640" i="36" s="1"/>
  <c r="H640" i="36"/>
  <c r="I642" i="36"/>
  <c r="H644" i="36"/>
  <c r="I644" i="36"/>
  <c r="H645" i="36"/>
  <c r="I645" i="36"/>
  <c r="H646" i="36"/>
  <c r="I646" i="36"/>
  <c r="I656" i="36"/>
  <c r="C658" i="36"/>
  <c r="B79" i="9" s="1"/>
  <c r="H661" i="36"/>
  <c r="I661" i="36"/>
  <c r="H662" i="36"/>
  <c r="I662" i="36"/>
  <c r="H663" i="36"/>
  <c r="I663" i="36"/>
  <c r="H664" i="36"/>
  <c r="I664" i="36"/>
  <c r="D665" i="36"/>
  <c r="H665" i="36" s="1"/>
  <c r="H668" i="36"/>
  <c r="I668" i="36"/>
  <c r="I670" i="36"/>
  <c r="H672" i="36"/>
  <c r="I672" i="36"/>
  <c r="J672" i="36" s="1"/>
  <c r="H673" i="36"/>
  <c r="I673" i="36"/>
  <c r="D674" i="36"/>
  <c r="H674" i="36" s="1"/>
  <c r="H675" i="36"/>
  <c r="I675" i="36"/>
  <c r="C677" i="36"/>
  <c r="B80" i="9" s="1"/>
  <c r="H688" i="36"/>
  <c r="I688" i="36"/>
  <c r="H689" i="36"/>
  <c r="I689" i="36"/>
  <c r="H690" i="36"/>
  <c r="I690" i="36"/>
  <c r="H691" i="36"/>
  <c r="I691" i="36"/>
  <c r="H692" i="36"/>
  <c r="I692" i="36"/>
  <c r="H693" i="36"/>
  <c r="I693" i="36"/>
  <c r="H694" i="36"/>
  <c r="I694" i="36"/>
  <c r="H695" i="36"/>
  <c r="I695" i="36"/>
  <c r="H696" i="36"/>
  <c r="I696" i="36"/>
  <c r="H697" i="36"/>
  <c r="I697" i="36"/>
  <c r="H698" i="36"/>
  <c r="I698" i="36"/>
  <c r="H699" i="36"/>
  <c r="I699" i="36"/>
  <c r="H701" i="36"/>
  <c r="I701" i="36"/>
  <c r="H702" i="36"/>
  <c r="I702" i="36"/>
  <c r="H703" i="36"/>
  <c r="I703" i="36"/>
  <c r="H704" i="36"/>
  <c r="I704" i="36"/>
  <c r="H705" i="36"/>
  <c r="I705" i="36"/>
  <c r="H706" i="36"/>
  <c r="I706" i="36"/>
  <c r="H707" i="36"/>
  <c r="I707" i="36"/>
  <c r="H716" i="36"/>
  <c r="I716" i="36"/>
  <c r="D719" i="36"/>
  <c r="H719" i="36" s="1"/>
  <c r="H720" i="36"/>
  <c r="I720" i="36"/>
  <c r="D721" i="36"/>
  <c r="H721" i="36" s="1"/>
  <c r="H722" i="36"/>
  <c r="I722" i="36"/>
  <c r="I724" i="36"/>
  <c r="H726" i="36"/>
  <c r="I726" i="36"/>
  <c r="H727" i="36"/>
  <c r="I727" i="36"/>
  <c r="J727" i="36" s="1"/>
  <c r="D728" i="36"/>
  <c r="H728" i="36" s="1"/>
  <c r="H729" i="36"/>
  <c r="I729" i="36"/>
  <c r="H730" i="36"/>
  <c r="I730" i="36"/>
  <c r="I732" i="36"/>
  <c r="C734" i="36"/>
  <c r="B81" i="9" s="1"/>
  <c r="H737" i="36"/>
  <c r="I737" i="36"/>
  <c r="H738" i="36"/>
  <c r="I738" i="36"/>
  <c r="H747" i="36"/>
  <c r="I747" i="36"/>
  <c r="D748" i="36"/>
  <c r="I748" i="36" s="1"/>
  <c r="H749" i="36"/>
  <c r="I749" i="36"/>
  <c r="H750" i="36"/>
  <c r="I750" i="36"/>
  <c r="D751" i="36"/>
  <c r="I751" i="36" s="1"/>
  <c r="H752" i="36"/>
  <c r="I752" i="36"/>
  <c r="H753" i="36"/>
  <c r="I753" i="36"/>
  <c r="H754" i="36"/>
  <c r="I754" i="36"/>
  <c r="H755" i="36"/>
  <c r="I755" i="36"/>
  <c r="H756" i="36"/>
  <c r="I756" i="36"/>
  <c r="H757" i="36"/>
  <c r="I757" i="36"/>
  <c r="H760" i="36"/>
  <c r="I760" i="36"/>
  <c r="I762" i="36"/>
  <c r="H764" i="36"/>
  <c r="I764" i="36"/>
  <c r="H765" i="36"/>
  <c r="I765" i="36"/>
  <c r="H766" i="36"/>
  <c r="I766" i="36"/>
  <c r="H767" i="36"/>
  <c r="I767" i="36"/>
  <c r="I777" i="36"/>
  <c r="C779" i="36"/>
  <c r="B82" i="9" s="1"/>
  <c r="H782" i="36"/>
  <c r="I782" i="36"/>
  <c r="H783" i="36"/>
  <c r="I783" i="36"/>
  <c r="H784" i="36"/>
  <c r="I784" i="36"/>
  <c r="H785" i="36"/>
  <c r="I785" i="36"/>
  <c r="H786" i="36"/>
  <c r="I786" i="36"/>
  <c r="H787" i="36"/>
  <c r="I787" i="36"/>
  <c r="H788" i="36"/>
  <c r="I788" i="36"/>
  <c r="H789" i="36"/>
  <c r="I789" i="36"/>
  <c r="H790" i="36"/>
  <c r="I790" i="36"/>
  <c r="H793" i="36"/>
  <c r="I793" i="36"/>
  <c r="H794" i="36"/>
  <c r="I794" i="36"/>
  <c r="I796" i="36"/>
  <c r="H806" i="36"/>
  <c r="I806" i="36"/>
  <c r="H807" i="36"/>
  <c r="I807" i="36"/>
  <c r="I809" i="36"/>
  <c r="C811" i="36"/>
  <c r="B83" i="9" s="1"/>
  <c r="H815" i="36"/>
  <c r="I815" i="36"/>
  <c r="H816" i="36"/>
  <c r="I816" i="36"/>
  <c r="H817" i="36"/>
  <c r="I817" i="36"/>
  <c r="H818" i="36"/>
  <c r="I818" i="36"/>
  <c r="H819" i="36"/>
  <c r="I819" i="36"/>
  <c r="H820" i="36"/>
  <c r="I820" i="36"/>
  <c r="H821" i="36"/>
  <c r="I821" i="36"/>
  <c r="H822" i="36"/>
  <c r="I822" i="36"/>
  <c r="H823" i="36"/>
  <c r="I823" i="36"/>
  <c r="H824" i="36"/>
  <c r="I824" i="36"/>
  <c r="H825" i="36"/>
  <c r="I825" i="36"/>
  <c r="H826" i="36"/>
  <c r="I826" i="36"/>
  <c r="H827" i="36"/>
  <c r="I827" i="36"/>
  <c r="H828" i="36"/>
  <c r="I828" i="36"/>
  <c r="H839" i="36"/>
  <c r="I839" i="36"/>
  <c r="D840" i="36"/>
  <c r="H840" i="36" s="1"/>
  <c r="D841" i="36"/>
  <c r="H841" i="36" s="1"/>
  <c r="I843" i="36"/>
  <c r="H845" i="36"/>
  <c r="I845" i="36"/>
  <c r="H846" i="36"/>
  <c r="I846" i="36"/>
  <c r="I848" i="36"/>
  <c r="H849" i="36"/>
  <c r="I849" i="36"/>
  <c r="H852" i="36"/>
  <c r="I852" i="36"/>
  <c r="H853" i="36"/>
  <c r="I853" i="36"/>
  <c r="H854" i="36"/>
  <c r="I854" i="36"/>
  <c r="H863" i="36"/>
  <c r="I863" i="36"/>
  <c r="D864" i="36"/>
  <c r="H864" i="36" s="1"/>
  <c r="H865" i="36"/>
  <c r="I865" i="36"/>
  <c r="D866" i="36"/>
  <c r="I866" i="36" s="1"/>
  <c r="H867" i="36"/>
  <c r="I867" i="36"/>
  <c r="H868" i="36"/>
  <c r="I868" i="36"/>
  <c r="H869" i="36"/>
  <c r="I869" i="36"/>
  <c r="H870" i="36"/>
  <c r="I870" i="36"/>
  <c r="H871" i="36"/>
  <c r="I871" i="36"/>
  <c r="D874" i="36"/>
  <c r="I874" i="36" s="1"/>
  <c r="I876" i="36"/>
  <c r="H878" i="36"/>
  <c r="I878" i="36"/>
  <c r="H879" i="36"/>
  <c r="I879" i="36"/>
  <c r="H880" i="36"/>
  <c r="I880" i="36"/>
  <c r="I882" i="36"/>
  <c r="H893" i="36"/>
  <c r="I893" i="36"/>
  <c r="H894" i="36"/>
  <c r="I894" i="36"/>
  <c r="H895" i="36"/>
  <c r="I895" i="36"/>
  <c r="H896" i="36"/>
  <c r="I896" i="36"/>
  <c r="H897" i="36"/>
  <c r="I897" i="36"/>
  <c r="H898" i="36"/>
  <c r="I898" i="36"/>
  <c r="H899" i="36"/>
  <c r="I899" i="36"/>
  <c r="H902" i="36"/>
  <c r="I902" i="36"/>
  <c r="H916" i="36"/>
  <c r="I916" i="36"/>
  <c r="H917" i="36"/>
  <c r="I917" i="36"/>
  <c r="H923" i="36"/>
  <c r="I923" i="36"/>
  <c r="H924" i="36"/>
  <c r="I924" i="36"/>
  <c r="H925" i="36"/>
  <c r="I925" i="36"/>
  <c r="H926" i="36"/>
  <c r="I926" i="36"/>
  <c r="H927" i="36"/>
  <c r="I927" i="36"/>
  <c r="H928" i="36"/>
  <c r="I928" i="36"/>
  <c r="H929" i="36"/>
  <c r="I929" i="36"/>
  <c r="H930" i="36"/>
  <c r="I930" i="36"/>
  <c r="H931" i="36"/>
  <c r="I931" i="36"/>
  <c r="H932" i="36"/>
  <c r="I932" i="36"/>
  <c r="H934" i="36"/>
  <c r="I934" i="36"/>
  <c r="H935" i="36"/>
  <c r="I935" i="36"/>
  <c r="H936" i="36"/>
  <c r="I936" i="36"/>
  <c r="H937" i="36"/>
  <c r="I937" i="36"/>
  <c r="H938" i="36"/>
  <c r="I938" i="36"/>
  <c r="H939" i="36"/>
  <c r="I939" i="36"/>
  <c r="H950" i="36"/>
  <c r="I950" i="36"/>
  <c r="H951" i="36"/>
  <c r="I951" i="36"/>
  <c r="H952" i="36"/>
  <c r="I952" i="36"/>
  <c r="I954" i="36"/>
  <c r="H956" i="36"/>
  <c r="I956" i="36"/>
  <c r="H957" i="36"/>
  <c r="I957" i="36"/>
  <c r="H958" i="36"/>
  <c r="I958" i="36"/>
  <c r="H959" i="36"/>
  <c r="I959" i="36"/>
  <c r="D960" i="36"/>
  <c r="I960" i="36" s="1"/>
  <c r="I962" i="36"/>
  <c r="C964" i="36"/>
  <c r="B92" i="9" s="1"/>
  <c r="H967" i="36"/>
  <c r="I967" i="36"/>
  <c r="H968" i="36"/>
  <c r="I968" i="36"/>
  <c r="H969" i="36"/>
  <c r="I969" i="36"/>
  <c r="H978" i="36"/>
  <c r="I978" i="36"/>
  <c r="H979" i="36"/>
  <c r="I979" i="36"/>
  <c r="H980" i="36"/>
  <c r="I980" i="36"/>
  <c r="H981" i="36"/>
  <c r="I981" i="36"/>
  <c r="H982" i="36"/>
  <c r="I982" i="36"/>
  <c r="H983" i="36"/>
  <c r="I983" i="36"/>
  <c r="H984" i="36"/>
  <c r="I984" i="36"/>
  <c r="H985" i="36"/>
  <c r="I985" i="36"/>
  <c r="H986" i="36"/>
  <c r="I986" i="36"/>
  <c r="H987" i="36"/>
  <c r="I987" i="36"/>
  <c r="H988" i="36"/>
  <c r="I988" i="36"/>
  <c r="H989" i="36"/>
  <c r="I989" i="36"/>
  <c r="H990" i="36"/>
  <c r="I990" i="36"/>
  <c r="H991" i="36"/>
  <c r="I991" i="36"/>
  <c r="H994" i="36"/>
  <c r="I994" i="36"/>
  <c r="I996" i="36"/>
  <c r="D998" i="36"/>
  <c r="H998" i="36" s="1"/>
  <c r="I1000" i="36"/>
  <c r="C1002" i="36"/>
  <c r="B93" i="9" s="1"/>
  <c r="H1004" i="36"/>
  <c r="I1004" i="36"/>
  <c r="I1006" i="36" s="1"/>
  <c r="D94" i="9" s="1"/>
  <c r="C1006" i="36"/>
  <c r="B94" i="9" s="1"/>
  <c r="C1007" i="36"/>
  <c r="B72" i="9"/>
  <c r="H14" i="36"/>
  <c r="I14" i="36"/>
  <c r="H15" i="36"/>
  <c r="I15" i="36"/>
  <c r="H16" i="36"/>
  <c r="I16" i="36"/>
  <c r="H17" i="36"/>
  <c r="I17" i="36"/>
  <c r="H18" i="36"/>
  <c r="I18" i="36"/>
  <c r="H19" i="36"/>
  <c r="I19" i="36"/>
  <c r="H20" i="36"/>
  <c r="I20" i="36"/>
  <c r="H21" i="36"/>
  <c r="I21" i="36"/>
  <c r="H22" i="36"/>
  <c r="I22" i="36"/>
  <c r="C239" i="58"/>
  <c r="B104" i="9" s="1"/>
  <c r="C240" i="58"/>
  <c r="H103" i="58"/>
  <c r="I103" i="58"/>
  <c r="H104" i="58"/>
  <c r="I104" i="58"/>
  <c r="H105" i="58"/>
  <c r="I105" i="58"/>
  <c r="H106" i="58"/>
  <c r="I106" i="58"/>
  <c r="H107" i="58"/>
  <c r="I107" i="58"/>
  <c r="C109" i="58"/>
  <c r="B100" i="9" s="1"/>
  <c r="H112" i="58"/>
  <c r="I112" i="58"/>
  <c r="H113" i="58"/>
  <c r="I113" i="58"/>
  <c r="H114" i="58"/>
  <c r="I114" i="58"/>
  <c r="H115" i="58"/>
  <c r="I115" i="58"/>
  <c r="H116" i="58"/>
  <c r="I116" i="58"/>
  <c r="H117" i="58"/>
  <c r="I117" i="58"/>
  <c r="H118" i="58"/>
  <c r="I118" i="58"/>
  <c r="H119" i="58"/>
  <c r="I119" i="58"/>
  <c r="H120" i="58"/>
  <c r="I120" i="58"/>
  <c r="H122" i="58"/>
  <c r="I122" i="58"/>
  <c r="H123" i="58"/>
  <c r="I123" i="58"/>
  <c r="H124" i="58"/>
  <c r="I124" i="58"/>
  <c r="H125" i="58"/>
  <c r="I125" i="58"/>
  <c r="H134" i="58"/>
  <c r="I134" i="58"/>
  <c r="H135" i="58"/>
  <c r="I135" i="58"/>
  <c r="H136" i="58"/>
  <c r="I136" i="58"/>
  <c r="H137" i="58"/>
  <c r="I137" i="58"/>
  <c r="H138" i="58"/>
  <c r="I138" i="58"/>
  <c r="C144" i="58"/>
  <c r="B101" i="9" s="1"/>
  <c r="H148" i="58"/>
  <c r="I148" i="58"/>
  <c r="H150" i="58"/>
  <c r="I150" i="58"/>
  <c r="H151" i="58"/>
  <c r="I151" i="58"/>
  <c r="H152" i="58"/>
  <c r="I152" i="58"/>
  <c r="H153" i="58"/>
  <c r="I153" i="58"/>
  <c r="H154" i="58"/>
  <c r="I154" i="58"/>
  <c r="H164" i="58"/>
  <c r="I164" i="58"/>
  <c r="H165" i="58"/>
  <c r="I165" i="58"/>
  <c r="H166" i="58"/>
  <c r="I166" i="58"/>
  <c r="H167" i="58"/>
  <c r="I167" i="58"/>
  <c r="H169" i="58"/>
  <c r="I169" i="58"/>
  <c r="H171" i="58"/>
  <c r="I171" i="58"/>
  <c r="C176" i="58"/>
  <c r="B102" i="9" s="1"/>
  <c r="H179" i="58"/>
  <c r="I179" i="58"/>
  <c r="H180" i="58"/>
  <c r="I180" i="58"/>
  <c r="H182" i="58"/>
  <c r="I182" i="58"/>
  <c r="H184" i="58"/>
  <c r="F224" i="58" s="1"/>
  <c r="I184" i="58"/>
  <c r="H194" i="58"/>
  <c r="I194" i="58"/>
  <c r="H195" i="58"/>
  <c r="I195" i="58"/>
  <c r="H196" i="58"/>
  <c r="I196" i="58"/>
  <c r="H198" i="58"/>
  <c r="I198" i="58"/>
  <c r="H199" i="58"/>
  <c r="I199" i="58"/>
  <c r="H200" i="58"/>
  <c r="I200" i="58"/>
  <c r="H201" i="58"/>
  <c r="I201" i="58"/>
  <c r="H202" i="58"/>
  <c r="I202" i="58"/>
  <c r="H204" i="58"/>
  <c r="I204" i="58"/>
  <c r="H205" i="58"/>
  <c r="I205" i="58"/>
  <c r="H206" i="58"/>
  <c r="I206" i="58"/>
  <c r="H207" i="58"/>
  <c r="I207" i="58"/>
  <c r="H209" i="58"/>
  <c r="I209" i="58"/>
  <c r="H211" i="58"/>
  <c r="I211" i="58"/>
  <c r="H213" i="58"/>
  <c r="I213" i="58"/>
  <c r="H214" i="58"/>
  <c r="I214" i="58"/>
  <c r="C227" i="58"/>
  <c r="B103" i="9" s="1"/>
  <c r="H230" i="58"/>
  <c r="I230" i="58"/>
  <c r="H231" i="58"/>
  <c r="I231" i="58"/>
  <c r="H233" i="58"/>
  <c r="I233" i="58"/>
  <c r="H234" i="58"/>
  <c r="I234" i="58"/>
  <c r="I236" i="58"/>
  <c r="I237" i="58"/>
  <c r="H93" i="58"/>
  <c r="I93" i="58"/>
  <c r="H78" i="58"/>
  <c r="I78" i="58"/>
  <c r="H79" i="58"/>
  <c r="I79" i="58"/>
  <c r="H80" i="58"/>
  <c r="I80" i="58"/>
  <c r="H81" i="58"/>
  <c r="I81" i="58"/>
  <c r="H82" i="58"/>
  <c r="I82" i="58"/>
  <c r="H83" i="58"/>
  <c r="I83" i="58"/>
  <c r="H84" i="58"/>
  <c r="I84" i="58"/>
  <c r="H85" i="58"/>
  <c r="I85" i="58"/>
  <c r="H86" i="58"/>
  <c r="I86" i="58"/>
  <c r="H87" i="58"/>
  <c r="I87" i="58"/>
  <c r="H88" i="58"/>
  <c r="I88" i="58"/>
  <c r="H89" i="58"/>
  <c r="I89" i="58"/>
  <c r="H90" i="58"/>
  <c r="I90" i="58"/>
  <c r="H91" i="58"/>
  <c r="I91" i="58"/>
  <c r="H60" i="58"/>
  <c r="I60" i="58"/>
  <c r="H62" i="58"/>
  <c r="I62" i="58"/>
  <c r="H64" i="58"/>
  <c r="I64" i="58"/>
  <c r="H73" i="58"/>
  <c r="I73" i="58"/>
  <c r="C75" i="58"/>
  <c r="B99" i="9" s="1"/>
  <c r="H15" i="58"/>
  <c r="I15" i="58"/>
  <c r="H16" i="58"/>
  <c r="I16" i="58"/>
  <c r="H17" i="58"/>
  <c r="I17" i="58"/>
  <c r="H18" i="58"/>
  <c r="I18" i="58"/>
  <c r="H19" i="58"/>
  <c r="I19" i="58"/>
  <c r="H20" i="58"/>
  <c r="I20" i="58"/>
  <c r="H21" i="58"/>
  <c r="I21" i="58"/>
  <c r="H22" i="58"/>
  <c r="I22" i="58"/>
  <c r="H23" i="58"/>
  <c r="I23" i="58"/>
  <c r="H24" i="58"/>
  <c r="I24" i="58"/>
  <c r="J24" i="58" s="1"/>
  <c r="H25" i="58"/>
  <c r="I25" i="58"/>
  <c r="H26" i="58"/>
  <c r="I26" i="58"/>
  <c r="H27" i="58"/>
  <c r="I27" i="58"/>
  <c r="H28" i="58"/>
  <c r="I28" i="58"/>
  <c r="H29" i="58"/>
  <c r="I29" i="58"/>
  <c r="H30" i="58"/>
  <c r="I30" i="58"/>
  <c r="H31" i="58"/>
  <c r="I31" i="58"/>
  <c r="H32" i="58"/>
  <c r="I32" i="58"/>
  <c r="H33" i="58"/>
  <c r="I33" i="58"/>
  <c r="H43" i="58"/>
  <c r="I43" i="58"/>
  <c r="H44" i="58"/>
  <c r="I44" i="58"/>
  <c r="H45" i="58"/>
  <c r="I45" i="58"/>
  <c r="H47" i="58"/>
  <c r="I47" i="58"/>
  <c r="H48" i="58"/>
  <c r="I48" i="58"/>
  <c r="J48" i="58" s="1"/>
  <c r="H49" i="58"/>
  <c r="I49" i="58"/>
  <c r="H50" i="58"/>
  <c r="I50" i="58"/>
  <c r="H51" i="58"/>
  <c r="I51" i="58"/>
  <c r="H52" i="58"/>
  <c r="I52" i="58"/>
  <c r="H53" i="58"/>
  <c r="I53" i="58"/>
  <c r="H54" i="58"/>
  <c r="I54" i="58"/>
  <c r="H55" i="58"/>
  <c r="I55" i="58"/>
  <c r="C57" i="58"/>
  <c r="B98" i="9" s="1"/>
  <c r="G224" i="58" l="1"/>
  <c r="I224" i="58" s="1"/>
  <c r="H224" i="58"/>
  <c r="J60" i="58"/>
  <c r="J30" i="58"/>
  <c r="J15" i="58"/>
  <c r="J112" i="58"/>
  <c r="J788" i="36"/>
  <c r="I665" i="36"/>
  <c r="J120" i="36"/>
  <c r="J702" i="36"/>
  <c r="J599" i="36"/>
  <c r="J518" i="36"/>
  <c r="H384" i="36"/>
  <c r="F389" i="36" s="1"/>
  <c r="H389" i="36" s="1"/>
  <c r="J389" i="36" s="1"/>
  <c r="J784" i="36"/>
  <c r="H748" i="36"/>
  <c r="J460" i="36"/>
  <c r="I457" i="36"/>
  <c r="J457" i="36" s="1"/>
  <c r="J695" i="36"/>
  <c r="J150" i="36"/>
  <c r="J179" i="36"/>
  <c r="J865" i="36"/>
  <c r="J271" i="36"/>
  <c r="F882" i="36"/>
  <c r="H882" i="36" s="1"/>
  <c r="J882" i="36" s="1"/>
  <c r="J278" i="36"/>
  <c r="J849" i="36"/>
  <c r="J76" i="36"/>
  <c r="J981" i="36"/>
  <c r="J16" i="35"/>
  <c r="J141" i="36"/>
  <c r="J932" i="36"/>
  <c r="J924" i="36"/>
  <c r="J826" i="36"/>
  <c r="J822" i="36"/>
  <c r="J597" i="36"/>
  <c r="J267" i="36"/>
  <c r="J145" i="36"/>
  <c r="J106" i="36"/>
  <c r="J240" i="35"/>
  <c r="J153" i="35"/>
  <c r="J98" i="35"/>
  <c r="J134" i="58"/>
  <c r="J195" i="58"/>
  <c r="I432" i="36"/>
  <c r="J432" i="36" s="1"/>
  <c r="I412" i="36"/>
  <c r="J412" i="36" s="1"/>
  <c r="J84" i="58"/>
  <c r="J120" i="58"/>
  <c r="J704" i="36"/>
  <c r="J699" i="36"/>
  <c r="J663" i="36"/>
  <c r="I363" i="36"/>
  <c r="J363" i="36" s="1"/>
  <c r="J192" i="35"/>
  <c r="J108" i="36"/>
  <c r="J716" i="36"/>
  <c r="J44" i="58"/>
  <c r="J510" i="36"/>
  <c r="J697" i="36"/>
  <c r="I674" i="36"/>
  <c r="J674" i="36" s="1"/>
  <c r="H638" i="36"/>
  <c r="J638" i="36" s="1"/>
  <c r="J584" i="36"/>
  <c r="J152" i="36"/>
  <c r="I40" i="56"/>
  <c r="H80" i="27"/>
  <c r="C114" i="9" s="1"/>
  <c r="J231" i="58"/>
  <c r="J124" i="58"/>
  <c r="J853" i="36"/>
  <c r="J478" i="36"/>
  <c r="J288" i="36"/>
  <c r="J176" i="36"/>
  <c r="J49" i="35"/>
  <c r="H866" i="36"/>
  <c r="J866" i="36" s="1"/>
  <c r="J83" i="36"/>
  <c r="J135" i="58"/>
  <c r="J115" i="58"/>
  <c r="J166" i="36"/>
  <c r="J125" i="58"/>
  <c r="J229" i="36"/>
  <c r="I480" i="36"/>
  <c r="J480" i="36" s="1"/>
  <c r="J179" i="58"/>
  <c r="J105" i="58"/>
  <c r="J613" i="36"/>
  <c r="J195" i="36"/>
  <c r="J87" i="36"/>
  <c r="J880" i="36"/>
  <c r="J321" i="36"/>
  <c r="J978" i="36"/>
  <c r="J202" i="36"/>
  <c r="J483" i="36"/>
  <c r="J959" i="36"/>
  <c r="J155" i="36"/>
  <c r="J146" i="36"/>
  <c r="J897" i="36"/>
  <c r="F848" i="36"/>
  <c r="H848" i="36" s="1"/>
  <c r="J848" i="36" s="1"/>
  <c r="J931" i="36"/>
  <c r="J182" i="36"/>
  <c r="J53" i="36"/>
  <c r="J786" i="36"/>
  <c r="J29" i="58"/>
  <c r="J150" i="58"/>
  <c r="J79" i="58"/>
  <c r="J137" i="58"/>
  <c r="J17" i="58"/>
  <c r="J209" i="58"/>
  <c r="J204" i="58"/>
  <c r="J194" i="58"/>
  <c r="J53" i="58"/>
  <c r="J207" i="58"/>
  <c r="J82" i="58"/>
  <c r="J23" i="58"/>
  <c r="J206" i="58"/>
  <c r="J171" i="58"/>
  <c r="J55" i="58"/>
  <c r="J47" i="58"/>
  <c r="J205" i="58"/>
  <c r="J169" i="58"/>
  <c r="J88" i="58"/>
  <c r="J117" i="58"/>
  <c r="J91" i="58"/>
  <c r="J166" i="58"/>
  <c r="J85" i="58"/>
  <c r="J138" i="58"/>
  <c r="I75" i="58"/>
  <c r="D99" i="9" s="1"/>
  <c r="J25" i="58"/>
  <c r="F215" i="58"/>
  <c r="G215" i="58" s="1"/>
  <c r="I215" i="58" s="1"/>
  <c r="J122" i="58"/>
  <c r="J782" i="36"/>
  <c r="J200" i="36"/>
  <c r="J170" i="36"/>
  <c r="J524" i="36"/>
  <c r="J516" i="36"/>
  <c r="H751" i="36"/>
  <c r="J751" i="36" s="1"/>
  <c r="J75" i="36"/>
  <c r="J273" i="36"/>
  <c r="J327" i="36"/>
  <c r="J247" i="36"/>
  <c r="J80" i="36"/>
  <c r="F656" i="36"/>
  <c r="H656" i="36" s="1"/>
  <c r="J656" i="36" s="1"/>
  <c r="J47" i="36"/>
  <c r="J646" i="36"/>
  <c r="J418" i="36"/>
  <c r="J410" i="36"/>
  <c r="J225" i="36"/>
  <c r="J614" i="36"/>
  <c r="J244" i="36"/>
  <c r="J234" i="36"/>
  <c r="J181" i="36"/>
  <c r="J894" i="36"/>
  <c r="J449" i="36"/>
  <c r="J392" i="36"/>
  <c r="J364" i="36"/>
  <c r="J69" i="36"/>
  <c r="J696" i="36"/>
  <c r="J233" i="36"/>
  <c r="J198" i="36"/>
  <c r="J566" i="36"/>
  <c r="J114" i="36"/>
  <c r="J57" i="36"/>
  <c r="J661" i="36"/>
  <c r="J266" i="36"/>
  <c r="J665" i="36"/>
  <c r="J308" i="36"/>
  <c r="J17" i="36"/>
  <c r="J287" i="36"/>
  <c r="J205" i="36"/>
  <c r="J51" i="36"/>
  <c r="J444" i="36"/>
  <c r="J609" i="36"/>
  <c r="J950" i="36"/>
  <c r="J730" i="36"/>
  <c r="J575" i="36"/>
  <c r="J523" i="36"/>
  <c r="J371" i="36"/>
  <c r="J351" i="36"/>
  <c r="J302" i="36"/>
  <c r="J228" i="36"/>
  <c r="J149" i="36"/>
  <c r="J73" i="36"/>
  <c r="J46" i="36"/>
  <c r="J30" i="36"/>
  <c r="J594" i="36"/>
  <c r="J452" i="36"/>
  <c r="J237" i="36"/>
  <c r="J184" i="36"/>
  <c r="J175" i="36"/>
  <c r="J339" i="36"/>
  <c r="J807" i="36"/>
  <c r="J549" i="36"/>
  <c r="J926" i="36"/>
  <c r="J752" i="36"/>
  <c r="J694" i="36"/>
  <c r="J517" i="36"/>
  <c r="J295" i="36"/>
  <c r="J212" i="36"/>
  <c r="J925" i="36"/>
  <c r="J400" i="36"/>
  <c r="J980" i="36"/>
  <c r="J607" i="36"/>
  <c r="J350" i="36"/>
  <c r="J227" i="36"/>
  <c r="J209" i="36"/>
  <c r="J164" i="36"/>
  <c r="J147" i="36"/>
  <c r="J45" i="36"/>
  <c r="J481" i="36"/>
  <c r="J216" i="36"/>
  <c r="J936" i="36"/>
  <c r="J747" i="36"/>
  <c r="J600" i="36"/>
  <c r="J568" i="36"/>
  <c r="J324" i="36"/>
  <c r="J153" i="36"/>
  <c r="J60" i="36"/>
  <c r="J994" i="36"/>
  <c r="J821" i="36"/>
  <c r="J766" i="36"/>
  <c r="J424" i="36"/>
  <c r="J197" i="36"/>
  <c r="J86" i="36"/>
  <c r="J567" i="36"/>
  <c r="J479" i="36"/>
  <c r="J323" i="36"/>
  <c r="J305" i="36"/>
  <c r="J258" i="36"/>
  <c r="J204" i="36"/>
  <c r="J143" i="36"/>
  <c r="J59" i="36"/>
  <c r="J820" i="36"/>
  <c r="J628" i="36"/>
  <c r="J240" i="36"/>
  <c r="J124" i="36"/>
  <c r="J533" i="36"/>
  <c r="J509" i="36"/>
  <c r="J239" i="36"/>
  <c r="J818" i="36"/>
  <c r="J625" i="36"/>
  <c r="J508" i="36"/>
  <c r="J276" i="36"/>
  <c r="J185" i="36"/>
  <c r="J140" i="36"/>
  <c r="J845" i="36"/>
  <c r="J615" i="36"/>
  <c r="J462" i="36"/>
  <c r="H211" i="35"/>
  <c r="C65" i="9" s="1"/>
  <c r="J286" i="35"/>
  <c r="J190" i="35"/>
  <c r="J294" i="35"/>
  <c r="J268" i="35"/>
  <c r="J139" i="35"/>
  <c r="J83" i="35"/>
  <c r="J245" i="35"/>
  <c r="I45" i="56"/>
  <c r="G17" i="56"/>
  <c r="I17" i="56" s="1"/>
  <c r="H36" i="56"/>
  <c r="I36" i="56" s="1"/>
  <c r="J52" i="35"/>
  <c r="J272" i="35"/>
  <c r="J264" i="35"/>
  <c r="J181" i="35"/>
  <c r="J154" i="35"/>
  <c r="J138" i="35"/>
  <c r="J99" i="35"/>
  <c r="J70" i="35"/>
  <c r="J136" i="35"/>
  <c r="J80" i="35"/>
  <c r="J107" i="35"/>
  <c r="J66" i="35"/>
  <c r="J295" i="35"/>
  <c r="J288" i="35"/>
  <c r="J189" i="35"/>
  <c r="J105" i="35"/>
  <c r="H219" i="35"/>
  <c r="J219" i="35" s="1"/>
  <c r="J210" i="35"/>
  <c r="J157" i="35"/>
  <c r="J27" i="35"/>
  <c r="J42" i="35"/>
  <c r="H130" i="35"/>
  <c r="J130" i="35" s="1"/>
  <c r="J68" i="35"/>
  <c r="J247" i="35"/>
  <c r="J184" i="35"/>
  <c r="J97" i="35"/>
  <c r="J129" i="35"/>
  <c r="J113" i="35"/>
  <c r="J290" i="35"/>
  <c r="J193" i="35"/>
  <c r="J162" i="35"/>
  <c r="J75" i="35"/>
  <c r="J30" i="35"/>
  <c r="J289" i="35"/>
  <c r="J161" i="35"/>
  <c r="J126" i="35"/>
  <c r="J269" i="35"/>
  <c r="J221" i="35"/>
  <c r="J215" i="35"/>
  <c r="I53" i="35"/>
  <c r="J53" i="35" s="1"/>
  <c r="J958" i="36"/>
  <c r="J413" i="36"/>
  <c r="J71" i="36"/>
  <c r="J49" i="58"/>
  <c r="J928" i="36"/>
  <c r="J109" i="36"/>
  <c r="J50" i="36"/>
  <c r="J293" i="35"/>
  <c r="J85" i="35"/>
  <c r="J863" i="36"/>
  <c r="J522" i="36"/>
  <c r="J265" i="36"/>
  <c r="J173" i="36"/>
  <c r="F141" i="58"/>
  <c r="G141" i="58" s="1"/>
  <c r="I141" i="58" s="1"/>
  <c r="J957" i="36"/>
  <c r="J917" i="36"/>
  <c r="J206" i="36"/>
  <c r="J55" i="36"/>
  <c r="J292" i="35"/>
  <c r="J74" i="35"/>
  <c r="J31" i="35"/>
  <c r="I57" i="58"/>
  <c r="D98" i="9" s="1"/>
  <c r="J80" i="58"/>
  <c r="F236" i="58"/>
  <c r="H236" i="58" s="1"/>
  <c r="J236" i="58" s="1"/>
  <c r="J202" i="58"/>
  <c r="J113" i="58"/>
  <c r="J21" i="36"/>
  <c r="J986" i="36"/>
  <c r="J879" i="36"/>
  <c r="J854" i="36"/>
  <c r="J827" i="36"/>
  <c r="J632" i="36"/>
  <c r="J611" i="36"/>
  <c r="J601" i="36"/>
  <c r="J521" i="36"/>
  <c r="J359" i="36"/>
  <c r="J263" i="36"/>
  <c r="J256" i="36"/>
  <c r="J172" i="36"/>
  <c r="J101" i="36"/>
  <c r="J84" i="36"/>
  <c r="J28" i="36"/>
  <c r="J265" i="35"/>
  <c r="J239" i="35"/>
  <c r="J217" i="35"/>
  <c r="J177" i="35"/>
  <c r="J151" i="35"/>
  <c r="J135" i="35"/>
  <c r="J124" i="35"/>
  <c r="J72" i="35"/>
  <c r="J54" i="35"/>
  <c r="J982" i="36"/>
  <c r="J570" i="36"/>
  <c r="J138" i="36"/>
  <c r="J100" i="35"/>
  <c r="J50" i="35"/>
  <c r="J451" i="36"/>
  <c r="J293" i="36"/>
  <c r="J178" i="35"/>
  <c r="J164" i="58"/>
  <c r="J137" i="36"/>
  <c r="J70" i="36"/>
  <c r="J125" i="35"/>
  <c r="J31" i="58"/>
  <c r="J640" i="36"/>
  <c r="J213" i="58"/>
  <c r="J106" i="58"/>
  <c r="J969" i="36"/>
  <c r="J817" i="36"/>
  <c r="J484" i="36"/>
  <c r="J207" i="36"/>
  <c r="J43" i="36"/>
  <c r="J32" i="35"/>
  <c r="J27" i="58"/>
  <c r="J301" i="36"/>
  <c r="J257" i="36"/>
  <c r="J78" i="36"/>
  <c r="J267" i="35"/>
  <c r="J21" i="58"/>
  <c r="J968" i="36"/>
  <c r="J767" i="36"/>
  <c r="J459" i="36"/>
  <c r="J214" i="36"/>
  <c r="J118" i="58"/>
  <c r="J104" i="58"/>
  <c r="J14" i="36"/>
  <c r="J937" i="36"/>
  <c r="J895" i="36"/>
  <c r="J878" i="36"/>
  <c r="J867" i="36"/>
  <c r="J790" i="36"/>
  <c r="J755" i="36"/>
  <c r="J749" i="36"/>
  <c r="J706" i="36"/>
  <c r="J693" i="36"/>
  <c r="J668" i="36"/>
  <c r="J552" i="36"/>
  <c r="J520" i="36"/>
  <c r="J514" i="36"/>
  <c r="J490" i="36"/>
  <c r="J420" i="36"/>
  <c r="J411" i="36"/>
  <c r="J326" i="36"/>
  <c r="J298" i="36"/>
  <c r="J291" i="36"/>
  <c r="J262" i="36"/>
  <c r="J211" i="36"/>
  <c r="J171" i="36"/>
  <c r="J27" i="36"/>
  <c r="J163" i="35"/>
  <c r="J81" i="35"/>
  <c r="J44" i="35"/>
  <c r="J537" i="36"/>
  <c r="J33" i="58"/>
  <c r="J548" i="36"/>
  <c r="J991" i="36"/>
  <c r="J985" i="36"/>
  <c r="F777" i="36"/>
  <c r="H777" i="36" s="1"/>
  <c r="J777" i="36" s="1"/>
  <c r="J630" i="36"/>
  <c r="I489" i="36"/>
  <c r="J489" i="36" s="1"/>
  <c r="J54" i="58"/>
  <c r="J644" i="36"/>
  <c r="J249" i="35"/>
  <c r="J56" i="35"/>
  <c r="J987" i="36"/>
  <c r="J328" i="36"/>
  <c r="J45" i="58"/>
  <c r="J90" i="58"/>
  <c r="F237" i="58"/>
  <c r="H237" i="58" s="1"/>
  <c r="J237" i="58" s="1"/>
  <c r="J184" i="58"/>
  <c r="J167" i="58"/>
  <c r="J103" i="58"/>
  <c r="J19" i="36"/>
  <c r="J852" i="36"/>
  <c r="I841" i="36"/>
  <c r="J841" i="36" s="1"/>
  <c r="J789" i="36"/>
  <c r="J754" i="36"/>
  <c r="J675" i="36"/>
  <c r="J318" i="36"/>
  <c r="J304" i="36"/>
  <c r="J297" i="36"/>
  <c r="J134" i="36"/>
  <c r="J119" i="36"/>
  <c r="J263" i="35"/>
  <c r="J156" i="35"/>
  <c r="F45" i="35"/>
  <c r="G45" i="35" s="1"/>
  <c r="I45" i="35" s="1"/>
  <c r="I44" i="56"/>
  <c r="J51" i="58"/>
  <c r="J73" i="58"/>
  <c r="J930" i="36"/>
  <c r="J923" i="36"/>
  <c r="J180" i="36"/>
  <c r="J56" i="36"/>
  <c r="J234" i="58"/>
  <c r="J22" i="36"/>
  <c r="J757" i="36"/>
  <c r="J272" i="36"/>
  <c r="J29" i="36"/>
  <c r="J939" i="36"/>
  <c r="H563" i="36"/>
  <c r="C77" i="9" s="1"/>
  <c r="J340" i="36"/>
  <c r="J144" i="36"/>
  <c r="J49" i="36"/>
  <c r="J152" i="35"/>
  <c r="J108" i="35"/>
  <c r="J93" i="58"/>
  <c r="J199" i="58"/>
  <c r="J151" i="58"/>
  <c r="J116" i="58"/>
  <c r="J18" i="36"/>
  <c r="J989" i="36"/>
  <c r="J951" i="36"/>
  <c r="J893" i="36"/>
  <c r="J871" i="36"/>
  <c r="J806" i="36"/>
  <c r="J753" i="36"/>
  <c r="J720" i="36"/>
  <c r="J608" i="36"/>
  <c r="J512" i="36"/>
  <c r="J507" i="36"/>
  <c r="J425" i="36"/>
  <c r="J309" i="36"/>
  <c r="J303" i="36"/>
  <c r="J296" i="36"/>
  <c r="J260" i="36"/>
  <c r="J169" i="36"/>
  <c r="J118" i="36"/>
  <c r="J110" i="36"/>
  <c r="J31" i="36"/>
  <c r="J261" i="35"/>
  <c r="J242" i="35"/>
  <c r="J127" i="35"/>
  <c r="J77" i="35"/>
  <c r="J579" i="36"/>
  <c r="J85" i="36"/>
  <c r="I49" i="56"/>
  <c r="J19" i="58"/>
  <c r="J637" i="36"/>
  <c r="J103" i="36"/>
  <c r="J95" i="35"/>
  <c r="J51" i="35"/>
  <c r="J41" i="35"/>
  <c r="I13" i="56"/>
  <c r="I41" i="56"/>
  <c r="J26" i="58"/>
  <c r="H57" i="58"/>
  <c r="C98" i="9" s="1"/>
  <c r="J18" i="58"/>
  <c r="I24" i="56"/>
  <c r="I21" i="56"/>
  <c r="J16" i="36"/>
  <c r="J207" i="35"/>
  <c r="J22" i="35"/>
  <c r="I474" i="27"/>
  <c r="J519" i="53"/>
  <c r="J327" i="27"/>
  <c r="J413" i="27"/>
  <c r="J46" i="27"/>
  <c r="J59" i="27"/>
  <c r="J36" i="27"/>
  <c r="J22" i="27"/>
  <c r="J47" i="27"/>
  <c r="J132" i="27"/>
  <c r="J120" i="27"/>
  <c r="J151" i="27"/>
  <c r="J388" i="27"/>
  <c r="J360" i="27"/>
  <c r="J105" i="27"/>
  <c r="J218" i="27"/>
  <c r="J260" i="27"/>
  <c r="J254" i="27"/>
  <c r="J283" i="27"/>
  <c r="J352" i="27"/>
  <c r="F732" i="36"/>
  <c r="H732" i="36" s="1"/>
  <c r="J732" i="36" s="1"/>
  <c r="J384" i="36"/>
  <c r="J89" i="58"/>
  <c r="J198" i="58"/>
  <c r="J988" i="36"/>
  <c r="J983" i="36"/>
  <c r="J952" i="36"/>
  <c r="J896" i="36"/>
  <c r="J828" i="36"/>
  <c r="J722" i="36"/>
  <c r="J707" i="36"/>
  <c r="J627" i="36"/>
  <c r="J553" i="36"/>
  <c r="J538" i="36"/>
  <c r="J515" i="36"/>
  <c r="J423" i="36"/>
  <c r="I337" i="36"/>
  <c r="J337" i="36" s="1"/>
  <c r="J322" i="36"/>
  <c r="J277" i="36"/>
  <c r="J238" i="36"/>
  <c r="J178" i="36"/>
  <c r="J135" i="36"/>
  <c r="J112" i="36"/>
  <c r="J244" i="35"/>
  <c r="J218" i="35"/>
  <c r="I211" i="35"/>
  <c r="D65" i="9" s="1"/>
  <c r="J183" i="35"/>
  <c r="J106" i="35"/>
  <c r="J182" i="58"/>
  <c r="J153" i="58"/>
  <c r="J64" i="58"/>
  <c r="J78" i="58"/>
  <c r="J211" i="58"/>
  <c r="J107" i="58"/>
  <c r="J20" i="36"/>
  <c r="J15" i="36"/>
  <c r="J870" i="36"/>
  <c r="J765" i="36"/>
  <c r="J756" i="36"/>
  <c r="I547" i="36"/>
  <c r="I563" i="36" s="1"/>
  <c r="D77" i="9" s="1"/>
  <c r="I492" i="36"/>
  <c r="J492" i="36" s="1"/>
  <c r="I383" i="36"/>
  <c r="J383" i="36" s="1"/>
  <c r="J259" i="35"/>
  <c r="J289" i="27"/>
  <c r="J304" i="27"/>
  <c r="I109" i="58"/>
  <c r="D100" i="9" s="1"/>
  <c r="I24" i="36"/>
  <c r="D72" i="9" s="1"/>
  <c r="J50" i="58"/>
  <c r="J16" i="58"/>
  <c r="J83" i="58"/>
  <c r="J230" i="58"/>
  <c r="J196" i="58"/>
  <c r="F174" i="58"/>
  <c r="G174" i="58" s="1"/>
  <c r="I174" i="58" s="1"/>
  <c r="J869" i="36"/>
  <c r="I864" i="36"/>
  <c r="J864" i="36" s="1"/>
  <c r="J794" i="36"/>
  <c r="J787" i="36"/>
  <c r="J738" i="36"/>
  <c r="I728" i="36"/>
  <c r="J728" i="36" s="1"/>
  <c r="I721" i="36"/>
  <c r="J721" i="36" s="1"/>
  <c r="J701" i="36"/>
  <c r="J689" i="36"/>
  <c r="J664" i="36"/>
  <c r="J631" i="36"/>
  <c r="J612" i="36"/>
  <c r="J598" i="36"/>
  <c r="J519" i="36"/>
  <c r="I387" i="36"/>
  <c r="J387" i="36" s="1"/>
  <c r="J290" i="36"/>
  <c r="J243" i="36"/>
  <c r="J196" i="36"/>
  <c r="J112" i="35"/>
  <c r="F47" i="35"/>
  <c r="G47" i="35" s="1"/>
  <c r="I47" i="35" s="1"/>
  <c r="J29" i="35"/>
  <c r="H274" i="35"/>
  <c r="C67" i="9" s="1"/>
  <c r="J43" i="58"/>
  <c r="J20" i="58"/>
  <c r="H75" i="58"/>
  <c r="J119" i="58"/>
  <c r="J114" i="58"/>
  <c r="J816" i="36"/>
  <c r="J307" i="36"/>
  <c r="J268" i="36"/>
  <c r="J230" i="36"/>
  <c r="J201" i="36"/>
  <c r="J111" i="36"/>
  <c r="J88" i="36"/>
  <c r="J77" i="36"/>
  <c r="J42" i="36"/>
  <c r="J271" i="35"/>
  <c r="J87" i="58"/>
  <c r="J201" i="58"/>
  <c r="F225" i="58"/>
  <c r="G225" i="58" s="1"/>
  <c r="I225" i="58" s="1"/>
  <c r="J165" i="58"/>
  <c r="J935" i="36"/>
  <c r="J929" i="36"/>
  <c r="J899" i="36"/>
  <c r="J868" i="36"/>
  <c r="F843" i="36"/>
  <c r="H843" i="36" s="1"/>
  <c r="J843" i="36" s="1"/>
  <c r="J764" i="36"/>
  <c r="J737" i="36"/>
  <c r="J705" i="36"/>
  <c r="J688" i="36"/>
  <c r="J616" i="36"/>
  <c r="J572" i="36"/>
  <c r="J545" i="36"/>
  <c r="J513" i="36"/>
  <c r="J491" i="36"/>
  <c r="I395" i="36"/>
  <c r="J395" i="36" s="1"/>
  <c r="I386" i="36"/>
  <c r="J386" i="36" s="1"/>
  <c r="F361" i="36"/>
  <c r="H361" i="36" s="1"/>
  <c r="J361" i="36" s="1"/>
  <c r="J319" i="36"/>
  <c r="J274" i="36"/>
  <c r="J235" i="36"/>
  <c r="J210" i="36"/>
  <c r="J104" i="36"/>
  <c r="J81" i="36"/>
  <c r="J216" i="35"/>
  <c r="J180" i="35"/>
  <c r="J149" i="35"/>
  <c r="F46" i="35"/>
  <c r="J376" i="27"/>
  <c r="H24" i="36"/>
  <c r="C72" i="9" s="1"/>
  <c r="J81" i="58"/>
  <c r="F954" i="36"/>
  <c r="H954" i="36" s="1"/>
  <c r="J954" i="36" s="1"/>
  <c r="J426" i="36"/>
  <c r="F352" i="36"/>
  <c r="H352" i="36" s="1"/>
  <c r="J352" i="36" s="1"/>
  <c r="J299" i="36"/>
  <c r="J261" i="36"/>
  <c r="J215" i="36"/>
  <c r="J220" i="35"/>
  <c r="J52" i="58"/>
  <c r="J28" i="58"/>
  <c r="J86" i="58"/>
  <c r="J200" i="58"/>
  <c r="J136" i="58"/>
  <c r="J123" i="58"/>
  <c r="J990" i="36"/>
  <c r="H874" i="36"/>
  <c r="I840" i="36"/>
  <c r="J840" i="36" s="1"/>
  <c r="J825" i="36"/>
  <c r="J785" i="36"/>
  <c r="J698" i="36"/>
  <c r="J629" i="36"/>
  <c r="J550" i="36"/>
  <c r="H540" i="36"/>
  <c r="J540" i="36" s="1"/>
  <c r="I534" i="36"/>
  <c r="J534" i="36" s="1"/>
  <c r="H482" i="36"/>
  <c r="J482" i="36" s="1"/>
  <c r="J443" i="36"/>
  <c r="J123" i="36"/>
  <c r="J117" i="36"/>
  <c r="I297" i="35"/>
  <c r="D68" i="9" s="1"/>
  <c r="I274" i="35"/>
  <c r="D67" i="9" s="1"/>
  <c r="J32" i="58"/>
  <c r="J214" i="58"/>
  <c r="J154" i="58"/>
  <c r="J148" i="58"/>
  <c r="J824" i="36"/>
  <c r="J819" i="36"/>
  <c r="J748" i="36"/>
  <c r="J726" i="36"/>
  <c r="J703" i="36"/>
  <c r="J692" i="36"/>
  <c r="J634" i="36"/>
  <c r="J578" i="36"/>
  <c r="I458" i="36"/>
  <c r="J458" i="36" s="1"/>
  <c r="J370" i="36"/>
  <c r="J329" i="36"/>
  <c r="J292" i="36"/>
  <c r="J245" i="36"/>
  <c r="J154" i="36"/>
  <c r="J102" i="36"/>
  <c r="J79" i="36"/>
  <c r="J54" i="36"/>
  <c r="J44" i="36"/>
  <c r="H297" i="35"/>
  <c r="C68" i="9" s="1"/>
  <c r="I214" i="35"/>
  <c r="J214" i="35" s="1"/>
  <c r="J160" i="35"/>
  <c r="J114" i="35"/>
  <c r="J225" i="27"/>
  <c r="J22" i="58"/>
  <c r="J233" i="58"/>
  <c r="F142" i="58"/>
  <c r="G142" i="58" s="1"/>
  <c r="I142" i="58" s="1"/>
  <c r="J1004" i="36"/>
  <c r="J1006" i="36" s="1"/>
  <c r="E94" i="9" s="1"/>
  <c r="J984" i="36"/>
  <c r="J927" i="36"/>
  <c r="J839" i="36"/>
  <c r="J577" i="36"/>
  <c r="J554" i="36"/>
  <c r="J539" i="36"/>
  <c r="J511" i="36"/>
  <c r="J167" i="36"/>
  <c r="J136" i="36"/>
  <c r="J121" i="36"/>
  <c r="J159" i="35"/>
  <c r="J230" i="27"/>
  <c r="J521" i="53"/>
  <c r="J1911" i="53"/>
  <c r="J520" i="53"/>
  <c r="J2037" i="53"/>
  <c r="J2039" i="53"/>
  <c r="J518" i="53"/>
  <c r="H2040" i="53"/>
  <c r="J2040" i="53" s="1"/>
  <c r="J2041" i="53"/>
  <c r="J2038" i="53"/>
  <c r="J2035" i="53"/>
  <c r="J755" i="53"/>
  <c r="J2033" i="53"/>
  <c r="J1908" i="53"/>
  <c r="J2034" i="53"/>
  <c r="J753" i="53"/>
  <c r="J1909" i="53"/>
  <c r="J173" i="27"/>
  <c r="J284" i="27"/>
  <c r="J130" i="27"/>
  <c r="J78" i="27"/>
  <c r="J102" i="27"/>
  <c r="J96" i="27"/>
  <c r="J48" i="27"/>
  <c r="J38" i="27"/>
  <c r="J324" i="27"/>
  <c r="J453" i="27"/>
  <c r="J170" i="27"/>
  <c r="J164" i="27"/>
  <c r="J203" i="27"/>
  <c r="J197" i="27"/>
  <c r="J191" i="27"/>
  <c r="J323" i="27"/>
  <c r="J425" i="27"/>
  <c r="J379" i="27"/>
  <c r="J373" i="27"/>
  <c r="J169" i="27"/>
  <c r="J216" i="27"/>
  <c r="J309" i="27"/>
  <c r="J339" i="27"/>
  <c r="J437" i="27"/>
  <c r="J389" i="27"/>
  <c r="J166" i="27"/>
  <c r="J160" i="27"/>
  <c r="J325" i="27"/>
  <c r="J466" i="27"/>
  <c r="J67" i="27"/>
  <c r="J195" i="27"/>
  <c r="J189" i="27"/>
  <c r="J221" i="27"/>
  <c r="J308" i="27"/>
  <c r="J341" i="27"/>
  <c r="J452" i="27"/>
  <c r="J414" i="27"/>
  <c r="J380" i="27"/>
  <c r="J99" i="27"/>
  <c r="J465" i="27"/>
  <c r="J167" i="27"/>
  <c r="J200" i="27"/>
  <c r="J392" i="27"/>
  <c r="J20" i="27"/>
  <c r="J66" i="27"/>
  <c r="J186" i="27"/>
  <c r="J294" i="27"/>
  <c r="J340" i="27"/>
  <c r="J412" i="27"/>
  <c r="J307" i="27"/>
  <c r="J109" i="27"/>
  <c r="J97" i="27"/>
  <c r="J320" i="27"/>
  <c r="J382" i="27"/>
  <c r="J265" i="27"/>
  <c r="J361" i="27"/>
  <c r="J60" i="27"/>
  <c r="J101" i="27"/>
  <c r="J133" i="27"/>
  <c r="J121" i="27"/>
  <c r="J138" i="27"/>
  <c r="J37" i="27"/>
  <c r="J49" i="27"/>
  <c r="J125" i="27"/>
  <c r="J162" i="27"/>
  <c r="J196" i="27"/>
  <c r="J233" i="27"/>
  <c r="J222" i="27"/>
  <c r="J264" i="27"/>
  <c r="J252" i="27"/>
  <c r="J246" i="27"/>
  <c r="J305" i="27"/>
  <c r="J319" i="27"/>
  <c r="J468" i="27"/>
  <c r="J423" i="27"/>
  <c r="J385" i="27"/>
  <c r="J348" i="27"/>
  <c r="J62" i="27"/>
  <c r="J98" i="27"/>
  <c r="J92" i="27"/>
  <c r="J215" i="27"/>
  <c r="J288" i="27"/>
  <c r="J310" i="27"/>
  <c r="J343" i="27"/>
  <c r="J449" i="27"/>
  <c r="J61" i="27"/>
  <c r="J257" i="27"/>
  <c r="J277" i="27"/>
  <c r="J467" i="27"/>
  <c r="J454" i="27"/>
  <c r="J448" i="27"/>
  <c r="J411" i="27"/>
  <c r="J384" i="27"/>
  <c r="J129" i="27"/>
  <c r="J262" i="27"/>
  <c r="J256" i="27"/>
  <c r="J276" i="27"/>
  <c r="J472" i="27"/>
  <c r="J436" i="27"/>
  <c r="J372" i="27"/>
  <c r="J185" i="27"/>
  <c r="J205" i="27"/>
  <c r="J285" i="27"/>
  <c r="J441" i="27"/>
  <c r="J77" i="27"/>
  <c r="J128" i="27"/>
  <c r="J122" i="27"/>
  <c r="J153" i="27"/>
  <c r="J165" i="27"/>
  <c r="J204" i="27"/>
  <c r="J219" i="27"/>
  <c r="J249" i="27"/>
  <c r="J420" i="27"/>
  <c r="J415" i="27"/>
  <c r="J408" i="27"/>
  <c r="J351" i="27"/>
  <c r="J345" i="27"/>
  <c r="J41" i="27"/>
  <c r="J290" i="27"/>
  <c r="J321" i="27"/>
  <c r="J419" i="27"/>
  <c r="J356" i="27"/>
  <c r="J94" i="27"/>
  <c r="J229" i="27"/>
  <c r="J253" i="27"/>
  <c r="J312" i="27"/>
  <c r="J464" i="27"/>
  <c r="J439" i="27"/>
  <c r="J349" i="27"/>
  <c r="J338" i="27"/>
  <c r="J438" i="27"/>
  <c r="J406" i="27"/>
  <c r="J315" i="27"/>
  <c r="J446" i="27"/>
  <c r="J17" i="27"/>
  <c r="J76" i="27"/>
  <c r="J106" i="27"/>
  <c r="J124" i="27"/>
  <c r="J156" i="27"/>
  <c r="J137" i="27"/>
  <c r="J174" i="27"/>
  <c r="J159" i="27"/>
  <c r="J199" i="27"/>
  <c r="J194" i="27"/>
  <c r="J232" i="27"/>
  <c r="J226" i="27"/>
  <c r="J248" i="27"/>
  <c r="J275" i="27"/>
  <c r="J314" i="27"/>
  <c r="J292" i="27"/>
  <c r="J471" i="27"/>
  <c r="J444" i="27"/>
  <c r="J424" i="27"/>
  <c r="J404" i="27"/>
  <c r="J391" i="27"/>
  <c r="J375" i="27"/>
  <c r="J355" i="27"/>
  <c r="J350" i="27"/>
  <c r="J35" i="27"/>
  <c r="J71" i="27"/>
  <c r="J134" i="27"/>
  <c r="J155" i="27"/>
  <c r="J142" i="27"/>
  <c r="J158" i="27"/>
  <c r="J193" i="27"/>
  <c r="J188" i="27"/>
  <c r="J258" i="27"/>
  <c r="J443" i="27"/>
  <c r="J418" i="27"/>
  <c r="J403" i="27"/>
  <c r="J390" i="27"/>
  <c r="J374" i="27"/>
  <c r="J359" i="27"/>
  <c r="J16" i="27"/>
  <c r="J42" i="27"/>
  <c r="J75" i="27"/>
  <c r="J100" i="27"/>
  <c r="J95" i="27"/>
  <c r="J168" i="27"/>
  <c r="J163" i="27"/>
  <c r="J220" i="27"/>
  <c r="J263" i="27"/>
  <c r="J383" i="27"/>
  <c r="J154" i="27"/>
  <c r="J141" i="27"/>
  <c r="J192" i="27"/>
  <c r="J236" i="27"/>
  <c r="J329" i="27"/>
  <c r="J451" i="27"/>
  <c r="J417" i="27"/>
  <c r="J358" i="27"/>
  <c r="J65" i="27"/>
  <c r="J69" i="27"/>
  <c r="J104" i="27"/>
  <c r="J93" i="27"/>
  <c r="J140" i="27"/>
  <c r="J172" i="27"/>
  <c r="J161" i="27"/>
  <c r="J235" i="27"/>
  <c r="J224" i="27"/>
  <c r="J261" i="27"/>
  <c r="J342" i="27"/>
  <c r="J328" i="27"/>
  <c r="J347" i="27"/>
  <c r="J450" i="27"/>
  <c r="J40" i="27"/>
  <c r="J103" i="27"/>
  <c r="J139" i="27"/>
  <c r="J171" i="27"/>
  <c r="J234" i="27"/>
  <c r="J223" i="27"/>
  <c r="J455" i="27"/>
  <c r="J416" i="27"/>
  <c r="J346" i="27"/>
  <c r="J72" i="27"/>
  <c r="J64" i="27"/>
  <c r="J108" i="27"/>
  <c r="J131" i="27"/>
  <c r="J126" i="27"/>
  <c r="J184" i="27"/>
  <c r="J206" i="27"/>
  <c r="J201" i="27"/>
  <c r="J228" i="27"/>
  <c r="J255" i="27"/>
  <c r="J250" i="27"/>
  <c r="J286" i="27"/>
  <c r="J311" i="27"/>
  <c r="J322" i="27"/>
  <c r="J440" i="27"/>
  <c r="J435" i="27"/>
  <c r="J387" i="27"/>
  <c r="J44" i="27"/>
  <c r="J293" i="27"/>
  <c r="J34" i="27"/>
  <c r="J313" i="27"/>
  <c r="J447" i="27"/>
  <c r="J407" i="27"/>
  <c r="J378" i="27"/>
  <c r="J295" i="27"/>
  <c r="J422" i="27"/>
  <c r="J19" i="27"/>
  <c r="J316" i="27"/>
  <c r="J45" i="27"/>
  <c r="J306" i="27"/>
  <c r="J371" i="27"/>
  <c r="J23" i="27"/>
  <c r="J326" i="27"/>
  <c r="J107" i="27"/>
  <c r="J127" i="27"/>
  <c r="J202" i="27"/>
  <c r="J251" i="27"/>
  <c r="J91" i="27"/>
  <c r="J259" i="27"/>
  <c r="J318" i="27"/>
  <c r="J183" i="27"/>
  <c r="J227" i="27"/>
  <c r="J402" i="27"/>
  <c r="J354" i="27"/>
  <c r="J33" i="27"/>
  <c r="J74" i="27"/>
  <c r="J136" i="27"/>
  <c r="J231" i="27"/>
  <c r="J442" i="27"/>
  <c r="J409" i="27"/>
  <c r="J393" i="27"/>
  <c r="J377" i="27"/>
  <c r="J353" i="27"/>
  <c r="J152" i="27"/>
  <c r="J190" i="27"/>
  <c r="J24" i="27"/>
  <c r="J123" i="27"/>
  <c r="J198" i="27"/>
  <c r="J247" i="27"/>
  <c r="F1000" i="36"/>
  <c r="H1000" i="36" s="1"/>
  <c r="J1000" i="36" s="1"/>
  <c r="H422" i="36"/>
  <c r="I422" i="36"/>
  <c r="J62" i="58"/>
  <c r="J180" i="58"/>
  <c r="F172" i="58"/>
  <c r="J967" i="36"/>
  <c r="J823" i="36"/>
  <c r="J673" i="36"/>
  <c r="J152" i="58"/>
  <c r="H1006" i="36"/>
  <c r="J979" i="36"/>
  <c r="F809" i="36"/>
  <c r="H809" i="36" s="1"/>
  <c r="J809" i="36" s="1"/>
  <c r="J793" i="36"/>
  <c r="I239" i="58"/>
  <c r="J902" i="36"/>
  <c r="F904" i="36"/>
  <c r="F905" i="36"/>
  <c r="I779" i="36"/>
  <c r="D82" i="9" s="1"/>
  <c r="F602" i="36"/>
  <c r="H602" i="36" s="1"/>
  <c r="J602" i="36" s="1"/>
  <c r="J585" i="36"/>
  <c r="J569" i="36"/>
  <c r="I998" i="36"/>
  <c r="I1002" i="36" s="1"/>
  <c r="J750" i="36"/>
  <c r="F366" i="36"/>
  <c r="H366" i="36" s="1"/>
  <c r="J366" i="36" s="1"/>
  <c r="J336" i="36"/>
  <c r="H109" i="58"/>
  <c r="C100" i="9" s="1"/>
  <c r="J916" i="36"/>
  <c r="J729" i="36"/>
  <c r="J691" i="36"/>
  <c r="J639" i="36"/>
  <c r="H576" i="36"/>
  <c r="I576" i="36"/>
  <c r="H419" i="36"/>
  <c r="I419" i="36"/>
  <c r="I331" i="36"/>
  <c r="D74" i="9" s="1"/>
  <c r="H442" i="36"/>
  <c r="I442" i="36"/>
  <c r="I90" i="36"/>
  <c r="D73" i="9" s="1"/>
  <c r="J956" i="36"/>
  <c r="J662" i="36"/>
  <c r="F503" i="36"/>
  <c r="H503" i="36" s="1"/>
  <c r="J503" i="36" s="1"/>
  <c r="J472" i="36"/>
  <c r="I394" i="36"/>
  <c r="H394" i="36"/>
  <c r="J349" i="36"/>
  <c r="F724" i="36"/>
  <c r="H724" i="36" s="1"/>
  <c r="J724" i="36" s="1"/>
  <c r="F173" i="58"/>
  <c r="F140" i="58"/>
  <c r="H960" i="36"/>
  <c r="J934" i="36"/>
  <c r="J898" i="36"/>
  <c r="J846" i="36"/>
  <c r="J760" i="36"/>
  <c r="F762" i="36"/>
  <c r="H762" i="36" s="1"/>
  <c r="J762" i="36" s="1"/>
  <c r="J815" i="36"/>
  <c r="F796" i="36"/>
  <c r="H796" i="36" s="1"/>
  <c r="J796" i="36" s="1"/>
  <c r="I811" i="36"/>
  <c r="D83" i="9" s="1"/>
  <c r="I450" i="36"/>
  <c r="H450" i="36"/>
  <c r="H401" i="36"/>
  <c r="I401" i="36"/>
  <c r="F996" i="36"/>
  <c r="H996" i="36" s="1"/>
  <c r="J996" i="36" s="1"/>
  <c r="J938" i="36"/>
  <c r="J783" i="36"/>
  <c r="J551" i="36"/>
  <c r="F381" i="36"/>
  <c r="H381" i="36" s="1"/>
  <c r="J381" i="36" s="1"/>
  <c r="J536" i="36"/>
  <c r="H461" i="36"/>
  <c r="F474" i="36" s="1"/>
  <c r="H474" i="36" s="1"/>
  <c r="J474" i="36" s="1"/>
  <c r="I461" i="36"/>
  <c r="H431" i="36"/>
  <c r="I431" i="36"/>
  <c r="F356" i="36"/>
  <c r="H356" i="36" s="1"/>
  <c r="J356" i="36" s="1"/>
  <c r="J690" i="36"/>
  <c r="J645" i="36"/>
  <c r="I580" i="36"/>
  <c r="J580" i="36" s="1"/>
  <c r="J488" i="36"/>
  <c r="I396" i="36"/>
  <c r="J396" i="36" s="1"/>
  <c r="I393" i="36"/>
  <c r="J393" i="36" s="1"/>
  <c r="J335" i="36"/>
  <c r="J52" i="36"/>
  <c r="J70" i="27"/>
  <c r="F670" i="36"/>
  <c r="H670" i="36" s="1"/>
  <c r="J670" i="36" s="1"/>
  <c r="I441" i="36"/>
  <c r="J441" i="36" s="1"/>
  <c r="I430" i="36"/>
  <c r="J430" i="36" s="1"/>
  <c r="I421" i="36"/>
  <c r="J421" i="36" s="1"/>
  <c r="I369" i="36"/>
  <c r="J369" i="36" s="1"/>
  <c r="H331" i="36"/>
  <c r="C74" i="9" s="1"/>
  <c r="J40" i="36"/>
  <c r="I719" i="36"/>
  <c r="I535" i="36"/>
  <c r="J535" i="36" s="1"/>
  <c r="I463" i="36"/>
  <c r="J463" i="36" s="1"/>
  <c r="I610" i="36"/>
  <c r="I658" i="36" s="1"/>
  <c r="D79" i="9" s="1"/>
  <c r="I595" i="36"/>
  <c r="J595" i="36" s="1"/>
  <c r="I493" i="36"/>
  <c r="J493" i="36" s="1"/>
  <c r="I477" i="36"/>
  <c r="J477" i="36" s="1"/>
  <c r="I385" i="36"/>
  <c r="J385" i="36" s="1"/>
  <c r="I354" i="36"/>
  <c r="J354" i="36" s="1"/>
  <c r="H90" i="36"/>
  <c r="C73" i="9" s="1"/>
  <c r="I80" i="27"/>
  <c r="D114" i="9" s="1"/>
  <c r="J18" i="27"/>
  <c r="J14" i="27"/>
  <c r="F186" i="35"/>
  <c r="J238" i="35"/>
  <c r="F132" i="35"/>
  <c r="J285" i="35"/>
  <c r="F185" i="35"/>
  <c r="F187" i="35"/>
  <c r="F131" i="35"/>
  <c r="F133" i="35"/>
  <c r="J224" i="58" l="1"/>
  <c r="F642" i="36"/>
  <c r="H642" i="36" s="1"/>
  <c r="J642" i="36" s="1"/>
  <c r="I677" i="36"/>
  <c r="D80" i="9" s="1"/>
  <c r="J474" i="27"/>
  <c r="G51" i="56"/>
  <c r="C99" i="9"/>
  <c r="H225" i="58"/>
  <c r="I734" i="36"/>
  <c r="D81" i="9" s="1"/>
  <c r="J547" i="36"/>
  <c r="H142" i="58"/>
  <c r="J142" i="58" s="1"/>
  <c r="J239" i="58"/>
  <c r="E104" i="9" s="1"/>
  <c r="J75" i="58"/>
  <c r="E99" i="9" s="1"/>
  <c r="J109" i="58"/>
  <c r="E100" i="9" s="1"/>
  <c r="H141" i="58"/>
  <c r="J141" i="58" s="1"/>
  <c r="H239" i="58"/>
  <c r="C104" i="9" s="1"/>
  <c r="H174" i="58"/>
  <c r="J174" i="58" s="1"/>
  <c r="H215" i="58"/>
  <c r="J215" i="58" s="1"/>
  <c r="H658" i="36"/>
  <c r="C79" i="9" s="1"/>
  <c r="J563" i="36"/>
  <c r="E77" i="9" s="1"/>
  <c r="F486" i="36"/>
  <c r="H486" i="36" s="1"/>
  <c r="J486" i="36" s="1"/>
  <c r="J719" i="36"/>
  <c r="J734" i="36" s="1"/>
  <c r="E81" i="9" s="1"/>
  <c r="H542" i="36"/>
  <c r="C76" i="9" s="1"/>
  <c r="J90" i="36"/>
  <c r="E73" i="9" s="1"/>
  <c r="J211" i="35"/>
  <c r="E65" i="9" s="1"/>
  <c r="J297" i="35"/>
  <c r="E68" i="9" s="1"/>
  <c r="H45" i="35"/>
  <c r="J45" i="35" s="1"/>
  <c r="F223" i="35"/>
  <c r="G223" i="35" s="1"/>
  <c r="I223" i="35" s="1"/>
  <c r="F232" i="35"/>
  <c r="G232" i="35" s="1"/>
  <c r="I232" i="35" s="1"/>
  <c r="F233" i="35"/>
  <c r="G233" i="35" s="1"/>
  <c r="I233" i="35" s="1"/>
  <c r="H47" i="35"/>
  <c r="J47" i="35" s="1"/>
  <c r="J274" i="35"/>
  <c r="E67" i="9" s="1"/>
  <c r="J331" i="36"/>
  <c r="E74" i="9" s="1"/>
  <c r="J24" i="36"/>
  <c r="E72" i="9" s="1"/>
  <c r="J811" i="36"/>
  <c r="E83" i="9" s="1"/>
  <c r="H811" i="36"/>
  <c r="C83" i="9" s="1"/>
  <c r="J57" i="58"/>
  <c r="E98" i="9" s="1"/>
  <c r="I227" i="58"/>
  <c r="D103" i="9" s="1"/>
  <c r="I505" i="36"/>
  <c r="D75" i="9" s="1"/>
  <c r="J431" i="36"/>
  <c r="J442" i="36"/>
  <c r="G46" i="35"/>
  <c r="I46" i="35" s="1"/>
  <c r="I102" i="35" s="1"/>
  <c r="D53" i="9" s="1"/>
  <c r="H46" i="35"/>
  <c r="J779" i="36"/>
  <c r="E82" i="9" s="1"/>
  <c r="I604" i="36"/>
  <c r="D78" i="9" s="1"/>
  <c r="J542" i="36"/>
  <c r="E76" i="9" s="1"/>
  <c r="F876" i="36"/>
  <c r="H876" i="36" s="1"/>
  <c r="J876" i="36" s="1"/>
  <c r="J874" i="36"/>
  <c r="H734" i="36"/>
  <c r="C81" i="9" s="1"/>
  <c r="J80" i="27"/>
  <c r="D93" i="9"/>
  <c r="J998" i="36"/>
  <c r="J1002" i="36" s="1"/>
  <c r="G131" i="35"/>
  <c r="I131" i="35" s="1"/>
  <c r="H131" i="35"/>
  <c r="G187" i="35"/>
  <c r="I187" i="35" s="1"/>
  <c r="H187" i="35"/>
  <c r="J576" i="36"/>
  <c r="F582" i="36"/>
  <c r="H582" i="36" s="1"/>
  <c r="J582" i="36" s="1"/>
  <c r="G904" i="36"/>
  <c r="I904" i="36" s="1"/>
  <c r="H904" i="36"/>
  <c r="G185" i="35"/>
  <c r="I185" i="35" s="1"/>
  <c r="H185" i="35"/>
  <c r="F446" i="36"/>
  <c r="H446" i="36" s="1"/>
  <c r="J446" i="36" s="1"/>
  <c r="D104" i="9"/>
  <c r="J394" i="36"/>
  <c r="F398" i="36"/>
  <c r="H398" i="36" s="1"/>
  <c r="J398" i="36" s="1"/>
  <c r="H172" i="58"/>
  <c r="G172" i="58"/>
  <c r="I172" i="58" s="1"/>
  <c r="G132" i="35"/>
  <c r="I132" i="35" s="1"/>
  <c r="H132" i="35"/>
  <c r="J461" i="36"/>
  <c r="J225" i="58"/>
  <c r="I542" i="36"/>
  <c r="D76" i="9" s="1"/>
  <c r="G905" i="36"/>
  <c r="I905" i="36" s="1"/>
  <c r="H905" i="36"/>
  <c r="H1002" i="36"/>
  <c r="C93" i="9" s="1"/>
  <c r="J422" i="36"/>
  <c r="H779" i="36"/>
  <c r="C82" i="9" s="1"/>
  <c r="J610" i="36"/>
  <c r="J658" i="36" s="1"/>
  <c r="E79" i="9" s="1"/>
  <c r="E114" i="9"/>
  <c r="G186" i="35"/>
  <c r="I186" i="35" s="1"/>
  <c r="H186" i="35"/>
  <c r="J960" i="36"/>
  <c r="F962" i="36"/>
  <c r="H962" i="36" s="1"/>
  <c r="J962" i="36" s="1"/>
  <c r="C94" i="9"/>
  <c r="G133" i="35"/>
  <c r="I133" i="35" s="1"/>
  <c r="H133" i="35"/>
  <c r="J401" i="36"/>
  <c r="F415" i="36"/>
  <c r="H415" i="36" s="1"/>
  <c r="J415" i="36" s="1"/>
  <c r="G140" i="58"/>
  <c r="I140" i="58" s="1"/>
  <c r="I144" i="58" s="1"/>
  <c r="D101" i="9" s="1"/>
  <c r="H140" i="58"/>
  <c r="H677" i="36"/>
  <c r="C80" i="9" s="1"/>
  <c r="J450" i="36"/>
  <c r="F455" i="36"/>
  <c r="H455" i="36" s="1"/>
  <c r="J455" i="36" s="1"/>
  <c r="G173" i="58"/>
  <c r="I173" i="58" s="1"/>
  <c r="H173" i="58"/>
  <c r="J677" i="36"/>
  <c r="E80" i="9" s="1"/>
  <c r="J419" i="36"/>
  <c r="F428" i="36"/>
  <c r="H428" i="36" s="1"/>
  <c r="J428" i="36" s="1"/>
  <c r="J133" i="35" l="1"/>
  <c r="H233" i="35"/>
  <c r="H232" i="35"/>
  <c r="H223" i="35"/>
  <c r="J223" i="35" s="1"/>
  <c r="H604" i="36"/>
  <c r="C78" i="9" s="1"/>
  <c r="J233" i="35"/>
  <c r="J186" i="35"/>
  <c r="J905" i="36"/>
  <c r="J505" i="36"/>
  <c r="E75" i="9" s="1"/>
  <c r="J46" i="35"/>
  <c r="J102" i="35" s="1"/>
  <c r="E53" i="9" s="1"/>
  <c r="H102" i="35"/>
  <c r="C53" i="9" s="1"/>
  <c r="J227" i="58"/>
  <c r="E103" i="9" s="1"/>
  <c r="H227" i="58"/>
  <c r="C103" i="9" s="1"/>
  <c r="I176" i="58"/>
  <c r="D102" i="9" s="1"/>
  <c r="D106" i="9" s="1"/>
  <c r="F915" i="36"/>
  <c r="J904" i="36"/>
  <c r="J172" i="58"/>
  <c r="H176" i="58"/>
  <c r="J173" i="58"/>
  <c r="J604" i="36"/>
  <c r="E78" i="9" s="1"/>
  <c r="E93" i="9"/>
  <c r="J187" i="35"/>
  <c r="I165" i="35"/>
  <c r="D54" i="9" s="1"/>
  <c r="H505" i="36"/>
  <c r="C75" i="9" s="1"/>
  <c r="J131" i="35"/>
  <c r="H165" i="35"/>
  <c r="C54" i="9" s="1"/>
  <c r="J140" i="58"/>
  <c r="J144" i="58" s="1"/>
  <c r="E101" i="9" s="1"/>
  <c r="H144" i="58"/>
  <c r="C101" i="9" s="1"/>
  <c r="J232" i="35"/>
  <c r="J235" i="35" s="1"/>
  <c r="H235" i="35"/>
  <c r="J132" i="35"/>
  <c r="J185" i="35"/>
  <c r="H195" i="35"/>
  <c r="C55" i="9" s="1"/>
  <c r="I235" i="35"/>
  <c r="I195" i="35"/>
  <c r="D55" i="9" s="1"/>
  <c r="H240" i="58" l="1"/>
  <c r="I240" i="58"/>
  <c r="J195" i="35"/>
  <c r="E55" i="9" s="1"/>
  <c r="C102" i="9"/>
  <c r="C106" i="9" s="1"/>
  <c r="E66" i="9"/>
  <c r="J176" i="58"/>
  <c r="J165" i="35"/>
  <c r="E54" i="9" s="1"/>
  <c r="C66" i="9"/>
  <c r="C70" i="9" s="1"/>
  <c r="H298" i="35"/>
  <c r="D66" i="9"/>
  <c r="D70" i="9" s="1"/>
  <c r="I298" i="35"/>
  <c r="G915" i="36"/>
  <c r="I915" i="36" s="1"/>
  <c r="H915" i="36"/>
  <c r="E70" i="9" l="1"/>
  <c r="J298" i="35"/>
  <c r="E102" i="9"/>
  <c r="E106" i="9" s="1"/>
  <c r="J240" i="58"/>
  <c r="J915" i="36"/>
  <c r="F919" i="36"/>
  <c r="G919" i="36" l="1"/>
  <c r="I919" i="36" s="1"/>
  <c r="I964" i="36" s="1"/>
  <c r="H919" i="36"/>
  <c r="J919" i="36" l="1"/>
  <c r="J964" i="36" s="1"/>
  <c r="H964" i="36"/>
  <c r="D92" i="9"/>
  <c r="D96" i="9" s="1"/>
  <c r="I1007" i="36"/>
  <c r="C92" i="9" l="1"/>
  <c r="C96" i="9" s="1"/>
  <c r="H1007" i="36"/>
  <c r="E92" i="9"/>
  <c r="E96" i="9" s="1"/>
  <c r="J1007" i="36"/>
  <c r="D175" i="53" l="1"/>
  <c r="G14" i="50" l="1"/>
  <c r="H14" i="50"/>
  <c r="I14" i="50" l="1"/>
  <c r="I262" i="31"/>
  <c r="H262" i="31"/>
  <c r="I261" i="31"/>
  <c r="H261" i="31"/>
  <c r="I257" i="31"/>
  <c r="H257" i="31"/>
  <c r="I256" i="31"/>
  <c r="H256" i="31"/>
  <c r="I255" i="31"/>
  <c r="H255" i="31"/>
  <c r="I254" i="31"/>
  <c r="H254" i="31"/>
  <c r="J254" i="31" l="1"/>
  <c r="J262" i="31"/>
  <c r="J255" i="31"/>
  <c r="J261" i="31"/>
  <c r="J257" i="31"/>
  <c r="J256" i="31"/>
  <c r="U93" i="56" l="1"/>
  <c r="C704" i="53" l="1"/>
  <c r="D33" i="53" l="1"/>
  <c r="D41" i="53"/>
  <c r="D42" i="53" s="1"/>
  <c r="D43" i="53"/>
  <c r="D46" i="53"/>
  <c r="D50" i="53"/>
  <c r="D51" i="53"/>
  <c r="D52" i="53" s="1"/>
  <c r="D53" i="53"/>
  <c r="D54" i="53"/>
  <c r="D60" i="53"/>
  <c r="D72" i="53"/>
  <c r="D78" i="53"/>
  <c r="D79" i="53"/>
  <c r="D80" i="53" s="1"/>
  <c r="D81" i="53"/>
  <c r="D82" i="53"/>
  <c r="D88" i="53"/>
  <c r="D93" i="53"/>
  <c r="D94" i="53"/>
  <c r="D95" i="53" s="1"/>
  <c r="D103" i="53"/>
  <c r="D104" i="53"/>
  <c r="D108" i="53"/>
  <c r="D113" i="53"/>
  <c r="D114" i="53"/>
  <c r="D115" i="53" s="1"/>
  <c r="D116" i="53"/>
  <c r="D117" i="53"/>
  <c r="D123" i="53"/>
  <c r="D136" i="53"/>
  <c r="D137" i="53"/>
  <c r="D138" i="53" s="1"/>
  <c r="D139" i="53"/>
  <c r="D140" i="53"/>
  <c r="D146" i="53"/>
  <c r="D152" i="53"/>
  <c r="D153" i="53"/>
  <c r="D154" i="53" s="1"/>
  <c r="D155" i="53"/>
  <c r="D163" i="53"/>
  <c r="D169" i="53"/>
  <c r="D176" i="53"/>
  <c r="D180" i="53"/>
  <c r="D181" i="53"/>
  <c r="D182" i="53" s="1"/>
  <c r="D191" i="53"/>
  <c r="D209" i="53"/>
  <c r="D221" i="53"/>
  <c r="D244" i="53"/>
  <c r="D258" i="53"/>
  <c r="D279" i="53"/>
  <c r="D300" i="53"/>
  <c r="D314" i="53"/>
  <c r="I314" i="53" s="1"/>
  <c r="D335" i="53"/>
  <c r="D349" i="53"/>
  <c r="D370" i="53"/>
  <c r="D388" i="53"/>
  <c r="D410" i="53"/>
  <c r="D436" i="53"/>
  <c r="D452" i="53"/>
  <c r="D472" i="53"/>
  <c r="D487" i="53"/>
  <c r="D508" i="53"/>
  <c r="D533" i="53"/>
  <c r="D547" i="53"/>
  <c r="D586" i="53"/>
  <c r="D607" i="53"/>
  <c r="D632" i="53"/>
  <c r="D648" i="53"/>
  <c r="D669" i="53"/>
  <c r="D685" i="53"/>
  <c r="D706" i="53"/>
  <c r="D720" i="53"/>
  <c r="D741" i="53"/>
  <c r="D760" i="53"/>
  <c r="D785" i="53"/>
  <c r="D806" i="53"/>
  <c r="D824" i="53"/>
  <c r="D847" i="53"/>
  <c r="D867" i="53"/>
  <c r="D881" i="53"/>
  <c r="D902" i="53"/>
  <c r="D916" i="53"/>
  <c r="D937" i="53"/>
  <c r="D958" i="53"/>
  <c r="D976" i="53"/>
  <c r="D998" i="53"/>
  <c r="D1016" i="53"/>
  <c r="D1039" i="53"/>
  <c r="D1059" i="53"/>
  <c r="D1075" i="53"/>
  <c r="D1096" i="53"/>
  <c r="D1117" i="53"/>
  <c r="D1131" i="53"/>
  <c r="D1152" i="53"/>
  <c r="D1170" i="53"/>
  <c r="D1191" i="53"/>
  <c r="D1216" i="53"/>
  <c r="D1232" i="53"/>
  <c r="D1252" i="53"/>
  <c r="D1268" i="53"/>
  <c r="D1289" i="53"/>
  <c r="D1310" i="53"/>
  <c r="D1324" i="53"/>
  <c r="D1345" i="53"/>
  <c r="D1363" i="53"/>
  <c r="D1384" i="53"/>
  <c r="D1409" i="53"/>
  <c r="D1425" i="53"/>
  <c r="D1445" i="53"/>
  <c r="D1468" i="53"/>
  <c r="D1482" i="53"/>
  <c r="D1503" i="53"/>
  <c r="D1517" i="53"/>
  <c r="D1538" i="53"/>
  <c r="D1563" i="53"/>
  <c r="D1577" i="53"/>
  <c r="D1602" i="53"/>
  <c r="D1625" i="53"/>
  <c r="D1638" i="53"/>
  <c r="D1661" i="53"/>
  <c r="A1" i="58" l="1"/>
  <c r="C6" i="58"/>
  <c r="C5" i="58"/>
  <c r="C4" i="58"/>
  <c r="C3" i="58"/>
  <c r="C6" i="36" l="1"/>
  <c r="C5" i="36"/>
  <c r="C4" i="36"/>
  <c r="C3" i="36"/>
  <c r="A1" i="36"/>
  <c r="C6" i="35"/>
  <c r="C5" i="35"/>
  <c r="C4" i="35"/>
  <c r="C3" i="35"/>
  <c r="A1" i="35"/>
  <c r="I278" i="31" l="1"/>
  <c r="H278" i="31"/>
  <c r="I279" i="31"/>
  <c r="H279" i="31"/>
  <c r="I277" i="31"/>
  <c r="H277" i="31"/>
  <c r="I276" i="31"/>
  <c r="H276" i="31"/>
  <c r="I275" i="31"/>
  <c r="H275" i="31"/>
  <c r="I274" i="31"/>
  <c r="H274" i="31"/>
  <c r="J278" i="31" l="1"/>
  <c r="J274" i="31"/>
  <c r="J276" i="31"/>
  <c r="J279" i="31"/>
  <c r="J275" i="31"/>
  <c r="J277" i="31"/>
  <c r="I264" i="31"/>
  <c r="H264" i="31"/>
  <c r="I263" i="31"/>
  <c r="H263" i="31"/>
  <c r="I259" i="31"/>
  <c r="H259" i="31"/>
  <c r="I258" i="31"/>
  <c r="H258" i="31"/>
  <c r="B14" i="41"/>
  <c r="B13" i="41"/>
  <c r="I252" i="31"/>
  <c r="H252" i="31"/>
  <c r="I253" i="31"/>
  <c r="H253" i="31"/>
  <c r="H281" i="31" l="1"/>
  <c r="J259" i="31"/>
  <c r="J264" i="31"/>
  <c r="J263" i="31"/>
  <c r="J258" i="31"/>
  <c r="J252" i="31"/>
  <c r="I281" i="31"/>
  <c r="J253" i="31"/>
  <c r="J281" i="31" l="1"/>
  <c r="C14" i="41" s="1"/>
  <c r="E14" i="41" s="1"/>
  <c r="I1647" i="53" l="1"/>
  <c r="H1647" i="53"/>
  <c r="I1645" i="53"/>
  <c r="H1645" i="53"/>
  <c r="I1261" i="53"/>
  <c r="H1261" i="53"/>
  <c r="I1259" i="53"/>
  <c r="H1259" i="53"/>
  <c r="H29" i="53"/>
  <c r="I29" i="53"/>
  <c r="B24" i="9"/>
  <c r="B23" i="9"/>
  <c r="J1261" i="53" l="1"/>
  <c r="J29" i="53"/>
  <c r="J1647" i="53"/>
  <c r="J1259" i="53"/>
  <c r="J1645" i="53"/>
  <c r="H2221" i="53" l="1"/>
  <c r="I1907" i="53"/>
  <c r="H1907" i="53"/>
  <c r="I1910" i="53"/>
  <c r="H1910" i="53"/>
  <c r="I752" i="53"/>
  <c r="H752" i="53"/>
  <c r="I754" i="53"/>
  <c r="H754" i="53"/>
  <c r="I383" i="53"/>
  <c r="H383" i="53"/>
  <c r="I382" i="53"/>
  <c r="H382" i="53"/>
  <c r="I2184" i="53"/>
  <c r="H2184" i="53"/>
  <c r="I2183" i="53"/>
  <c r="H2183" i="53"/>
  <c r="I2066" i="53"/>
  <c r="H2066" i="53"/>
  <c r="I2065" i="53"/>
  <c r="H2065" i="53"/>
  <c r="I1936" i="53"/>
  <c r="H1936" i="53"/>
  <c r="I1935" i="53"/>
  <c r="H1935" i="53"/>
  <c r="I1744" i="53"/>
  <c r="H1744" i="53"/>
  <c r="I1743" i="53"/>
  <c r="H1743" i="53"/>
  <c r="I1551" i="53"/>
  <c r="H1551" i="53"/>
  <c r="I1550" i="53"/>
  <c r="H1550" i="53"/>
  <c r="I1358" i="53"/>
  <c r="H1358" i="53"/>
  <c r="I1357" i="53"/>
  <c r="H1357" i="53"/>
  <c r="I1165" i="53"/>
  <c r="H1165" i="53"/>
  <c r="I1164" i="53"/>
  <c r="H1164" i="53"/>
  <c r="I971" i="53"/>
  <c r="H971" i="53"/>
  <c r="I970" i="53"/>
  <c r="H970" i="53"/>
  <c r="I780" i="53"/>
  <c r="H780" i="53"/>
  <c r="I779" i="53"/>
  <c r="H779" i="53"/>
  <c r="I581" i="53"/>
  <c r="H581" i="53"/>
  <c r="I580" i="53"/>
  <c r="H580" i="53"/>
  <c r="I2182" i="53"/>
  <c r="H2182" i="53"/>
  <c r="D110" i="27"/>
  <c r="H110" i="27" l="1"/>
  <c r="I110" i="27"/>
  <c r="J1550" i="53"/>
  <c r="J1935" i="53"/>
  <c r="J2182" i="53"/>
  <c r="J1357" i="53"/>
  <c r="J2065" i="53"/>
  <c r="H51" i="56"/>
  <c r="J2184" i="53"/>
  <c r="J754" i="53"/>
  <c r="J752" i="53"/>
  <c r="I2221" i="53"/>
  <c r="J2221" i="53" s="1"/>
  <c r="J779" i="53"/>
  <c r="J1907" i="53"/>
  <c r="J1910" i="53"/>
  <c r="J382" i="53"/>
  <c r="J383" i="53"/>
  <c r="J2183" i="53"/>
  <c r="J2066" i="53"/>
  <c r="J1936" i="53"/>
  <c r="J1743" i="53"/>
  <c r="J1744" i="53"/>
  <c r="J1164" i="53"/>
  <c r="J1551" i="53"/>
  <c r="J970" i="53"/>
  <c r="J1358" i="53"/>
  <c r="J1165" i="53"/>
  <c r="J971" i="53"/>
  <c r="J780" i="53"/>
  <c r="J580" i="53"/>
  <c r="J581" i="53"/>
  <c r="J110" i="27" l="1"/>
  <c r="I51" i="56"/>
  <c r="D12" i="42" s="1"/>
  <c r="D14" i="42" s="1"/>
  <c r="D15" i="42" s="1"/>
  <c r="D131" i="9"/>
  <c r="C131" i="9" l="1"/>
  <c r="D204" i="53" l="1"/>
  <c r="I204" i="53" s="1"/>
  <c r="I203" i="53"/>
  <c r="H203" i="53"/>
  <c r="D194" i="53"/>
  <c r="I194" i="53" s="1"/>
  <c r="D192" i="53"/>
  <c r="D193" i="53" s="1"/>
  <c r="H191" i="53"/>
  <c r="I189" i="53"/>
  <c r="H189" i="53"/>
  <c r="J189" i="53" l="1"/>
  <c r="J203" i="53"/>
  <c r="I193" i="53"/>
  <c r="H193" i="53"/>
  <c r="H194" i="53"/>
  <c r="J194" i="53" s="1"/>
  <c r="I191" i="53"/>
  <c r="J191" i="53" s="1"/>
  <c r="H192" i="53"/>
  <c r="I192" i="53"/>
  <c r="H204" i="53"/>
  <c r="J204" i="53" s="1"/>
  <c r="J193" i="53" l="1"/>
  <c r="J192" i="53"/>
  <c r="D186" i="53" l="1"/>
  <c r="D323" i="53" l="1"/>
  <c r="I323" i="53" s="1"/>
  <c r="I322" i="53"/>
  <c r="H322" i="53"/>
  <c r="I321" i="53"/>
  <c r="H321" i="53"/>
  <c r="I320" i="53"/>
  <c r="H320" i="53"/>
  <c r="D318" i="53"/>
  <c r="I318" i="53" s="1"/>
  <c r="D317" i="53"/>
  <c r="I317" i="53" s="1"/>
  <c r="D315" i="53"/>
  <c r="D316" i="53" s="1"/>
  <c r="I312" i="53"/>
  <c r="H312" i="53"/>
  <c r="D309" i="53"/>
  <c r="I309" i="53" s="1"/>
  <c r="I308" i="53"/>
  <c r="H308" i="53"/>
  <c r="I307" i="53"/>
  <c r="H307" i="53"/>
  <c r="I306" i="53"/>
  <c r="H306" i="53"/>
  <c r="D304" i="53"/>
  <c r="I304" i="53" s="1"/>
  <c r="D303" i="53"/>
  <c r="I303" i="53" s="1"/>
  <c r="D301" i="53"/>
  <c r="D302" i="53" s="1"/>
  <c r="I300" i="53"/>
  <c r="I291" i="53"/>
  <c r="H291" i="53"/>
  <c r="D288" i="53"/>
  <c r="I288" i="53" s="1"/>
  <c r="I287" i="53"/>
  <c r="H287" i="53"/>
  <c r="I286" i="53"/>
  <c r="H286" i="53"/>
  <c r="I285" i="53"/>
  <c r="H285" i="53"/>
  <c r="D283" i="53"/>
  <c r="I283" i="53" s="1"/>
  <c r="D282" i="53"/>
  <c r="I282" i="53" s="1"/>
  <c r="D280" i="53"/>
  <c r="D281" i="53" s="1"/>
  <c r="I279" i="53"/>
  <c r="I277" i="53"/>
  <c r="H277" i="53"/>
  <c r="D2031" i="53"/>
  <c r="D1848" i="53"/>
  <c r="I1848" i="53" s="1"/>
  <c r="I1847" i="53"/>
  <c r="H1847" i="53"/>
  <c r="I1846" i="53"/>
  <c r="H1846" i="53"/>
  <c r="I1845" i="53"/>
  <c r="H1845" i="53"/>
  <c r="I1844" i="53"/>
  <c r="H1844" i="53"/>
  <c r="D1455" i="53"/>
  <c r="I1455" i="53" s="1"/>
  <c r="I1454" i="53"/>
  <c r="H1454" i="53"/>
  <c r="I1453" i="53"/>
  <c r="H1453" i="53"/>
  <c r="I1452" i="53"/>
  <c r="H1452" i="53"/>
  <c r="I1451" i="53"/>
  <c r="H1451" i="53"/>
  <c r="I1066" i="53"/>
  <c r="H1066" i="53"/>
  <c r="D1069" i="53"/>
  <c r="D875" i="53"/>
  <c r="D679" i="53"/>
  <c r="I676" i="53"/>
  <c r="H676" i="53"/>
  <c r="D2159" i="53"/>
  <c r="J1847" i="53" l="1"/>
  <c r="J322" i="53"/>
  <c r="J306" i="53"/>
  <c r="J277" i="53"/>
  <c r="J312" i="53"/>
  <c r="J308" i="53"/>
  <c r="J321" i="53"/>
  <c r="J286" i="53"/>
  <c r="J291" i="53"/>
  <c r="J320" i="53"/>
  <c r="H300" i="53"/>
  <c r="J300" i="53" s="1"/>
  <c r="J307" i="53"/>
  <c r="H316" i="53"/>
  <c r="I316" i="53"/>
  <c r="J285" i="53"/>
  <c r="H303" i="53"/>
  <c r="J303" i="53" s="1"/>
  <c r="H314" i="53"/>
  <c r="J314" i="53" s="1"/>
  <c r="H317" i="53"/>
  <c r="J317" i="53" s="1"/>
  <c r="H315" i="53"/>
  <c r="H318" i="53"/>
  <c r="J318" i="53" s="1"/>
  <c r="I315" i="53"/>
  <c r="H323" i="53"/>
  <c r="J323" i="53" s="1"/>
  <c r="H279" i="53"/>
  <c r="J279" i="53" s="1"/>
  <c r="H302" i="53"/>
  <c r="I302" i="53"/>
  <c r="H282" i="53"/>
  <c r="J282" i="53" s="1"/>
  <c r="H301" i="53"/>
  <c r="H304" i="53"/>
  <c r="J304" i="53" s="1"/>
  <c r="J676" i="53"/>
  <c r="J1453" i="53"/>
  <c r="J287" i="53"/>
  <c r="I301" i="53"/>
  <c r="H309" i="53"/>
  <c r="J309" i="53" s="1"/>
  <c r="I281" i="53"/>
  <c r="H281" i="53"/>
  <c r="H280" i="53"/>
  <c r="H283" i="53"/>
  <c r="J283" i="53" s="1"/>
  <c r="I280" i="53"/>
  <c r="H288" i="53"/>
  <c r="J288" i="53" s="1"/>
  <c r="J1451" i="53"/>
  <c r="J1845" i="53"/>
  <c r="J1844" i="53"/>
  <c r="J1452" i="53"/>
  <c r="J1846" i="53"/>
  <c r="J1454" i="53"/>
  <c r="H1848" i="53"/>
  <c r="J1848" i="53" s="1"/>
  <c r="J1066" i="53"/>
  <c r="H1455" i="53"/>
  <c r="J1455" i="53" s="1"/>
  <c r="I46" i="53"/>
  <c r="I45" i="53"/>
  <c r="H45" i="53"/>
  <c r="I43" i="53"/>
  <c r="I41" i="53"/>
  <c r="I33" i="53"/>
  <c r="I31" i="53"/>
  <c r="H31" i="53"/>
  <c r="I62" i="53"/>
  <c r="H62" i="53"/>
  <c r="I147" i="53"/>
  <c r="H147" i="53"/>
  <c r="I124" i="53"/>
  <c r="H124" i="53"/>
  <c r="J302" i="53" l="1"/>
  <c r="J315" i="53"/>
  <c r="J316" i="53"/>
  <c r="J301" i="53"/>
  <c r="J281" i="53"/>
  <c r="J280" i="53"/>
  <c r="J31" i="53"/>
  <c r="J62" i="53"/>
  <c r="J147" i="53"/>
  <c r="J45" i="53"/>
  <c r="I42" i="53"/>
  <c r="H33" i="53"/>
  <c r="J33" i="53" s="1"/>
  <c r="H43" i="53"/>
  <c r="J43" i="53" s="1"/>
  <c r="H41" i="53"/>
  <c r="J41" i="53" s="1"/>
  <c r="H46" i="53"/>
  <c r="J46" i="53" s="1"/>
  <c r="J124" i="53"/>
  <c r="B15" i="40"/>
  <c r="B14" i="40"/>
  <c r="B13" i="40"/>
  <c r="H42" i="53" l="1"/>
  <c r="J42" i="53" s="1"/>
  <c r="D130" i="9" l="1"/>
  <c r="C130" i="9"/>
  <c r="C14" i="40"/>
  <c r="D14" i="40"/>
  <c r="E130" i="9" l="1"/>
  <c r="E14" i="40"/>
  <c r="D2233" i="53"/>
  <c r="C129" i="9" l="1"/>
  <c r="D129" i="9"/>
  <c r="D13" i="40" l="1"/>
  <c r="C13" i="40"/>
  <c r="E129" i="9" s="1"/>
  <c r="E13" i="40" l="1"/>
  <c r="B48" i="9" l="1"/>
  <c r="B47" i="9"/>
  <c r="B46" i="9"/>
  <c r="B45" i="9"/>
  <c r="I2103" i="53"/>
  <c r="H2103" i="53"/>
  <c r="G2222" i="53"/>
  <c r="I2214" i="53"/>
  <c r="H2214" i="53"/>
  <c r="J2103" i="53" l="1"/>
  <c r="J2214" i="53"/>
  <c r="I2222" i="53"/>
  <c r="J2222" i="53" s="1"/>
  <c r="B12" i="41"/>
  <c r="I217" i="31" l="1"/>
  <c r="H217" i="31"/>
  <c r="J217" i="31" l="1"/>
  <c r="I2181" i="53"/>
  <c r="H2181" i="53"/>
  <c r="I2064" i="53"/>
  <c r="H2064" i="53"/>
  <c r="I2063" i="53"/>
  <c r="H2063" i="53"/>
  <c r="I1934" i="53"/>
  <c r="H1934" i="53"/>
  <c r="I1933" i="53"/>
  <c r="H1933" i="53"/>
  <c r="I1742" i="53"/>
  <c r="H1742" i="53"/>
  <c r="I1741" i="53"/>
  <c r="H1741" i="53"/>
  <c r="I1549" i="53"/>
  <c r="H1549" i="53"/>
  <c r="I1548" i="53"/>
  <c r="H1548" i="53"/>
  <c r="I1356" i="53"/>
  <c r="H1356" i="53"/>
  <c r="I1355" i="53"/>
  <c r="H1355" i="53"/>
  <c r="I1163" i="53"/>
  <c r="H1163" i="53"/>
  <c r="I1162" i="53"/>
  <c r="H1162" i="53"/>
  <c r="I969" i="53"/>
  <c r="H969" i="53"/>
  <c r="I968" i="53"/>
  <c r="H968" i="53"/>
  <c r="I778" i="53"/>
  <c r="H778" i="53"/>
  <c r="I777" i="53"/>
  <c r="H777" i="53"/>
  <c r="I579" i="53"/>
  <c r="H579" i="53"/>
  <c r="I578" i="53"/>
  <c r="H578" i="53"/>
  <c r="I381" i="53"/>
  <c r="H381" i="53"/>
  <c r="J1934" i="53" l="1"/>
  <c r="J1548" i="53"/>
  <c r="J2063" i="53"/>
  <c r="J2181" i="53"/>
  <c r="J968" i="53"/>
  <c r="J2064" i="53"/>
  <c r="J1355" i="53"/>
  <c r="J1933" i="53"/>
  <c r="J578" i="53"/>
  <c r="J1162" i="53"/>
  <c r="J1741" i="53"/>
  <c r="J777" i="53"/>
  <c r="J1742" i="53"/>
  <c r="J1549" i="53"/>
  <c r="J579" i="53"/>
  <c r="J1356" i="53"/>
  <c r="J1163" i="53"/>
  <c r="J969" i="53"/>
  <c r="J778" i="53"/>
  <c r="J381" i="53"/>
  <c r="D481" i="53" l="1"/>
  <c r="I480" i="53"/>
  <c r="H480" i="53"/>
  <c r="I479" i="53"/>
  <c r="H479" i="53"/>
  <c r="I478" i="53"/>
  <c r="H478" i="53"/>
  <c r="J480" i="53" l="1"/>
  <c r="J479" i="53"/>
  <c r="J478" i="53"/>
  <c r="D2125" i="53" l="1"/>
  <c r="I2125" i="53" s="1"/>
  <c r="I2124" i="53"/>
  <c r="H2124" i="53"/>
  <c r="I60" i="53"/>
  <c r="I59" i="53"/>
  <c r="H59" i="53"/>
  <c r="I58" i="53"/>
  <c r="H58" i="53"/>
  <c r="I57" i="53"/>
  <c r="H57" i="53"/>
  <c r="I56" i="53"/>
  <c r="H56" i="53"/>
  <c r="J2124" i="53" l="1"/>
  <c r="J57" i="53"/>
  <c r="H2125" i="53"/>
  <c r="J2125" i="53" s="1"/>
  <c r="J56" i="53"/>
  <c r="J59" i="53"/>
  <c r="H60" i="53"/>
  <c r="J60" i="53" s="1"/>
  <c r="J58" i="53"/>
  <c r="D231" i="53"/>
  <c r="D1726" i="53"/>
  <c r="I1726" i="53" s="1"/>
  <c r="I1725" i="53"/>
  <c r="H1725" i="53"/>
  <c r="I1724" i="53"/>
  <c r="H1724" i="53"/>
  <c r="I1723" i="53"/>
  <c r="H1723" i="53"/>
  <c r="D1721" i="53"/>
  <c r="I1721" i="53" s="1"/>
  <c r="D1713" i="53"/>
  <c r="I1713" i="53" s="1"/>
  <c r="D1711" i="53"/>
  <c r="D1712" i="53" s="1"/>
  <c r="D1710" i="53"/>
  <c r="I1710" i="53" s="1"/>
  <c r="I1708" i="53"/>
  <c r="H1708" i="53"/>
  <c r="D1533" i="53"/>
  <c r="I1533" i="53" s="1"/>
  <c r="I1532" i="53"/>
  <c r="H1532" i="53"/>
  <c r="I1531" i="53"/>
  <c r="H1531" i="53"/>
  <c r="I1530" i="53"/>
  <c r="H1530" i="53"/>
  <c r="D1521" i="53"/>
  <c r="I1521" i="53" s="1"/>
  <c r="D1520" i="53"/>
  <c r="I1520" i="53" s="1"/>
  <c r="D1518" i="53"/>
  <c r="D1519" i="53" s="1"/>
  <c r="I1517" i="53"/>
  <c r="I1515" i="53"/>
  <c r="H1515" i="53"/>
  <c r="D1333" i="53"/>
  <c r="I1333" i="53" s="1"/>
  <c r="I1332" i="53"/>
  <c r="H1332" i="53"/>
  <c r="I1331" i="53"/>
  <c r="H1331" i="53"/>
  <c r="I1330" i="53"/>
  <c r="H1330" i="53"/>
  <c r="D1328" i="53"/>
  <c r="I1328" i="53" s="1"/>
  <c r="D1327" i="53"/>
  <c r="I1327" i="53" s="1"/>
  <c r="D1325" i="53"/>
  <c r="D1326" i="53" s="1"/>
  <c r="I1324" i="53"/>
  <c r="I1322" i="53"/>
  <c r="H1322" i="53"/>
  <c r="D1147" i="53"/>
  <c r="I1147" i="53" s="1"/>
  <c r="I1139" i="53"/>
  <c r="H1139" i="53"/>
  <c r="I1138" i="53"/>
  <c r="H1138" i="53"/>
  <c r="I1137" i="53"/>
  <c r="H1137" i="53"/>
  <c r="D1135" i="53"/>
  <c r="I1135" i="53" s="1"/>
  <c r="D1134" i="53"/>
  <c r="I1134" i="53" s="1"/>
  <c r="D1132" i="53"/>
  <c r="D1133" i="53" s="1"/>
  <c r="I1131" i="53"/>
  <c r="I1129" i="53"/>
  <c r="H1129" i="53"/>
  <c r="D946" i="53"/>
  <c r="I946" i="53" s="1"/>
  <c r="I945" i="53"/>
  <c r="H945" i="53"/>
  <c r="I944" i="53"/>
  <c r="H944" i="53"/>
  <c r="I943" i="53"/>
  <c r="H943" i="53"/>
  <c r="D941" i="53"/>
  <c r="I941" i="53" s="1"/>
  <c r="D940" i="53"/>
  <c r="I940" i="53" s="1"/>
  <c r="D938" i="53"/>
  <c r="I938" i="53" s="1"/>
  <c r="I937" i="53"/>
  <c r="I935" i="53"/>
  <c r="H935" i="53"/>
  <c r="D750" i="53"/>
  <c r="I750" i="53" s="1"/>
  <c r="I749" i="53"/>
  <c r="H749" i="53"/>
  <c r="I748" i="53"/>
  <c r="H748" i="53"/>
  <c r="I747" i="53"/>
  <c r="H747" i="53"/>
  <c r="D745" i="53"/>
  <c r="I745" i="53" s="1"/>
  <c r="D744" i="53"/>
  <c r="H744" i="53" s="1"/>
  <c r="D742" i="53"/>
  <c r="D743" i="53" s="1"/>
  <c r="H741" i="53"/>
  <c r="I739" i="53"/>
  <c r="H739" i="53"/>
  <c r="D556" i="53"/>
  <c r="I556" i="53" s="1"/>
  <c r="I555" i="53"/>
  <c r="H555" i="53"/>
  <c r="I554" i="53"/>
  <c r="H554" i="53"/>
  <c r="I553" i="53"/>
  <c r="H553" i="53"/>
  <c r="D551" i="53"/>
  <c r="I551" i="53" s="1"/>
  <c r="D550" i="53"/>
  <c r="H550" i="53" s="1"/>
  <c r="D548" i="53"/>
  <c r="D549" i="53" s="1"/>
  <c r="I547" i="53"/>
  <c r="I545" i="53"/>
  <c r="H545" i="53"/>
  <c r="J944" i="53" l="1"/>
  <c r="J1330" i="53"/>
  <c r="J1532" i="53"/>
  <c r="J1332" i="53"/>
  <c r="J1515" i="53"/>
  <c r="J1723" i="53"/>
  <c r="J1724" i="53"/>
  <c r="J1530" i="53"/>
  <c r="J555" i="53"/>
  <c r="J747" i="53"/>
  <c r="J1129" i="53"/>
  <c r="J1322" i="53"/>
  <c r="J1331" i="53"/>
  <c r="J1725" i="53"/>
  <c r="J1708" i="53"/>
  <c r="I1711" i="53"/>
  <c r="J1531" i="53"/>
  <c r="I1712" i="53"/>
  <c r="H1712" i="53"/>
  <c r="H1710" i="53"/>
  <c r="J1710" i="53" s="1"/>
  <c r="H1713" i="53"/>
  <c r="J1713" i="53" s="1"/>
  <c r="J739" i="53"/>
  <c r="J1139" i="53"/>
  <c r="H1711" i="53"/>
  <c r="H1721" i="53"/>
  <c r="J1721" i="53" s="1"/>
  <c r="H1726" i="53"/>
  <c r="J1726" i="53" s="1"/>
  <c r="I1519" i="53"/>
  <c r="H1519" i="53"/>
  <c r="J943" i="53"/>
  <c r="H1517" i="53"/>
  <c r="J1517" i="53" s="1"/>
  <c r="H1520" i="53"/>
  <c r="J1520" i="53" s="1"/>
  <c r="J945" i="53"/>
  <c r="H1518" i="53"/>
  <c r="H1521" i="53"/>
  <c r="J1521" i="53" s="1"/>
  <c r="J1137" i="53"/>
  <c r="I1518" i="53"/>
  <c r="J1138" i="53"/>
  <c r="H1533" i="53"/>
  <c r="J1533" i="53" s="1"/>
  <c r="J749" i="53"/>
  <c r="I1326" i="53"/>
  <c r="H1326" i="53"/>
  <c r="H1324" i="53"/>
  <c r="J1324" i="53" s="1"/>
  <c r="H1327" i="53"/>
  <c r="J1327" i="53" s="1"/>
  <c r="H1325" i="53"/>
  <c r="H1328" i="53"/>
  <c r="J1328" i="53" s="1"/>
  <c r="I1325" i="53"/>
  <c r="J935" i="53"/>
  <c r="H1333" i="53"/>
  <c r="J1333" i="53" s="1"/>
  <c r="I1133" i="53"/>
  <c r="H1133" i="53"/>
  <c r="H1131" i="53"/>
  <c r="J1131" i="53" s="1"/>
  <c r="H1134" i="53"/>
  <c r="J1134" i="53" s="1"/>
  <c r="H1132" i="53"/>
  <c r="H1135" i="53"/>
  <c r="J1135" i="53" s="1"/>
  <c r="D939" i="53"/>
  <c r="I939" i="53" s="1"/>
  <c r="I1132" i="53"/>
  <c r="H1147" i="53"/>
  <c r="J1147" i="53" s="1"/>
  <c r="J553" i="53"/>
  <c r="J748" i="53"/>
  <c r="H937" i="53"/>
  <c r="J937" i="53" s="1"/>
  <c r="H940" i="53"/>
  <c r="J940" i="53" s="1"/>
  <c r="H938" i="53"/>
  <c r="J938" i="53" s="1"/>
  <c r="H941" i="53"/>
  <c r="J941" i="53" s="1"/>
  <c r="J545" i="53"/>
  <c r="J554" i="53"/>
  <c r="H946" i="53"/>
  <c r="J946" i="53" s="1"/>
  <c r="I743" i="53"/>
  <c r="H743" i="53"/>
  <c r="I741" i="53"/>
  <c r="J741" i="53" s="1"/>
  <c r="I744" i="53"/>
  <c r="J744" i="53" s="1"/>
  <c r="H742" i="53"/>
  <c r="H745" i="53"/>
  <c r="J745" i="53" s="1"/>
  <c r="I742" i="53"/>
  <c r="H750" i="53"/>
  <c r="J750" i="53" s="1"/>
  <c r="I549" i="53"/>
  <c r="H549" i="53"/>
  <c r="I550" i="53"/>
  <c r="J550" i="53" s="1"/>
  <c r="H547" i="53"/>
  <c r="J547" i="53" s="1"/>
  <c r="H548" i="53"/>
  <c r="H551" i="53"/>
  <c r="J551" i="53" s="1"/>
  <c r="I548" i="53"/>
  <c r="H556" i="53"/>
  <c r="J556" i="53" s="1"/>
  <c r="D1905" i="53"/>
  <c r="I1905" i="53" s="1"/>
  <c r="I1904" i="53"/>
  <c r="H1904" i="53"/>
  <c r="I1903" i="53"/>
  <c r="H1903" i="53"/>
  <c r="I1902" i="53"/>
  <c r="H1902" i="53"/>
  <c r="D1893" i="53"/>
  <c r="I1893" i="53" s="1"/>
  <c r="D1892" i="53"/>
  <c r="I1892" i="53" s="1"/>
  <c r="D1890" i="53"/>
  <c r="D1891" i="53" s="1"/>
  <c r="D1889" i="53"/>
  <c r="I1889" i="53" s="1"/>
  <c r="I1887" i="53"/>
  <c r="H1887" i="53"/>
  <c r="D1705" i="53"/>
  <c r="I1705" i="53" s="1"/>
  <c r="I1704" i="53"/>
  <c r="H1704" i="53"/>
  <c r="I1703" i="53"/>
  <c r="H1703" i="53"/>
  <c r="I1702" i="53"/>
  <c r="H1702" i="53"/>
  <c r="D1700" i="53"/>
  <c r="I1700" i="53" s="1"/>
  <c r="D1699" i="53"/>
  <c r="I1699" i="53" s="1"/>
  <c r="D1697" i="53"/>
  <c r="D1698" i="53" s="1"/>
  <c r="D1696" i="53"/>
  <c r="I1696" i="53" s="1"/>
  <c r="I1694" i="53"/>
  <c r="H1694" i="53"/>
  <c r="D1512" i="53"/>
  <c r="I1512" i="53" s="1"/>
  <c r="I1511" i="53"/>
  <c r="H1511" i="53"/>
  <c r="I1510" i="53"/>
  <c r="H1510" i="53"/>
  <c r="I1509" i="53"/>
  <c r="H1509" i="53"/>
  <c r="D1507" i="53"/>
  <c r="I1507" i="53" s="1"/>
  <c r="D1506" i="53"/>
  <c r="I1506" i="53" s="1"/>
  <c r="D1504" i="53"/>
  <c r="D1505" i="53" s="1"/>
  <c r="I1503" i="53"/>
  <c r="I1501" i="53"/>
  <c r="H1501" i="53"/>
  <c r="D1319" i="53"/>
  <c r="I1319" i="53" s="1"/>
  <c r="I1318" i="53"/>
  <c r="H1318" i="53"/>
  <c r="I1317" i="53"/>
  <c r="H1317" i="53"/>
  <c r="I1316" i="53"/>
  <c r="H1316" i="53"/>
  <c r="D1314" i="53"/>
  <c r="I1314" i="53" s="1"/>
  <c r="D1313" i="53"/>
  <c r="I1313" i="53" s="1"/>
  <c r="D1311" i="53"/>
  <c r="D1312" i="53" s="1"/>
  <c r="I1310" i="53"/>
  <c r="I1301" i="53"/>
  <c r="H1301" i="53"/>
  <c r="D1126" i="53"/>
  <c r="I1126" i="53" s="1"/>
  <c r="I1125" i="53"/>
  <c r="H1125" i="53"/>
  <c r="I1124" i="53"/>
  <c r="H1124" i="53"/>
  <c r="I1123" i="53"/>
  <c r="H1123" i="53"/>
  <c r="D1121" i="53"/>
  <c r="I1121" i="53" s="1"/>
  <c r="D1120" i="53"/>
  <c r="I1120" i="53" s="1"/>
  <c r="D1118" i="53"/>
  <c r="I1118" i="53" s="1"/>
  <c r="I1117" i="53"/>
  <c r="I1108" i="53"/>
  <c r="H1108" i="53"/>
  <c r="D932" i="53"/>
  <c r="I932" i="53" s="1"/>
  <c r="I931" i="53"/>
  <c r="H931" i="53"/>
  <c r="I930" i="53"/>
  <c r="H930" i="53"/>
  <c r="I929" i="53"/>
  <c r="H929" i="53"/>
  <c r="D920" i="53"/>
  <c r="I920" i="53" s="1"/>
  <c r="D919" i="53"/>
  <c r="I919" i="53" s="1"/>
  <c r="D917" i="53"/>
  <c r="D918" i="53" s="1"/>
  <c r="I916" i="53"/>
  <c r="I914" i="53"/>
  <c r="H914" i="53"/>
  <c r="D729" i="53"/>
  <c r="I729" i="53" s="1"/>
  <c r="I728" i="53"/>
  <c r="H728" i="53"/>
  <c r="I727" i="53"/>
  <c r="H727" i="53"/>
  <c r="I726" i="53"/>
  <c r="H726" i="53"/>
  <c r="D724" i="53"/>
  <c r="H724" i="53" s="1"/>
  <c r="D723" i="53"/>
  <c r="I723" i="53" s="1"/>
  <c r="D721" i="53"/>
  <c r="H721" i="53" s="1"/>
  <c r="I720" i="53"/>
  <c r="I718" i="53"/>
  <c r="H718" i="53"/>
  <c r="D542" i="53"/>
  <c r="I542" i="53" s="1"/>
  <c r="I541" i="53"/>
  <c r="H541" i="53"/>
  <c r="I540" i="53"/>
  <c r="H540" i="53"/>
  <c r="I539" i="53"/>
  <c r="H539" i="53"/>
  <c r="D537" i="53"/>
  <c r="I537" i="53" s="1"/>
  <c r="D536" i="53"/>
  <c r="I536" i="53" s="1"/>
  <c r="D534" i="53"/>
  <c r="D535" i="53" s="1"/>
  <c r="H533" i="53"/>
  <c r="I524" i="53"/>
  <c r="H524" i="53"/>
  <c r="J1711" i="53" l="1"/>
  <c r="J1712" i="53"/>
  <c r="J743" i="53"/>
  <c r="J1519" i="53"/>
  <c r="J1326" i="53"/>
  <c r="J1518" i="53"/>
  <c r="H939" i="53"/>
  <c r="J939" i="53" s="1"/>
  <c r="J1325" i="53"/>
  <c r="J1132" i="53"/>
  <c r="J1133" i="53"/>
  <c r="J1887" i="53"/>
  <c r="J1903" i="53"/>
  <c r="J1301" i="53"/>
  <c r="J1317" i="53"/>
  <c r="J742" i="53"/>
  <c r="J1904" i="53"/>
  <c r="J1124" i="53"/>
  <c r="J1902" i="53"/>
  <c r="J548" i="53"/>
  <c r="J1702" i="53"/>
  <c r="J1703" i="53"/>
  <c r="J549" i="53"/>
  <c r="I1891" i="53"/>
  <c r="H1891" i="53"/>
  <c r="J1694" i="53"/>
  <c r="H1889" i="53"/>
  <c r="J1889" i="53" s="1"/>
  <c r="H1892" i="53"/>
  <c r="J1892" i="53" s="1"/>
  <c r="J1704" i="53"/>
  <c r="H1890" i="53"/>
  <c r="H1893" i="53"/>
  <c r="J1893" i="53" s="1"/>
  <c r="J1509" i="53"/>
  <c r="I1890" i="53"/>
  <c r="J1501" i="53"/>
  <c r="J1510" i="53"/>
  <c r="H1905" i="53"/>
  <c r="J1905" i="53" s="1"/>
  <c r="I1698" i="53"/>
  <c r="H1698" i="53"/>
  <c r="H1696" i="53"/>
  <c r="J1696" i="53" s="1"/>
  <c r="H1699" i="53"/>
  <c r="J1699" i="53" s="1"/>
  <c r="J718" i="53"/>
  <c r="J1125" i="53"/>
  <c r="J1511" i="53"/>
  <c r="H1697" i="53"/>
  <c r="H1700" i="53"/>
  <c r="J1700" i="53" s="1"/>
  <c r="J1316" i="53"/>
  <c r="I1697" i="53"/>
  <c r="H1705" i="53"/>
  <c r="J1705" i="53" s="1"/>
  <c r="J540" i="53"/>
  <c r="J931" i="53"/>
  <c r="I1505" i="53"/>
  <c r="H1505" i="53"/>
  <c r="J929" i="53"/>
  <c r="H1503" i="53"/>
  <c r="J1503" i="53" s="1"/>
  <c r="H1506" i="53"/>
  <c r="J1506" i="53" s="1"/>
  <c r="J1318" i="53"/>
  <c r="H1504" i="53"/>
  <c r="H1507" i="53"/>
  <c r="J1507" i="53" s="1"/>
  <c r="J1123" i="53"/>
  <c r="I1504" i="53"/>
  <c r="H1512" i="53"/>
  <c r="J1512" i="53" s="1"/>
  <c r="I1312" i="53"/>
  <c r="H1312" i="53"/>
  <c r="H1310" i="53"/>
  <c r="J1310" i="53" s="1"/>
  <c r="H1313" i="53"/>
  <c r="J1313" i="53" s="1"/>
  <c r="J1108" i="53"/>
  <c r="H1311" i="53"/>
  <c r="H1314" i="53"/>
  <c r="J1314" i="53" s="1"/>
  <c r="D1119" i="53"/>
  <c r="I1119" i="53" s="1"/>
  <c r="I1311" i="53"/>
  <c r="J539" i="53"/>
  <c r="H1319" i="53"/>
  <c r="J1319" i="53" s="1"/>
  <c r="D722" i="53"/>
  <c r="I722" i="53" s="1"/>
  <c r="I721" i="53"/>
  <c r="J721" i="53" s="1"/>
  <c r="J914" i="53"/>
  <c r="J930" i="53"/>
  <c r="H1117" i="53"/>
  <c r="J1117" i="53" s="1"/>
  <c r="H1120" i="53"/>
  <c r="J1120" i="53" s="1"/>
  <c r="H1118" i="53"/>
  <c r="J1118" i="53" s="1"/>
  <c r="H1121" i="53"/>
  <c r="J1121" i="53" s="1"/>
  <c r="J726" i="53"/>
  <c r="J727" i="53"/>
  <c r="H1126" i="53"/>
  <c r="J1126" i="53" s="1"/>
  <c r="I918" i="53"/>
  <c r="H918" i="53"/>
  <c r="H916" i="53"/>
  <c r="J916" i="53" s="1"/>
  <c r="H919" i="53"/>
  <c r="J919" i="53" s="1"/>
  <c r="J728" i="53"/>
  <c r="H917" i="53"/>
  <c r="H920" i="53"/>
  <c r="J920" i="53" s="1"/>
  <c r="J541" i="53"/>
  <c r="I917" i="53"/>
  <c r="I724" i="53"/>
  <c r="J724" i="53" s="1"/>
  <c r="H932" i="53"/>
  <c r="J932" i="53" s="1"/>
  <c r="H720" i="53"/>
  <c r="J720" i="53" s="1"/>
  <c r="H723" i="53"/>
  <c r="J723" i="53" s="1"/>
  <c r="H729" i="53"/>
  <c r="J729" i="53" s="1"/>
  <c r="J524" i="53"/>
  <c r="I535" i="53"/>
  <c r="H535" i="53"/>
  <c r="H536" i="53"/>
  <c r="J536" i="53" s="1"/>
  <c r="I533" i="53"/>
  <c r="J533" i="53" s="1"/>
  <c r="H534" i="53"/>
  <c r="H537" i="53"/>
  <c r="J537" i="53" s="1"/>
  <c r="I534" i="53"/>
  <c r="H542" i="53"/>
  <c r="J542" i="53" s="1"/>
  <c r="D1884" i="53"/>
  <c r="I1884" i="53" s="1"/>
  <c r="I1883" i="53"/>
  <c r="H1883" i="53"/>
  <c r="I1882" i="53"/>
  <c r="H1882" i="53"/>
  <c r="I1881" i="53"/>
  <c r="H1881" i="53"/>
  <c r="D1879" i="53"/>
  <c r="I1879" i="53" s="1"/>
  <c r="D1878" i="53"/>
  <c r="I1878" i="53" s="1"/>
  <c r="D1876" i="53"/>
  <c r="D1877" i="53" s="1"/>
  <c r="D1875" i="53"/>
  <c r="I1875" i="53" s="1"/>
  <c r="I1873" i="53"/>
  <c r="H1873" i="53"/>
  <c r="D1691" i="53"/>
  <c r="I1691" i="53" s="1"/>
  <c r="I1690" i="53"/>
  <c r="H1690" i="53"/>
  <c r="I1689" i="53"/>
  <c r="H1689" i="53"/>
  <c r="I1688" i="53"/>
  <c r="H1688" i="53"/>
  <c r="D1679" i="53"/>
  <c r="I1679" i="53" s="1"/>
  <c r="D1678" i="53"/>
  <c r="I1678" i="53" s="1"/>
  <c r="D1676" i="53"/>
  <c r="I1676" i="53" s="1"/>
  <c r="D1675" i="53"/>
  <c r="I1675" i="53" s="1"/>
  <c r="I1673" i="53"/>
  <c r="H1673" i="53"/>
  <c r="D1491" i="53"/>
  <c r="H1491" i="53" s="1"/>
  <c r="I1490" i="53"/>
  <c r="H1490" i="53"/>
  <c r="I1489" i="53"/>
  <c r="H1489" i="53"/>
  <c r="I1488" i="53"/>
  <c r="H1488" i="53"/>
  <c r="D1486" i="53"/>
  <c r="H1486" i="53" s="1"/>
  <c r="D1485" i="53"/>
  <c r="I1485" i="53" s="1"/>
  <c r="D1483" i="53"/>
  <c r="D1484" i="53" s="1"/>
  <c r="I1482" i="53"/>
  <c r="I1480" i="53"/>
  <c r="H1480" i="53"/>
  <c r="D1298" i="53"/>
  <c r="I1298" i="53" s="1"/>
  <c r="I1297" i="53"/>
  <c r="H1297" i="53"/>
  <c r="I1296" i="53"/>
  <c r="H1296" i="53"/>
  <c r="I1295" i="53"/>
  <c r="H1295" i="53"/>
  <c r="D1293" i="53"/>
  <c r="H1293" i="53" s="1"/>
  <c r="D1292" i="53"/>
  <c r="I1292" i="53" s="1"/>
  <c r="D1290" i="53"/>
  <c r="H1290" i="53" s="1"/>
  <c r="I1289" i="53"/>
  <c r="I1287" i="53"/>
  <c r="H1287" i="53"/>
  <c r="D1105" i="53"/>
  <c r="I1105" i="53" s="1"/>
  <c r="I1104" i="53"/>
  <c r="H1104" i="53"/>
  <c r="I1103" i="53"/>
  <c r="H1103" i="53"/>
  <c r="I1102" i="53"/>
  <c r="H1102" i="53"/>
  <c r="D1100" i="53"/>
  <c r="I1100" i="53" s="1"/>
  <c r="D1099" i="53"/>
  <c r="I1099" i="53" s="1"/>
  <c r="D1097" i="53"/>
  <c r="D1098" i="53" s="1"/>
  <c r="I1096" i="53"/>
  <c r="I1094" i="53"/>
  <c r="H1094" i="53"/>
  <c r="D911" i="53"/>
  <c r="I911" i="53" s="1"/>
  <c r="I910" i="53"/>
  <c r="H910" i="53"/>
  <c r="I909" i="53"/>
  <c r="H909" i="53"/>
  <c r="I908" i="53"/>
  <c r="H908" i="53"/>
  <c r="D906" i="53"/>
  <c r="I906" i="53" s="1"/>
  <c r="D905" i="53"/>
  <c r="I905" i="53" s="1"/>
  <c r="D903" i="53"/>
  <c r="D904" i="53" s="1"/>
  <c r="I902" i="53"/>
  <c r="I900" i="53"/>
  <c r="H900" i="53"/>
  <c r="D715" i="53"/>
  <c r="I715" i="53" s="1"/>
  <c r="I714" i="53"/>
  <c r="H714" i="53"/>
  <c r="I713" i="53"/>
  <c r="H713" i="53"/>
  <c r="I712" i="53"/>
  <c r="H712" i="53"/>
  <c r="D710" i="53"/>
  <c r="I710" i="53" s="1"/>
  <c r="D709" i="53"/>
  <c r="I709" i="53" s="1"/>
  <c r="D707" i="53"/>
  <c r="D708" i="53" s="1"/>
  <c r="I706" i="53"/>
  <c r="I704" i="53"/>
  <c r="H704" i="53"/>
  <c r="D517" i="53"/>
  <c r="I517" i="53" s="1"/>
  <c r="I516" i="53"/>
  <c r="H516" i="53"/>
  <c r="I515" i="53"/>
  <c r="H515" i="53"/>
  <c r="I514" i="53"/>
  <c r="H514" i="53"/>
  <c r="D512" i="53"/>
  <c r="I512" i="53" s="1"/>
  <c r="D511" i="53"/>
  <c r="I511" i="53" s="1"/>
  <c r="D509" i="53"/>
  <c r="D510" i="53" s="1"/>
  <c r="I508" i="53"/>
  <c r="I506" i="53"/>
  <c r="H506" i="53"/>
  <c r="D365" i="53"/>
  <c r="I365" i="53" s="1"/>
  <c r="I364" i="53"/>
  <c r="H364" i="53"/>
  <c r="I363" i="53"/>
  <c r="H363" i="53"/>
  <c r="I362" i="53"/>
  <c r="H362" i="53"/>
  <c r="D353" i="53"/>
  <c r="I353" i="53" s="1"/>
  <c r="D352" i="53"/>
  <c r="I352" i="53" s="1"/>
  <c r="D350" i="53"/>
  <c r="D351" i="53" s="1"/>
  <c r="H349" i="53"/>
  <c r="I347" i="53"/>
  <c r="H347" i="53"/>
  <c r="D344" i="53"/>
  <c r="I344" i="53" s="1"/>
  <c r="I343" i="53"/>
  <c r="H343" i="53"/>
  <c r="I342" i="53"/>
  <c r="H342" i="53"/>
  <c r="I341" i="53"/>
  <c r="H341" i="53"/>
  <c r="D339" i="53"/>
  <c r="I339" i="53" s="1"/>
  <c r="D338" i="53"/>
  <c r="I338" i="53" s="1"/>
  <c r="D336" i="53"/>
  <c r="D337" i="53" s="1"/>
  <c r="I335" i="53"/>
  <c r="I333" i="53"/>
  <c r="H333" i="53"/>
  <c r="H368" i="53"/>
  <c r="I368" i="53"/>
  <c r="D1863" i="53"/>
  <c r="I1863" i="53" s="1"/>
  <c r="I1862" i="53"/>
  <c r="H1862" i="53"/>
  <c r="I1861" i="53"/>
  <c r="H1861" i="53"/>
  <c r="I1860" i="53"/>
  <c r="H1860" i="53"/>
  <c r="D1858" i="53"/>
  <c r="I1858" i="53" s="1"/>
  <c r="D1857" i="53"/>
  <c r="I1857" i="53" s="1"/>
  <c r="D1855" i="53"/>
  <c r="D1856" i="53" s="1"/>
  <c r="D1854" i="53"/>
  <c r="I1854" i="53" s="1"/>
  <c r="I1852" i="53"/>
  <c r="H1852" i="53"/>
  <c r="D1670" i="53"/>
  <c r="I1670" i="53" s="1"/>
  <c r="I1669" i="53"/>
  <c r="H1669" i="53"/>
  <c r="I1668" i="53"/>
  <c r="H1668" i="53"/>
  <c r="I1667" i="53"/>
  <c r="H1667" i="53"/>
  <c r="D1665" i="53"/>
  <c r="I1665" i="53" s="1"/>
  <c r="D1664" i="53"/>
  <c r="I1664" i="53" s="1"/>
  <c r="D1662" i="53"/>
  <c r="D1663" i="53" s="1"/>
  <c r="I1661" i="53"/>
  <c r="I1659" i="53"/>
  <c r="H1659" i="53"/>
  <c r="D1477" i="53"/>
  <c r="I1477" i="53" s="1"/>
  <c r="I1476" i="53"/>
  <c r="H1476" i="53"/>
  <c r="I1475" i="53"/>
  <c r="H1475" i="53"/>
  <c r="I1474" i="53"/>
  <c r="H1474" i="53"/>
  <c r="D1472" i="53"/>
  <c r="H1472" i="53" s="1"/>
  <c r="D1471" i="53"/>
  <c r="I1471" i="53" s="1"/>
  <c r="D1469" i="53"/>
  <c r="D1470" i="53" s="1"/>
  <c r="I1468" i="53"/>
  <c r="I1459" i="53"/>
  <c r="H1459" i="53"/>
  <c r="D1284" i="53"/>
  <c r="I1284" i="53" s="1"/>
  <c r="I1283" i="53"/>
  <c r="H1283" i="53"/>
  <c r="I1282" i="53"/>
  <c r="H1282" i="53"/>
  <c r="I1281" i="53"/>
  <c r="H1281" i="53"/>
  <c r="D1272" i="53"/>
  <c r="I1272" i="53" s="1"/>
  <c r="D1271" i="53"/>
  <c r="I1271" i="53" s="1"/>
  <c r="D1269" i="53"/>
  <c r="D1270" i="53" s="1"/>
  <c r="H1268" i="53"/>
  <c r="I1266" i="53"/>
  <c r="H1266" i="53"/>
  <c r="D1091" i="53"/>
  <c r="I1091" i="53" s="1"/>
  <c r="I1090" i="53"/>
  <c r="H1090" i="53"/>
  <c r="I1089" i="53"/>
  <c r="H1089" i="53"/>
  <c r="I1088" i="53"/>
  <c r="H1088" i="53"/>
  <c r="D1086" i="53"/>
  <c r="I1086" i="53" s="1"/>
  <c r="D1078" i="53"/>
  <c r="I1078" i="53" s="1"/>
  <c r="D1076" i="53"/>
  <c r="D1077" i="53" s="1"/>
  <c r="I1075" i="53"/>
  <c r="I1073" i="53"/>
  <c r="H1073" i="53"/>
  <c r="D890" i="53"/>
  <c r="I890" i="53" s="1"/>
  <c r="I889" i="53"/>
  <c r="H889" i="53"/>
  <c r="I888" i="53"/>
  <c r="H888" i="53"/>
  <c r="I887" i="53"/>
  <c r="H887" i="53"/>
  <c r="D885" i="53"/>
  <c r="I885" i="53" s="1"/>
  <c r="D884" i="53"/>
  <c r="I884" i="53" s="1"/>
  <c r="D882" i="53"/>
  <c r="D883" i="53" s="1"/>
  <c r="I881" i="53"/>
  <c r="I879" i="53"/>
  <c r="H879" i="53"/>
  <c r="D701" i="53"/>
  <c r="I701" i="53" s="1"/>
  <c r="I700" i="53"/>
  <c r="H700" i="53"/>
  <c r="I699" i="53"/>
  <c r="H699" i="53"/>
  <c r="I698" i="53"/>
  <c r="H698" i="53"/>
  <c r="D689" i="53"/>
  <c r="I689" i="53" s="1"/>
  <c r="D688" i="53"/>
  <c r="I688" i="53" s="1"/>
  <c r="D686" i="53"/>
  <c r="D687" i="53" s="1"/>
  <c r="I685" i="53"/>
  <c r="I683" i="53"/>
  <c r="H683" i="53"/>
  <c r="D503" i="53"/>
  <c r="I503" i="53" s="1"/>
  <c r="I502" i="53"/>
  <c r="H502" i="53"/>
  <c r="I501" i="53"/>
  <c r="H501" i="53"/>
  <c r="I500" i="53"/>
  <c r="H500" i="53"/>
  <c r="D491" i="53"/>
  <c r="I491" i="53" s="1"/>
  <c r="D490" i="53"/>
  <c r="I490" i="53" s="1"/>
  <c r="D488" i="53"/>
  <c r="D489" i="53" s="1"/>
  <c r="I487" i="53"/>
  <c r="I485" i="53"/>
  <c r="H485" i="53"/>
  <c r="D274" i="53"/>
  <c r="I274" i="53" s="1"/>
  <c r="I273" i="53"/>
  <c r="H273" i="53"/>
  <c r="I272" i="53"/>
  <c r="H272" i="53"/>
  <c r="I271" i="53"/>
  <c r="H271" i="53"/>
  <c r="D253" i="53"/>
  <c r="I253" i="53" s="1"/>
  <c r="I252" i="53"/>
  <c r="H252" i="53"/>
  <c r="I251" i="53"/>
  <c r="H251" i="53"/>
  <c r="I250" i="53"/>
  <c r="H250" i="53"/>
  <c r="I88" i="53"/>
  <c r="I87" i="53"/>
  <c r="H87" i="53"/>
  <c r="I86" i="53"/>
  <c r="H86" i="53"/>
  <c r="I85" i="53"/>
  <c r="H85" i="53"/>
  <c r="I84" i="53"/>
  <c r="H84" i="53"/>
  <c r="D18" i="53"/>
  <c r="D21" i="53"/>
  <c r="I2230" i="53"/>
  <c r="H2230" i="53"/>
  <c r="I169" i="53"/>
  <c r="I168" i="53"/>
  <c r="H168" i="53"/>
  <c r="I167" i="53"/>
  <c r="H167" i="53"/>
  <c r="I166" i="53"/>
  <c r="H166" i="53"/>
  <c r="I165" i="53"/>
  <c r="H165" i="53"/>
  <c r="I163" i="53"/>
  <c r="I155" i="53"/>
  <c r="I152" i="53"/>
  <c r="I150" i="53"/>
  <c r="H150" i="53"/>
  <c r="I146" i="53"/>
  <c r="I145" i="53"/>
  <c r="H145" i="53"/>
  <c r="I144" i="53"/>
  <c r="H144" i="53"/>
  <c r="I143" i="53"/>
  <c r="H143" i="53"/>
  <c r="I142" i="53"/>
  <c r="H142" i="53"/>
  <c r="I140" i="53"/>
  <c r="I139" i="53"/>
  <c r="I137" i="53"/>
  <c r="I136" i="53"/>
  <c r="I134" i="53"/>
  <c r="H134" i="53"/>
  <c r="I123" i="53"/>
  <c r="I122" i="53"/>
  <c r="H122" i="53"/>
  <c r="I121" i="53"/>
  <c r="H121" i="53"/>
  <c r="I120" i="53"/>
  <c r="H120" i="53"/>
  <c r="I119" i="53"/>
  <c r="H119" i="53"/>
  <c r="I117" i="53"/>
  <c r="I116" i="53"/>
  <c r="I113" i="53"/>
  <c r="I111" i="53"/>
  <c r="H111" i="53"/>
  <c r="D2198" i="53"/>
  <c r="H2198" i="53" s="1"/>
  <c r="I2197" i="53"/>
  <c r="H2197" i="53"/>
  <c r="I2196" i="53"/>
  <c r="H2196" i="53"/>
  <c r="I2195" i="53"/>
  <c r="H2195" i="53"/>
  <c r="D2193" i="53"/>
  <c r="I2193" i="53" s="1"/>
  <c r="D2192" i="53"/>
  <c r="I2192" i="53" s="1"/>
  <c r="D2190" i="53"/>
  <c r="D2191" i="53" s="1"/>
  <c r="D2189" i="53"/>
  <c r="I2189" i="53" s="1"/>
  <c r="I2187" i="53"/>
  <c r="H2187" i="53"/>
  <c r="D2180" i="53"/>
  <c r="H2180" i="53" s="1"/>
  <c r="I2179" i="53"/>
  <c r="H2179" i="53"/>
  <c r="I2178" i="53"/>
  <c r="H2178" i="53"/>
  <c r="I2177" i="53"/>
  <c r="H2177" i="53"/>
  <c r="D2168" i="53"/>
  <c r="I2168" i="53" s="1"/>
  <c r="D2167" i="53"/>
  <c r="I2167" i="53" s="1"/>
  <c r="D2165" i="53"/>
  <c r="D2166" i="53" s="1"/>
  <c r="D2164" i="53"/>
  <c r="I2164" i="53" s="1"/>
  <c r="I2162" i="53"/>
  <c r="H2162" i="53"/>
  <c r="I1971" i="53"/>
  <c r="I1970" i="53"/>
  <c r="H1970" i="53"/>
  <c r="I1969" i="53"/>
  <c r="H1969" i="53"/>
  <c r="I1968" i="53"/>
  <c r="H1968" i="53"/>
  <c r="D1966" i="53"/>
  <c r="I1966" i="53" s="1"/>
  <c r="D1965" i="53"/>
  <c r="I1965" i="53" s="1"/>
  <c r="D1963" i="53"/>
  <c r="D1964" i="53" s="1"/>
  <c r="D1962" i="53"/>
  <c r="I1962" i="53" s="1"/>
  <c r="I1953" i="53"/>
  <c r="H1953" i="53"/>
  <c r="I1950" i="53"/>
  <c r="I1949" i="53"/>
  <c r="H1949" i="53"/>
  <c r="I1948" i="53"/>
  <c r="H1948" i="53"/>
  <c r="I1947" i="53"/>
  <c r="H1947" i="53"/>
  <c r="D1945" i="53"/>
  <c r="I1945" i="53" s="1"/>
  <c r="D1944" i="53"/>
  <c r="I1944" i="53" s="1"/>
  <c r="D1942" i="53"/>
  <c r="D1943" i="53" s="1"/>
  <c r="D1941" i="53"/>
  <c r="I1941" i="53" s="1"/>
  <c r="I1939" i="53"/>
  <c r="H1939" i="53"/>
  <c r="D1925" i="53"/>
  <c r="H1925" i="53" s="1"/>
  <c r="I1924" i="53"/>
  <c r="H1924" i="53"/>
  <c r="I1923" i="53"/>
  <c r="H1923" i="53"/>
  <c r="I1922" i="53"/>
  <c r="H1922" i="53"/>
  <c r="D1920" i="53"/>
  <c r="I1920" i="53" s="1"/>
  <c r="D1919" i="53"/>
  <c r="I1919" i="53" s="1"/>
  <c r="D1917" i="53"/>
  <c r="D1918" i="53" s="1"/>
  <c r="D1916" i="53"/>
  <c r="I1916" i="53" s="1"/>
  <c r="I1914" i="53"/>
  <c r="H1914" i="53"/>
  <c r="I1786" i="53"/>
  <c r="I1785" i="53"/>
  <c r="H1785" i="53"/>
  <c r="I1784" i="53"/>
  <c r="H1784" i="53"/>
  <c r="I1783" i="53"/>
  <c r="H1783" i="53"/>
  <c r="D1774" i="53"/>
  <c r="I1774" i="53" s="1"/>
  <c r="D1773" i="53"/>
  <c r="I1773" i="53" s="1"/>
  <c r="D1771" i="53"/>
  <c r="D1772" i="53" s="1"/>
  <c r="D1770" i="53"/>
  <c r="I1770" i="53" s="1"/>
  <c r="I1768" i="53"/>
  <c r="H1768" i="53"/>
  <c r="I1765" i="53"/>
  <c r="I1764" i="53"/>
  <c r="H1764" i="53"/>
  <c r="I1763" i="53"/>
  <c r="H1763" i="53"/>
  <c r="I1762" i="53"/>
  <c r="H1762" i="53"/>
  <c r="D1760" i="53"/>
  <c r="I1760" i="53" s="1"/>
  <c r="D1759" i="53"/>
  <c r="H1759" i="53" s="1"/>
  <c r="D1757" i="53"/>
  <c r="D1758" i="53" s="1"/>
  <c r="D1756" i="53"/>
  <c r="H1756" i="53" s="1"/>
  <c r="I1754" i="53"/>
  <c r="H1754" i="53"/>
  <c r="D1740" i="53"/>
  <c r="I1740" i="53" s="1"/>
  <c r="I1739" i="53"/>
  <c r="H1739" i="53"/>
  <c r="I1738" i="53"/>
  <c r="H1738" i="53"/>
  <c r="I1737" i="53"/>
  <c r="H1737" i="53"/>
  <c r="D1735" i="53"/>
  <c r="I1735" i="53" s="1"/>
  <c r="D1734" i="53"/>
  <c r="I1734" i="53" s="1"/>
  <c r="D1732" i="53"/>
  <c r="I1732" i="53" s="1"/>
  <c r="D1731" i="53"/>
  <c r="I1731" i="53" s="1"/>
  <c r="I1729" i="53"/>
  <c r="H1729" i="53"/>
  <c r="I1586" i="53"/>
  <c r="I1585" i="53"/>
  <c r="H1585" i="53"/>
  <c r="I1584" i="53"/>
  <c r="H1584" i="53"/>
  <c r="I1583" i="53"/>
  <c r="H1583" i="53"/>
  <c r="D1581" i="53"/>
  <c r="I1581" i="53" s="1"/>
  <c r="D1580" i="53"/>
  <c r="I1580" i="53" s="1"/>
  <c r="D1578" i="53"/>
  <c r="D1579" i="53" s="1"/>
  <c r="I1577" i="53"/>
  <c r="I1575" i="53"/>
  <c r="H1575" i="53"/>
  <c r="I1572" i="53"/>
  <c r="I1571" i="53"/>
  <c r="H1571" i="53"/>
  <c r="I1570" i="53"/>
  <c r="H1570" i="53"/>
  <c r="I1569" i="53"/>
  <c r="H1569" i="53"/>
  <c r="D1567" i="53"/>
  <c r="I1567" i="53" s="1"/>
  <c r="D1566" i="53"/>
  <c r="I1566" i="53" s="1"/>
  <c r="D1564" i="53"/>
  <c r="D1565" i="53" s="1"/>
  <c r="I1563" i="53"/>
  <c r="I1561" i="53"/>
  <c r="H1561" i="53"/>
  <c r="D1547" i="53"/>
  <c r="H1547" i="53" s="1"/>
  <c r="I1546" i="53"/>
  <c r="H1546" i="53"/>
  <c r="I1545" i="53"/>
  <c r="H1545" i="53"/>
  <c r="I1544" i="53"/>
  <c r="H1544" i="53"/>
  <c r="D1542" i="53"/>
  <c r="I1542" i="53" s="1"/>
  <c r="D1541" i="53"/>
  <c r="I1541" i="53" s="1"/>
  <c r="D1539" i="53"/>
  <c r="D1540" i="53" s="1"/>
  <c r="I1538" i="53"/>
  <c r="I1536" i="53"/>
  <c r="H1536" i="53"/>
  <c r="I1393" i="53"/>
  <c r="I1392" i="53"/>
  <c r="H1392" i="53"/>
  <c r="I1391" i="53"/>
  <c r="H1391" i="53"/>
  <c r="I1390" i="53"/>
  <c r="H1390" i="53"/>
  <c r="D1388" i="53"/>
  <c r="I1388" i="53" s="1"/>
  <c r="D1387" i="53"/>
  <c r="H1387" i="53" s="1"/>
  <c r="D1385" i="53"/>
  <c r="D1386" i="53" s="1"/>
  <c r="H1384" i="53"/>
  <c r="I1382" i="53"/>
  <c r="H1382" i="53"/>
  <c r="I1379" i="53"/>
  <c r="I1378" i="53"/>
  <c r="H1378" i="53"/>
  <c r="I1377" i="53"/>
  <c r="H1377" i="53"/>
  <c r="I1376" i="53"/>
  <c r="H1376" i="53"/>
  <c r="D1367" i="53"/>
  <c r="I1367" i="53" s="1"/>
  <c r="D1366" i="53"/>
  <c r="I1366" i="53" s="1"/>
  <c r="D1364" i="53"/>
  <c r="D1365" i="53" s="1"/>
  <c r="I1363" i="53"/>
  <c r="I1361" i="53"/>
  <c r="H1361" i="53"/>
  <c r="D1354" i="53"/>
  <c r="I1354" i="53" s="1"/>
  <c r="I1353" i="53"/>
  <c r="H1353" i="53"/>
  <c r="I1352" i="53"/>
  <c r="H1352" i="53"/>
  <c r="I1351" i="53"/>
  <c r="H1351" i="53"/>
  <c r="D1349" i="53"/>
  <c r="I1349" i="53" s="1"/>
  <c r="D1348" i="53"/>
  <c r="I1348" i="53" s="1"/>
  <c r="D1346" i="53"/>
  <c r="D1347" i="53" s="1"/>
  <c r="I1345" i="53"/>
  <c r="I1343" i="53"/>
  <c r="H1343" i="53"/>
  <c r="I1200" i="53"/>
  <c r="I1199" i="53"/>
  <c r="H1199" i="53"/>
  <c r="I1198" i="53"/>
  <c r="H1198" i="53"/>
  <c r="I1197" i="53"/>
  <c r="H1197" i="53"/>
  <c r="D1195" i="53"/>
  <c r="I1195" i="53" s="1"/>
  <c r="D1194" i="53"/>
  <c r="H1194" i="53" s="1"/>
  <c r="D1192" i="53"/>
  <c r="D1193" i="53" s="1"/>
  <c r="I1191" i="53"/>
  <c r="I1189" i="53"/>
  <c r="H1189" i="53"/>
  <c r="H1186" i="53"/>
  <c r="I1185" i="53"/>
  <c r="H1185" i="53"/>
  <c r="I1184" i="53"/>
  <c r="H1184" i="53"/>
  <c r="I1183" i="53"/>
  <c r="H1183" i="53"/>
  <c r="D1181" i="53"/>
  <c r="I1181" i="53" s="1"/>
  <c r="D1180" i="53"/>
  <c r="I1180" i="53" s="1"/>
  <c r="D1178" i="53"/>
  <c r="D1179" i="53" s="1"/>
  <c r="I1170" i="53"/>
  <c r="I1168" i="53"/>
  <c r="H1168" i="53"/>
  <c r="D1161" i="53"/>
  <c r="H1161" i="53" s="1"/>
  <c r="I1160" i="53"/>
  <c r="H1160" i="53"/>
  <c r="I1159" i="53"/>
  <c r="H1159" i="53"/>
  <c r="I1158" i="53"/>
  <c r="H1158" i="53"/>
  <c r="D1156" i="53"/>
  <c r="I1156" i="53" s="1"/>
  <c r="D1155" i="53"/>
  <c r="I1155" i="53" s="1"/>
  <c r="D1153" i="53"/>
  <c r="D1154" i="53" s="1"/>
  <c r="I1152" i="53"/>
  <c r="I1150" i="53"/>
  <c r="H1150" i="53"/>
  <c r="I1007" i="53"/>
  <c r="I1006" i="53"/>
  <c r="H1006" i="53"/>
  <c r="I1005" i="53"/>
  <c r="H1005" i="53"/>
  <c r="I1004" i="53"/>
  <c r="H1004" i="53"/>
  <c r="D1002" i="53"/>
  <c r="I1002" i="53" s="1"/>
  <c r="D1001" i="53"/>
  <c r="I1001" i="53" s="1"/>
  <c r="D999" i="53"/>
  <c r="D1000" i="53" s="1"/>
  <c r="I998" i="53"/>
  <c r="I996" i="53"/>
  <c r="H996" i="53"/>
  <c r="H993" i="53"/>
  <c r="I992" i="53"/>
  <c r="H992" i="53"/>
  <c r="I991" i="53"/>
  <c r="H991" i="53"/>
  <c r="I990" i="53"/>
  <c r="H990" i="53"/>
  <c r="D980" i="53"/>
  <c r="I980" i="53" s="1"/>
  <c r="D979" i="53"/>
  <c r="I979" i="53" s="1"/>
  <c r="D977" i="53"/>
  <c r="D978" i="53" s="1"/>
  <c r="I976" i="53"/>
  <c r="I974" i="53"/>
  <c r="H974" i="53"/>
  <c r="D967" i="53"/>
  <c r="H967" i="53" s="1"/>
  <c r="I966" i="53"/>
  <c r="H966" i="53"/>
  <c r="I965" i="53"/>
  <c r="H965" i="53"/>
  <c r="I964" i="53"/>
  <c r="H964" i="53"/>
  <c r="D962" i="53"/>
  <c r="I962" i="53" s="1"/>
  <c r="D961" i="53"/>
  <c r="I961" i="53" s="1"/>
  <c r="D959" i="53"/>
  <c r="D960" i="53" s="1"/>
  <c r="I958" i="53"/>
  <c r="I956" i="53"/>
  <c r="H956" i="53"/>
  <c r="I815" i="53"/>
  <c r="I814" i="53"/>
  <c r="H814" i="53"/>
  <c r="I813" i="53"/>
  <c r="H813" i="53"/>
  <c r="I812" i="53"/>
  <c r="H812" i="53"/>
  <c r="D810" i="53"/>
  <c r="I810" i="53" s="1"/>
  <c r="D809" i="53"/>
  <c r="H809" i="53" s="1"/>
  <c r="D807" i="53"/>
  <c r="D808" i="53" s="1"/>
  <c r="I806" i="53"/>
  <c r="I804" i="53"/>
  <c r="H804" i="53"/>
  <c r="D794" i="53"/>
  <c r="H794" i="53" s="1"/>
  <c r="I793" i="53"/>
  <c r="H793" i="53"/>
  <c r="I792" i="53"/>
  <c r="H792" i="53"/>
  <c r="I791" i="53"/>
  <c r="H791" i="53"/>
  <c r="D789" i="53"/>
  <c r="I789" i="53" s="1"/>
  <c r="D788" i="53"/>
  <c r="I788" i="53" s="1"/>
  <c r="D786" i="53"/>
  <c r="D787" i="53" s="1"/>
  <c r="I785" i="53"/>
  <c r="I783" i="53"/>
  <c r="H783" i="53"/>
  <c r="I776" i="53"/>
  <c r="I775" i="53"/>
  <c r="H775" i="53"/>
  <c r="I774" i="53"/>
  <c r="H774" i="53"/>
  <c r="I773" i="53"/>
  <c r="H773" i="53"/>
  <c r="D764" i="53"/>
  <c r="I764" i="53" s="1"/>
  <c r="D763" i="53"/>
  <c r="I763" i="53" s="1"/>
  <c r="D761" i="53"/>
  <c r="D762" i="53" s="1"/>
  <c r="I760" i="53"/>
  <c r="I758" i="53"/>
  <c r="H758" i="53"/>
  <c r="I2101" i="53"/>
  <c r="I2100" i="53"/>
  <c r="H2100" i="53"/>
  <c r="I2099" i="53"/>
  <c r="H2099" i="53"/>
  <c r="I2098" i="53"/>
  <c r="H2098" i="53"/>
  <c r="D2096" i="53"/>
  <c r="I2096" i="53" s="1"/>
  <c r="D2095" i="53"/>
  <c r="I2095" i="53" s="1"/>
  <c r="D2093" i="53"/>
  <c r="D2094" i="53" s="1"/>
  <c r="D2092" i="53"/>
  <c r="H2092" i="53" s="1"/>
  <c r="I2090" i="53"/>
  <c r="H2090" i="53"/>
  <c r="D2080" i="53"/>
  <c r="I2080" i="53" s="1"/>
  <c r="I2079" i="53"/>
  <c r="H2079" i="53"/>
  <c r="I2078" i="53"/>
  <c r="H2078" i="53"/>
  <c r="I2077" i="53"/>
  <c r="H2077" i="53"/>
  <c r="D2075" i="53"/>
  <c r="I2075" i="53" s="1"/>
  <c r="D2074" i="53"/>
  <c r="I2074" i="53" s="1"/>
  <c r="D2072" i="53"/>
  <c r="D2073" i="53" s="1"/>
  <c r="D2071" i="53"/>
  <c r="I2071" i="53" s="1"/>
  <c r="I2069" i="53"/>
  <c r="H2069" i="53"/>
  <c r="D2062" i="53"/>
  <c r="H2062" i="53" s="1"/>
  <c r="I2061" i="53"/>
  <c r="H2061" i="53"/>
  <c r="I2060" i="53"/>
  <c r="H2060" i="53"/>
  <c r="I2059" i="53"/>
  <c r="H2059" i="53"/>
  <c r="D2057" i="53"/>
  <c r="I2057" i="53" s="1"/>
  <c r="D2056" i="53"/>
  <c r="I2056" i="53" s="1"/>
  <c r="D2054" i="53"/>
  <c r="D2055" i="53" s="1"/>
  <c r="D2053" i="53"/>
  <c r="I2053" i="53" s="1"/>
  <c r="I2051" i="53"/>
  <c r="H2051" i="53"/>
  <c r="D616" i="53"/>
  <c r="I616" i="53" s="1"/>
  <c r="I615" i="53"/>
  <c r="H615" i="53"/>
  <c r="I614" i="53"/>
  <c r="H614" i="53"/>
  <c r="I613" i="53"/>
  <c r="H613" i="53"/>
  <c r="D611" i="53"/>
  <c r="I611" i="53" s="1"/>
  <c r="D610" i="53"/>
  <c r="H610" i="53" s="1"/>
  <c r="D608" i="53"/>
  <c r="D609" i="53" s="1"/>
  <c r="H607" i="53"/>
  <c r="I605" i="53"/>
  <c r="H605" i="53"/>
  <c r="D602" i="53"/>
  <c r="I602" i="53" s="1"/>
  <c r="I601" i="53"/>
  <c r="H601" i="53"/>
  <c r="I600" i="53"/>
  <c r="H600" i="53"/>
  <c r="I599" i="53"/>
  <c r="H599" i="53"/>
  <c r="D590" i="53"/>
  <c r="I590" i="53" s="1"/>
  <c r="D589" i="53"/>
  <c r="I589" i="53" s="1"/>
  <c r="D587" i="53"/>
  <c r="D588" i="53" s="1"/>
  <c r="I586" i="53"/>
  <c r="I584" i="53"/>
  <c r="H584" i="53"/>
  <c r="D577" i="53"/>
  <c r="H577" i="53" s="1"/>
  <c r="I576" i="53"/>
  <c r="H576" i="53"/>
  <c r="I575" i="53"/>
  <c r="H575" i="53"/>
  <c r="I574" i="53"/>
  <c r="H574" i="53"/>
  <c r="D420" i="53"/>
  <c r="I420" i="53" s="1"/>
  <c r="I419" i="53"/>
  <c r="H419" i="53"/>
  <c r="I418" i="53"/>
  <c r="H418" i="53"/>
  <c r="I417" i="53"/>
  <c r="H417" i="53"/>
  <c r="I416" i="53"/>
  <c r="H416" i="53"/>
  <c r="D414" i="53"/>
  <c r="I414" i="53" s="1"/>
  <c r="D413" i="53"/>
  <c r="I413" i="53" s="1"/>
  <c r="D411" i="53"/>
  <c r="D412" i="53" s="1"/>
  <c r="H410" i="53"/>
  <c r="I408" i="53"/>
  <c r="H408" i="53"/>
  <c r="D405" i="53"/>
  <c r="I405" i="53" s="1"/>
  <c r="I404" i="53"/>
  <c r="H404" i="53"/>
  <c r="I403" i="53"/>
  <c r="H403" i="53"/>
  <c r="I402" i="53"/>
  <c r="H402" i="53"/>
  <c r="I401" i="53"/>
  <c r="H401" i="53"/>
  <c r="D392" i="53"/>
  <c r="I392" i="53" s="1"/>
  <c r="D391" i="53"/>
  <c r="I391" i="53" s="1"/>
  <c r="D389" i="53"/>
  <c r="D390" i="53" s="1"/>
  <c r="I388" i="53"/>
  <c r="I386" i="53"/>
  <c r="H386" i="53"/>
  <c r="D380" i="53"/>
  <c r="I380" i="53" s="1"/>
  <c r="I379" i="53"/>
  <c r="H379" i="53"/>
  <c r="I378" i="53"/>
  <c r="H378" i="53"/>
  <c r="I377" i="53"/>
  <c r="H377" i="53"/>
  <c r="I376" i="53"/>
  <c r="H376" i="53"/>
  <c r="D1998" i="53"/>
  <c r="I1998" i="53" s="1"/>
  <c r="I1997" i="53"/>
  <c r="H1997" i="53"/>
  <c r="I1996" i="53"/>
  <c r="H1996" i="53"/>
  <c r="I1995" i="53"/>
  <c r="H1995" i="53"/>
  <c r="I1994" i="53"/>
  <c r="H1994" i="53"/>
  <c r="I1993" i="53"/>
  <c r="H1993" i="53"/>
  <c r="D1984" i="53"/>
  <c r="I1984" i="53" s="1"/>
  <c r="D1983" i="53"/>
  <c r="H1983" i="53" s="1"/>
  <c r="D1981" i="53"/>
  <c r="D1982" i="53" s="1"/>
  <c r="D1980" i="53"/>
  <c r="H1980" i="53" s="1"/>
  <c r="I1978" i="53"/>
  <c r="H1978" i="53"/>
  <c r="I1977" i="53"/>
  <c r="H1977" i="53"/>
  <c r="I1976" i="53"/>
  <c r="H1976" i="53"/>
  <c r="D1806" i="53"/>
  <c r="I1806" i="53" s="1"/>
  <c r="I1805" i="53"/>
  <c r="H1805" i="53"/>
  <c r="I1804" i="53"/>
  <c r="H1804" i="53"/>
  <c r="I1803" i="53"/>
  <c r="H1803" i="53"/>
  <c r="I1802" i="53"/>
  <c r="H1802" i="53"/>
  <c r="I1801" i="53"/>
  <c r="H1801" i="53"/>
  <c r="D1799" i="53"/>
  <c r="I1799" i="53" s="1"/>
  <c r="D1798" i="53"/>
  <c r="I1798" i="53" s="1"/>
  <c r="D1796" i="53"/>
  <c r="D1797" i="53" s="1"/>
  <c r="D1795" i="53"/>
  <c r="I1795" i="53" s="1"/>
  <c r="I1793" i="53"/>
  <c r="H1793" i="53"/>
  <c r="I1792" i="53"/>
  <c r="H1792" i="53"/>
  <c r="I1791" i="53"/>
  <c r="H1791" i="53"/>
  <c r="D1613" i="53"/>
  <c r="I1613" i="53" s="1"/>
  <c r="I1612" i="53"/>
  <c r="H1612" i="53"/>
  <c r="I1611" i="53"/>
  <c r="H1611" i="53"/>
  <c r="I1610" i="53"/>
  <c r="H1610" i="53"/>
  <c r="I1609" i="53"/>
  <c r="H1609" i="53"/>
  <c r="I1608" i="53"/>
  <c r="H1608" i="53"/>
  <c r="D1606" i="53"/>
  <c r="I1606" i="53" s="1"/>
  <c r="D1605" i="53"/>
  <c r="I1605" i="53" s="1"/>
  <c r="D1603" i="53"/>
  <c r="D1604" i="53" s="1"/>
  <c r="I1602" i="53"/>
  <c r="I1600" i="53"/>
  <c r="H1600" i="53"/>
  <c r="I1599" i="53"/>
  <c r="H1599" i="53"/>
  <c r="I1598" i="53"/>
  <c r="H1598" i="53"/>
  <c r="D1420" i="53"/>
  <c r="I1420" i="53" s="1"/>
  <c r="I1419" i="53"/>
  <c r="H1419" i="53"/>
  <c r="I1418" i="53"/>
  <c r="H1418" i="53"/>
  <c r="I1417" i="53"/>
  <c r="H1417" i="53"/>
  <c r="I1416" i="53"/>
  <c r="H1416" i="53"/>
  <c r="I1415" i="53"/>
  <c r="H1415" i="53"/>
  <c r="D1413" i="53"/>
  <c r="I1413" i="53" s="1"/>
  <c r="D1412" i="53"/>
  <c r="H1412" i="53" s="1"/>
  <c r="D1410" i="53"/>
  <c r="D1411" i="53" s="1"/>
  <c r="H1409" i="53"/>
  <c r="I1400" i="53"/>
  <c r="H1400" i="53"/>
  <c r="I1399" i="53"/>
  <c r="H1399" i="53"/>
  <c r="I1398" i="53"/>
  <c r="H1398" i="53"/>
  <c r="D1227" i="53"/>
  <c r="I1227" i="53" s="1"/>
  <c r="I1226" i="53"/>
  <c r="H1226" i="53"/>
  <c r="I1225" i="53"/>
  <c r="H1225" i="53"/>
  <c r="I1224" i="53"/>
  <c r="H1224" i="53"/>
  <c r="I1223" i="53"/>
  <c r="H1223" i="53"/>
  <c r="I1222" i="53"/>
  <c r="H1222" i="53"/>
  <c r="D1220" i="53"/>
  <c r="I1220" i="53" s="1"/>
  <c r="D1219" i="53"/>
  <c r="I1219" i="53" s="1"/>
  <c r="D1217" i="53"/>
  <c r="D1218" i="53" s="1"/>
  <c r="I1216" i="53"/>
  <c r="I1207" i="53"/>
  <c r="H1207" i="53"/>
  <c r="I1206" i="53"/>
  <c r="H1206" i="53"/>
  <c r="I1205" i="53"/>
  <c r="H1205" i="53"/>
  <c r="D1034" i="53"/>
  <c r="I1034" i="53" s="1"/>
  <c r="I1033" i="53"/>
  <c r="H1033" i="53"/>
  <c r="I1032" i="53"/>
  <c r="H1032" i="53"/>
  <c r="I1031" i="53"/>
  <c r="H1031" i="53"/>
  <c r="I1030" i="53"/>
  <c r="H1030" i="53"/>
  <c r="I1029" i="53"/>
  <c r="H1029" i="53"/>
  <c r="D1027" i="53"/>
  <c r="I1027" i="53" s="1"/>
  <c r="D1026" i="53"/>
  <c r="I1026" i="53" s="1"/>
  <c r="D1017" i="53"/>
  <c r="D1025" i="53" s="1"/>
  <c r="I1016" i="53"/>
  <c r="I1014" i="53"/>
  <c r="H1014" i="53"/>
  <c r="I1013" i="53"/>
  <c r="H1013" i="53"/>
  <c r="I1012" i="53"/>
  <c r="H1012" i="53"/>
  <c r="D842" i="53"/>
  <c r="I842" i="53" s="1"/>
  <c r="I841" i="53"/>
  <c r="H841" i="53"/>
  <c r="I840" i="53"/>
  <c r="H840" i="53"/>
  <c r="I839" i="53"/>
  <c r="H839" i="53"/>
  <c r="I838" i="53"/>
  <c r="H838" i="53"/>
  <c r="I837" i="53"/>
  <c r="H837" i="53"/>
  <c r="D828" i="53"/>
  <c r="H828" i="53" s="1"/>
  <c r="D827" i="53"/>
  <c r="I827" i="53" s="1"/>
  <c r="D825" i="53"/>
  <c r="H825" i="53" s="1"/>
  <c r="I824" i="53"/>
  <c r="I822" i="53"/>
  <c r="H822" i="53"/>
  <c r="I821" i="53"/>
  <c r="H821" i="53"/>
  <c r="I820" i="53"/>
  <c r="H820" i="53"/>
  <c r="D643" i="53"/>
  <c r="I643" i="53" s="1"/>
  <c r="I642" i="53"/>
  <c r="H642" i="53"/>
  <c r="I641" i="53"/>
  <c r="H641" i="53"/>
  <c r="I640" i="53"/>
  <c r="H640" i="53"/>
  <c r="I639" i="53"/>
  <c r="H639" i="53"/>
  <c r="I638" i="53"/>
  <c r="H638" i="53"/>
  <c r="D636" i="53"/>
  <c r="I636" i="53" s="1"/>
  <c r="D635" i="53"/>
  <c r="I635" i="53" s="1"/>
  <c r="D633" i="53"/>
  <c r="D634" i="53" s="1"/>
  <c r="I632" i="53"/>
  <c r="I630" i="53"/>
  <c r="H630" i="53"/>
  <c r="I629" i="53"/>
  <c r="H629" i="53"/>
  <c r="I628" i="53"/>
  <c r="H628" i="53"/>
  <c r="D447" i="53"/>
  <c r="I447" i="53" s="1"/>
  <c r="I446" i="53"/>
  <c r="H446" i="53"/>
  <c r="I445" i="53"/>
  <c r="H445" i="53"/>
  <c r="I444" i="53"/>
  <c r="H444" i="53"/>
  <c r="I443" i="53"/>
  <c r="H443" i="53"/>
  <c r="I442" i="53"/>
  <c r="H442" i="53"/>
  <c r="D2145" i="53"/>
  <c r="I2145" i="53" s="1"/>
  <c r="I2144" i="53"/>
  <c r="H2144" i="53"/>
  <c r="I2143" i="53"/>
  <c r="H2143" i="53"/>
  <c r="D2134" i="53"/>
  <c r="I2134" i="53" s="1"/>
  <c r="D2133" i="53"/>
  <c r="I2133" i="53" s="1"/>
  <c r="D2131" i="53"/>
  <c r="D2132" i="53" s="1"/>
  <c r="D2130" i="53"/>
  <c r="I2130" i="53" s="1"/>
  <c r="I2128" i="53"/>
  <c r="H2128" i="53"/>
  <c r="D2011" i="53"/>
  <c r="I2011" i="53" s="1"/>
  <c r="I2010" i="53"/>
  <c r="H2010" i="53"/>
  <c r="I2009" i="53"/>
  <c r="H2009" i="53"/>
  <c r="D2007" i="53"/>
  <c r="I2007" i="53" s="1"/>
  <c r="D2006" i="53"/>
  <c r="H2006" i="53" s="1"/>
  <c r="D2004" i="53"/>
  <c r="D2005" i="53" s="1"/>
  <c r="D2003" i="53"/>
  <c r="H2003" i="53" s="1"/>
  <c r="I2001" i="53"/>
  <c r="H2001" i="53"/>
  <c r="I1843" i="53"/>
  <c r="H1843" i="53"/>
  <c r="D1835" i="53"/>
  <c r="I1835" i="53" s="1"/>
  <c r="I1834" i="53"/>
  <c r="D1832" i="53"/>
  <c r="D1833" i="53" s="1"/>
  <c r="I1833" i="53" s="1"/>
  <c r="D1831" i="53"/>
  <c r="I1831" i="53" s="1"/>
  <c r="I1829" i="53"/>
  <c r="H1829" i="53"/>
  <c r="D1826" i="53"/>
  <c r="H1826" i="53" s="1"/>
  <c r="I1825" i="53"/>
  <c r="H1825" i="53"/>
  <c r="I1824" i="53"/>
  <c r="H1824" i="53"/>
  <c r="D1822" i="53"/>
  <c r="I1822" i="53" s="1"/>
  <c r="D1821" i="53"/>
  <c r="I1821" i="53" s="1"/>
  <c r="D1819" i="53"/>
  <c r="I1819" i="53" s="1"/>
  <c r="D1818" i="53"/>
  <c r="I1818" i="53" s="1"/>
  <c r="I1816" i="53"/>
  <c r="H1816" i="53"/>
  <c r="I1646" i="53"/>
  <c r="H1646" i="53"/>
  <c r="I1644" i="53"/>
  <c r="H1644" i="53"/>
  <c r="I1643" i="53"/>
  <c r="H1643" i="53"/>
  <c r="D1642" i="53"/>
  <c r="I1642" i="53" s="1"/>
  <c r="I1641" i="53"/>
  <c r="D1639" i="53"/>
  <c r="D1640" i="53" s="1"/>
  <c r="I1638" i="53"/>
  <c r="D1633" i="53"/>
  <c r="I1633" i="53" s="1"/>
  <c r="I1632" i="53"/>
  <c r="H1632" i="53"/>
  <c r="I1631" i="53"/>
  <c r="H1631" i="53"/>
  <c r="D1629" i="53"/>
  <c r="I1629" i="53" s="1"/>
  <c r="D1628" i="53"/>
  <c r="I1628" i="53" s="1"/>
  <c r="D1626" i="53"/>
  <c r="I1626" i="53" s="1"/>
  <c r="I1625" i="53"/>
  <c r="I1616" i="53"/>
  <c r="H1616" i="53"/>
  <c r="D1440" i="53"/>
  <c r="I1440" i="53" s="1"/>
  <c r="I1439" i="53"/>
  <c r="H1439" i="53"/>
  <c r="I1438" i="53"/>
  <c r="H1438" i="53"/>
  <c r="D1429" i="53"/>
  <c r="I1429" i="53" s="1"/>
  <c r="D1428" i="53"/>
  <c r="I1428" i="53" s="1"/>
  <c r="D1426" i="53"/>
  <c r="D1427" i="53" s="1"/>
  <c r="I1425" i="53"/>
  <c r="I1423" i="53"/>
  <c r="H1423" i="53"/>
  <c r="D1240" i="53"/>
  <c r="I1240" i="53" s="1"/>
  <c r="I1239" i="53"/>
  <c r="H1239" i="53"/>
  <c r="I1238" i="53"/>
  <c r="H1238" i="53"/>
  <c r="D1236" i="53"/>
  <c r="I1236" i="53" s="1"/>
  <c r="D1235" i="53"/>
  <c r="I1235" i="53" s="1"/>
  <c r="D1233" i="53"/>
  <c r="D1234" i="53" s="1"/>
  <c r="I1232" i="53"/>
  <c r="I1230" i="53"/>
  <c r="H1230" i="53"/>
  <c r="D1047" i="53"/>
  <c r="I1047" i="53" s="1"/>
  <c r="I1046" i="53"/>
  <c r="H1046" i="53"/>
  <c r="I1045" i="53"/>
  <c r="H1045" i="53"/>
  <c r="D1043" i="53"/>
  <c r="I1043" i="53" s="1"/>
  <c r="D1042" i="53"/>
  <c r="I1042" i="53" s="1"/>
  <c r="D1040" i="53"/>
  <c r="D1041" i="53" s="1"/>
  <c r="I1039" i="53"/>
  <c r="I1037" i="53"/>
  <c r="H1037" i="53"/>
  <c r="D855" i="53"/>
  <c r="I855" i="53" s="1"/>
  <c r="I854" i="53"/>
  <c r="H854" i="53"/>
  <c r="I853" i="53"/>
  <c r="H853" i="53"/>
  <c r="D851" i="53"/>
  <c r="I851" i="53" s="1"/>
  <c r="D850" i="53"/>
  <c r="I850" i="53" s="1"/>
  <c r="D848" i="53"/>
  <c r="D849" i="53" s="1"/>
  <c r="I847" i="53"/>
  <c r="I845" i="53"/>
  <c r="H845" i="53"/>
  <c r="D467" i="53"/>
  <c r="I467" i="53" s="1"/>
  <c r="I466" i="53"/>
  <c r="H466" i="53"/>
  <c r="I465" i="53"/>
  <c r="H465" i="53"/>
  <c r="D456" i="53"/>
  <c r="I456" i="53" s="1"/>
  <c r="D455" i="53"/>
  <c r="I455" i="53" s="1"/>
  <c r="D453" i="53"/>
  <c r="D454" i="53" s="1"/>
  <c r="I452" i="53"/>
  <c r="I450" i="53"/>
  <c r="H450" i="53"/>
  <c r="D664" i="53"/>
  <c r="I664" i="53" s="1"/>
  <c r="I663" i="53"/>
  <c r="H663" i="53"/>
  <c r="I662" i="53"/>
  <c r="H662" i="53"/>
  <c r="D652" i="53"/>
  <c r="I652" i="53" s="1"/>
  <c r="D651" i="53"/>
  <c r="I651" i="53" s="1"/>
  <c r="D649" i="53"/>
  <c r="D650" i="53" s="1"/>
  <c r="I650" i="53" s="1"/>
  <c r="I648" i="53"/>
  <c r="I646" i="53"/>
  <c r="H646" i="53"/>
  <c r="D216" i="53"/>
  <c r="I216" i="53" s="1"/>
  <c r="I215" i="53"/>
  <c r="H215" i="53"/>
  <c r="I214" i="53"/>
  <c r="H214" i="53"/>
  <c r="I107" i="53"/>
  <c r="H107" i="53"/>
  <c r="J2230" i="53" l="1"/>
  <c r="J107" i="53"/>
  <c r="J1891" i="53"/>
  <c r="J1697" i="53"/>
  <c r="J918" i="53"/>
  <c r="J1890" i="53"/>
  <c r="H722" i="53"/>
  <c r="J722" i="53" s="1"/>
  <c r="J1312" i="53"/>
  <c r="J1505" i="53"/>
  <c r="J1698" i="53"/>
  <c r="J1094" i="53"/>
  <c r="J1504" i="53"/>
  <c r="J1287" i="53"/>
  <c r="J1489" i="53"/>
  <c r="J1311" i="53"/>
  <c r="H1119" i="53"/>
  <c r="J1119" i="53" s="1"/>
  <c r="J1873" i="53"/>
  <c r="J1882" i="53"/>
  <c r="J1673" i="53"/>
  <c r="J1103" i="53"/>
  <c r="J714" i="53"/>
  <c r="J1883" i="53"/>
  <c r="J917" i="53"/>
  <c r="J1490" i="53"/>
  <c r="J364" i="53"/>
  <c r="J1690" i="53"/>
  <c r="I1290" i="53"/>
  <c r="J1290" i="53" s="1"/>
  <c r="J1881" i="53"/>
  <c r="D1291" i="53"/>
  <c r="I1291" i="53" s="1"/>
  <c r="J362" i="53"/>
  <c r="J704" i="53"/>
  <c r="J908" i="53"/>
  <c r="J1295" i="53"/>
  <c r="I1483" i="53"/>
  <c r="I1491" i="53"/>
  <c r="J1491" i="53" s="1"/>
  <c r="J1688" i="53"/>
  <c r="J909" i="53"/>
  <c r="J1689" i="53"/>
  <c r="J889" i="53"/>
  <c r="J1102" i="53"/>
  <c r="J1297" i="53"/>
  <c r="I1486" i="53"/>
  <c r="J1486" i="53" s="1"/>
  <c r="J514" i="53"/>
  <c r="J900" i="53"/>
  <c r="J1104" i="53"/>
  <c r="J1480" i="53"/>
  <c r="I1293" i="53"/>
  <c r="J1293" i="53" s="1"/>
  <c r="J1488" i="53"/>
  <c r="J534" i="53"/>
  <c r="H902" i="53"/>
  <c r="J902" i="53" s="1"/>
  <c r="D1677" i="53"/>
  <c r="I1677" i="53" s="1"/>
  <c r="J910" i="53"/>
  <c r="J535" i="53"/>
  <c r="H905" i="53"/>
  <c r="J905" i="53" s="1"/>
  <c r="J1296" i="53"/>
  <c r="I1877" i="53"/>
  <c r="H1877" i="53"/>
  <c r="H1875" i="53"/>
  <c r="J1875" i="53" s="1"/>
  <c r="H1878" i="53"/>
  <c r="J1878" i="53" s="1"/>
  <c r="H1876" i="53"/>
  <c r="H1879" i="53"/>
  <c r="J1879" i="53" s="1"/>
  <c r="I1876" i="53"/>
  <c r="H1884" i="53"/>
  <c r="J1884" i="53" s="1"/>
  <c r="H1675" i="53"/>
  <c r="J1675" i="53" s="1"/>
  <c r="H1678" i="53"/>
  <c r="J1678" i="53" s="1"/>
  <c r="H1676" i="53"/>
  <c r="J1676" i="53" s="1"/>
  <c r="H1679" i="53"/>
  <c r="J1679" i="53" s="1"/>
  <c r="H1691" i="53"/>
  <c r="J1691" i="53" s="1"/>
  <c r="I1484" i="53"/>
  <c r="H1484" i="53"/>
  <c r="H1482" i="53"/>
  <c r="J1482" i="53" s="1"/>
  <c r="H1485" i="53"/>
  <c r="J1485" i="53" s="1"/>
  <c r="H1483" i="53"/>
  <c r="H1289" i="53"/>
  <c r="J1289" i="53" s="1"/>
  <c r="H1292" i="53"/>
  <c r="J1292" i="53" s="1"/>
  <c r="H1298" i="53"/>
  <c r="J1298" i="53" s="1"/>
  <c r="I1098" i="53"/>
  <c r="H1098" i="53"/>
  <c r="H1096" i="53"/>
  <c r="J1096" i="53" s="1"/>
  <c r="H1099" i="53"/>
  <c r="J1099" i="53" s="1"/>
  <c r="H1097" i="53"/>
  <c r="H1100" i="53"/>
  <c r="J1100" i="53" s="1"/>
  <c r="I1097" i="53"/>
  <c r="H1105" i="53"/>
  <c r="J1105" i="53" s="1"/>
  <c r="I904" i="53"/>
  <c r="H904" i="53"/>
  <c r="H903" i="53"/>
  <c r="H906" i="53"/>
  <c r="J906" i="53" s="1"/>
  <c r="I903" i="53"/>
  <c r="H911" i="53"/>
  <c r="J911" i="53" s="1"/>
  <c r="J506" i="53"/>
  <c r="J515" i="53"/>
  <c r="J516" i="53"/>
  <c r="J712" i="53"/>
  <c r="J713" i="53"/>
  <c r="I708" i="53"/>
  <c r="H708" i="53"/>
  <c r="H706" i="53"/>
  <c r="J706" i="53" s="1"/>
  <c r="H709" i="53"/>
  <c r="J709" i="53" s="1"/>
  <c r="H707" i="53"/>
  <c r="H710" i="53"/>
  <c r="J710" i="53" s="1"/>
  <c r="I707" i="53"/>
  <c r="H715" i="53"/>
  <c r="J715" i="53" s="1"/>
  <c r="J341" i="53"/>
  <c r="J333" i="53"/>
  <c r="J342" i="53"/>
  <c r="J501" i="53"/>
  <c r="J879" i="53"/>
  <c r="J1282" i="53"/>
  <c r="J1669" i="53"/>
  <c r="J1283" i="53"/>
  <c r="H517" i="53"/>
  <c r="J517" i="53" s="1"/>
  <c r="J363" i="53"/>
  <c r="I510" i="53"/>
  <c r="H510" i="53"/>
  <c r="H508" i="53"/>
  <c r="J508" i="53" s="1"/>
  <c r="H511" i="53"/>
  <c r="J511" i="53" s="1"/>
  <c r="H509" i="53"/>
  <c r="H512" i="53"/>
  <c r="J512" i="53" s="1"/>
  <c r="I509" i="53"/>
  <c r="J343" i="53"/>
  <c r="J347" i="53"/>
  <c r="J1852" i="53"/>
  <c r="J1659" i="53"/>
  <c r="I351" i="53"/>
  <c r="H351" i="53"/>
  <c r="H352" i="53"/>
  <c r="J352" i="53" s="1"/>
  <c r="I349" i="53"/>
  <c r="J349" i="53" s="1"/>
  <c r="H350" i="53"/>
  <c r="H353" i="53"/>
  <c r="J353" i="53" s="1"/>
  <c r="I350" i="53"/>
  <c r="H365" i="53"/>
  <c r="J365" i="53" s="1"/>
  <c r="H339" i="53"/>
  <c r="J339" i="53" s="1"/>
  <c r="H336" i="53"/>
  <c r="I336" i="53"/>
  <c r="I337" i="53"/>
  <c r="H337" i="53"/>
  <c r="H335" i="53"/>
  <c r="J335" i="53" s="1"/>
  <c r="H338" i="53"/>
  <c r="J338" i="53" s="1"/>
  <c r="J368" i="53"/>
  <c r="J1860" i="53"/>
  <c r="J1474" i="53"/>
  <c r="H344" i="53"/>
  <c r="J344" i="53" s="1"/>
  <c r="J1073" i="53"/>
  <c r="J1476" i="53"/>
  <c r="J1862" i="53"/>
  <c r="J1667" i="53"/>
  <c r="J1266" i="53"/>
  <c r="J273" i="53"/>
  <c r="J502" i="53"/>
  <c r="I1268" i="53"/>
  <c r="J1268" i="53" s="1"/>
  <c r="J1459" i="53"/>
  <c r="J1861" i="53"/>
  <c r="J887" i="53"/>
  <c r="H1076" i="53"/>
  <c r="J1281" i="53"/>
  <c r="I1469" i="53"/>
  <c r="H490" i="53"/>
  <c r="J490" i="53" s="1"/>
  <c r="H1854" i="53"/>
  <c r="J1854" i="53" s="1"/>
  <c r="J698" i="53"/>
  <c r="I1472" i="53"/>
  <c r="J1472" i="53" s="1"/>
  <c r="J1668" i="53"/>
  <c r="H1857" i="53"/>
  <c r="J1857" i="53" s="1"/>
  <c r="J485" i="53"/>
  <c r="J1089" i="53"/>
  <c r="J1090" i="53"/>
  <c r="J1475" i="53"/>
  <c r="I1856" i="53"/>
  <c r="H1856" i="53"/>
  <c r="H1855" i="53"/>
  <c r="H1858" i="53"/>
  <c r="J1858" i="53" s="1"/>
  <c r="I1855" i="53"/>
  <c r="H1863" i="53"/>
  <c r="J1863" i="53" s="1"/>
  <c r="I1663" i="53"/>
  <c r="H1663" i="53"/>
  <c r="H1661" i="53"/>
  <c r="J1661" i="53" s="1"/>
  <c r="H1664" i="53"/>
  <c r="J1664" i="53" s="1"/>
  <c r="H1662" i="53"/>
  <c r="H1665" i="53"/>
  <c r="J1665" i="53" s="1"/>
  <c r="I1662" i="53"/>
  <c r="H1670" i="53"/>
  <c r="J1670" i="53" s="1"/>
  <c r="I1470" i="53"/>
  <c r="H1470" i="53"/>
  <c r="H1468" i="53"/>
  <c r="J1468" i="53" s="1"/>
  <c r="H1471" i="53"/>
  <c r="J1471" i="53" s="1"/>
  <c r="H1469" i="53"/>
  <c r="H1477" i="53"/>
  <c r="J1477" i="53" s="1"/>
  <c r="I1270" i="53"/>
  <c r="H1270" i="53"/>
  <c r="H1271" i="53"/>
  <c r="J1271" i="53" s="1"/>
  <c r="H1269" i="53"/>
  <c r="H1272" i="53"/>
  <c r="J1272" i="53" s="1"/>
  <c r="I1269" i="53"/>
  <c r="H1284" i="53"/>
  <c r="J1284" i="53" s="1"/>
  <c r="J888" i="53"/>
  <c r="H487" i="53"/>
  <c r="J487" i="53" s="1"/>
  <c r="J500" i="53"/>
  <c r="H1086" i="53"/>
  <c r="J1086" i="53" s="1"/>
  <c r="H685" i="53"/>
  <c r="J685" i="53" s="1"/>
  <c r="J699" i="53"/>
  <c r="J700" i="53"/>
  <c r="J1088" i="53"/>
  <c r="H503" i="53"/>
  <c r="J503" i="53" s="1"/>
  <c r="J87" i="53"/>
  <c r="J683" i="53"/>
  <c r="I1077" i="53"/>
  <c r="H1077" i="53"/>
  <c r="I1076" i="53"/>
  <c r="H1091" i="53"/>
  <c r="J1091" i="53" s="1"/>
  <c r="H1075" i="53"/>
  <c r="J1075" i="53" s="1"/>
  <c r="H1078" i="53"/>
  <c r="J1078" i="53" s="1"/>
  <c r="I883" i="53"/>
  <c r="H883" i="53"/>
  <c r="H882" i="53"/>
  <c r="H885" i="53"/>
  <c r="J885" i="53" s="1"/>
  <c r="I882" i="53"/>
  <c r="H890" i="53"/>
  <c r="J890" i="53" s="1"/>
  <c r="H881" i="53"/>
  <c r="J881" i="53" s="1"/>
  <c r="H884" i="53"/>
  <c r="J884" i="53" s="1"/>
  <c r="I687" i="53"/>
  <c r="H687" i="53"/>
  <c r="H686" i="53"/>
  <c r="H689" i="53"/>
  <c r="J689" i="53" s="1"/>
  <c r="I686" i="53"/>
  <c r="H701" i="53"/>
  <c r="J701" i="53" s="1"/>
  <c r="H688" i="53"/>
  <c r="J688" i="53" s="1"/>
  <c r="I489" i="53"/>
  <c r="H489" i="53"/>
  <c r="H488" i="53"/>
  <c r="H491" i="53"/>
  <c r="J491" i="53" s="1"/>
  <c r="I488" i="53"/>
  <c r="J165" i="53"/>
  <c r="J271" i="53"/>
  <c r="J250" i="53"/>
  <c r="J252" i="53"/>
  <c r="J272" i="53"/>
  <c r="H274" i="53"/>
  <c r="J274" i="53" s="1"/>
  <c r="J86" i="53"/>
  <c r="J2196" i="53"/>
  <c r="J168" i="53"/>
  <c r="J251" i="53"/>
  <c r="J84" i="53"/>
  <c r="H253" i="53"/>
  <c r="J253" i="53" s="1"/>
  <c r="J85" i="53"/>
  <c r="J121" i="53"/>
  <c r="H88" i="53"/>
  <c r="J88" i="53" s="1"/>
  <c r="J145" i="53"/>
  <c r="J142" i="53"/>
  <c r="J143" i="53"/>
  <c r="J144" i="53"/>
  <c r="J122" i="53"/>
  <c r="J119" i="53"/>
  <c r="J120" i="53"/>
  <c r="J134" i="53"/>
  <c r="J167" i="53"/>
  <c r="H139" i="53"/>
  <c r="J139" i="53" s="1"/>
  <c r="J166" i="53"/>
  <c r="J111" i="53"/>
  <c r="H136" i="53"/>
  <c r="J136" i="53" s="1"/>
  <c r="H152" i="53"/>
  <c r="J152" i="53" s="1"/>
  <c r="I138" i="53"/>
  <c r="H146" i="53"/>
  <c r="J146" i="53" s="1"/>
  <c r="H155" i="53"/>
  <c r="J155" i="53" s="1"/>
  <c r="J150" i="53"/>
  <c r="I154" i="53"/>
  <c r="H154" i="53"/>
  <c r="I115" i="53"/>
  <c r="H115" i="53"/>
  <c r="H153" i="53"/>
  <c r="H163" i="53"/>
  <c r="J163" i="53" s="1"/>
  <c r="H123" i="53"/>
  <c r="J123" i="53" s="1"/>
  <c r="I153" i="53"/>
  <c r="H113" i="53"/>
  <c r="J113" i="53" s="1"/>
  <c r="H116" i="53"/>
  <c r="J116" i="53" s="1"/>
  <c r="H137" i="53"/>
  <c r="J137" i="53" s="1"/>
  <c r="H140" i="53"/>
  <c r="J140" i="53" s="1"/>
  <c r="H114" i="53"/>
  <c r="H117" i="53"/>
  <c r="J117" i="53" s="1"/>
  <c r="I114" i="53"/>
  <c r="H169" i="53"/>
  <c r="J169" i="53" s="1"/>
  <c r="J1969" i="53"/>
  <c r="J2177" i="53"/>
  <c r="J1922" i="53"/>
  <c r="J1584" i="53"/>
  <c r="J1391" i="53"/>
  <c r="J1968" i="53"/>
  <c r="J2178" i="53"/>
  <c r="J2195" i="53"/>
  <c r="J1185" i="53"/>
  <c r="I1387" i="53"/>
  <c r="J1387" i="53" s="1"/>
  <c r="J1783" i="53"/>
  <c r="J2162" i="53"/>
  <c r="J1377" i="53"/>
  <c r="J1729" i="53"/>
  <c r="J2187" i="53"/>
  <c r="H2167" i="53"/>
  <c r="J2167" i="53" s="1"/>
  <c r="J1754" i="53"/>
  <c r="H1950" i="53"/>
  <c r="J1950" i="53" s="1"/>
  <c r="J2179" i="53"/>
  <c r="J1947" i="53"/>
  <c r="J1953" i="53"/>
  <c r="J1570" i="53"/>
  <c r="J1784" i="53"/>
  <c r="J2197" i="53"/>
  <c r="I2198" i="53"/>
  <c r="J2198" i="53" s="1"/>
  <c r="I2180" i="53"/>
  <c r="J2180" i="53" s="1"/>
  <c r="H2164" i="53"/>
  <c r="J2164" i="53" s="1"/>
  <c r="I2191" i="53"/>
  <c r="H2191" i="53"/>
  <c r="H2166" i="53"/>
  <c r="I2166" i="53"/>
  <c r="H1765" i="53"/>
  <c r="J1765" i="53" s="1"/>
  <c r="H2189" i="53"/>
  <c r="J2189" i="53" s="1"/>
  <c r="H2192" i="53"/>
  <c r="J2192" i="53" s="1"/>
  <c r="H1919" i="53"/>
  <c r="J1919" i="53" s="1"/>
  <c r="J1948" i="53"/>
  <c r="J1546" i="53"/>
  <c r="J1768" i="53"/>
  <c r="J1924" i="53"/>
  <c r="J1764" i="53"/>
  <c r="H2190" i="53"/>
  <c r="H2193" i="53"/>
  <c r="J2193" i="53" s="1"/>
  <c r="I2190" i="53"/>
  <c r="H2165" i="53"/>
  <c r="H2168" i="53"/>
  <c r="J2168" i="53" s="1"/>
  <c r="I2165" i="53"/>
  <c r="H1916" i="53"/>
  <c r="J1916" i="53" s="1"/>
  <c r="J1923" i="53"/>
  <c r="J1939" i="53"/>
  <c r="J1361" i="53"/>
  <c r="J1376" i="53"/>
  <c r="J1569" i="53"/>
  <c r="D1733" i="53"/>
  <c r="I1733" i="53" s="1"/>
  <c r="H1773" i="53"/>
  <c r="J1773" i="53" s="1"/>
  <c r="J1914" i="53"/>
  <c r="H1774" i="53"/>
  <c r="J1774" i="53" s="1"/>
  <c r="J1970" i="53"/>
  <c r="I1756" i="53"/>
  <c r="J1756" i="53" s="1"/>
  <c r="J1536" i="53"/>
  <c r="J1544" i="53"/>
  <c r="J1949" i="53"/>
  <c r="J991" i="53"/>
  <c r="J1198" i="53"/>
  <c r="J791" i="53"/>
  <c r="J966" i="53"/>
  <c r="I1925" i="53"/>
  <c r="J1925" i="53" s="1"/>
  <c r="I1964" i="53"/>
  <c r="H1964" i="53"/>
  <c r="I1943" i="53"/>
  <c r="H1943" i="53"/>
  <c r="H1918" i="53"/>
  <c r="I1918" i="53"/>
  <c r="I967" i="53"/>
  <c r="J967" i="53" s="1"/>
  <c r="H1572" i="53"/>
  <c r="J1572" i="53" s="1"/>
  <c r="H1770" i="53"/>
  <c r="J1770" i="53" s="1"/>
  <c r="H1941" i="53"/>
  <c r="J1941" i="53" s="1"/>
  <c r="H1944" i="53"/>
  <c r="J1944" i="53" s="1"/>
  <c r="H1963" i="53"/>
  <c r="H1966" i="53"/>
  <c r="J1966" i="53" s="1"/>
  <c r="J1583" i="53"/>
  <c r="J1739" i="53"/>
  <c r="J1762" i="53"/>
  <c r="J1785" i="53"/>
  <c r="I1963" i="53"/>
  <c r="J1571" i="53"/>
  <c r="J1763" i="53"/>
  <c r="H1771" i="53"/>
  <c r="H1942" i="53"/>
  <c r="H1945" i="53"/>
  <c r="J1945" i="53" s="1"/>
  <c r="J792" i="53"/>
  <c r="I1771" i="53"/>
  <c r="I1942" i="53"/>
  <c r="H1917" i="53"/>
  <c r="H1920" i="53"/>
  <c r="J1920" i="53" s="1"/>
  <c r="J1737" i="53"/>
  <c r="I1759" i="53"/>
  <c r="J1759" i="53" s="1"/>
  <c r="I1917" i="53"/>
  <c r="H1971" i="53"/>
  <c r="J1971" i="53" s="1"/>
  <c r="H1962" i="53"/>
  <c r="J1962" i="53" s="1"/>
  <c r="H1965" i="53"/>
  <c r="J1965" i="53" s="1"/>
  <c r="J956" i="53"/>
  <c r="J1585" i="53"/>
  <c r="J1738" i="53"/>
  <c r="I1772" i="53"/>
  <c r="H1772" i="53"/>
  <c r="I1758" i="53"/>
  <c r="H1758" i="53"/>
  <c r="H1379" i="53"/>
  <c r="J1379" i="53" s="1"/>
  <c r="H1538" i="53"/>
  <c r="J1538" i="53" s="1"/>
  <c r="H1740" i="53"/>
  <c r="J1740" i="53" s="1"/>
  <c r="J1575" i="53"/>
  <c r="H1731" i="53"/>
  <c r="J1731" i="53" s="1"/>
  <c r="H1734" i="53"/>
  <c r="J1734" i="53" s="1"/>
  <c r="J1160" i="53"/>
  <c r="I1186" i="53"/>
  <c r="J1186" i="53" s="1"/>
  <c r="J1382" i="53"/>
  <c r="J1545" i="53"/>
  <c r="H1757" i="53"/>
  <c r="H1760" i="53"/>
  <c r="J1760" i="53" s="1"/>
  <c r="I1757" i="53"/>
  <c r="H1541" i="53"/>
  <c r="J1541" i="53" s="1"/>
  <c r="I1547" i="53"/>
  <c r="J1547" i="53" s="1"/>
  <c r="H1732" i="53"/>
  <c r="J1732" i="53" s="1"/>
  <c r="H1735" i="53"/>
  <c r="J1735" i="53" s="1"/>
  <c r="J1561" i="53"/>
  <c r="H1786" i="53"/>
  <c r="J1786" i="53" s="1"/>
  <c r="J1150" i="53"/>
  <c r="J1158" i="53"/>
  <c r="I1565" i="53"/>
  <c r="H1565" i="53"/>
  <c r="I1540" i="53"/>
  <c r="H1540" i="53"/>
  <c r="I1579" i="53"/>
  <c r="H1579" i="53"/>
  <c r="H1388" i="53"/>
  <c r="J1388" i="53" s="1"/>
  <c r="H1563" i="53"/>
  <c r="J1563" i="53" s="1"/>
  <c r="H1566" i="53"/>
  <c r="J1566" i="53" s="1"/>
  <c r="I993" i="53"/>
  <c r="J993" i="53" s="1"/>
  <c r="H1578" i="53"/>
  <c r="H1581" i="53"/>
  <c r="J1581" i="53" s="1"/>
  <c r="J996" i="53"/>
  <c r="J1378" i="53"/>
  <c r="J1392" i="53"/>
  <c r="I1578" i="53"/>
  <c r="J1005" i="53"/>
  <c r="J1343" i="53"/>
  <c r="J1351" i="53"/>
  <c r="H1564" i="53"/>
  <c r="H1567" i="53"/>
  <c r="J1567" i="53" s="1"/>
  <c r="I1564" i="53"/>
  <c r="I1384" i="53"/>
  <c r="J1384" i="53" s="1"/>
  <c r="J1390" i="53"/>
  <c r="I1194" i="53"/>
  <c r="J1194" i="53" s="1"/>
  <c r="J1352" i="53"/>
  <c r="H1539" i="53"/>
  <c r="H1542" i="53"/>
  <c r="J1542" i="53" s="1"/>
  <c r="J1183" i="53"/>
  <c r="H1385" i="53"/>
  <c r="I1539" i="53"/>
  <c r="H1586" i="53"/>
  <c r="J1586" i="53" s="1"/>
  <c r="H1577" i="53"/>
  <c r="J1577" i="53" s="1"/>
  <c r="H1580" i="53"/>
  <c r="J1580" i="53" s="1"/>
  <c r="J774" i="53"/>
  <c r="H958" i="53"/>
  <c r="J958" i="53" s="1"/>
  <c r="J990" i="53"/>
  <c r="J1184" i="53"/>
  <c r="J1199" i="53"/>
  <c r="J1353" i="53"/>
  <c r="I1365" i="53"/>
  <c r="H1365" i="53"/>
  <c r="I1347" i="53"/>
  <c r="H1347" i="53"/>
  <c r="I1386" i="53"/>
  <c r="H1386" i="53"/>
  <c r="J600" i="53"/>
  <c r="J758" i="53"/>
  <c r="J773" i="53"/>
  <c r="H1155" i="53"/>
  <c r="J1155" i="53" s="1"/>
  <c r="I1161" i="53"/>
  <c r="J1161" i="53" s="1"/>
  <c r="H1363" i="53"/>
  <c r="J1363" i="53" s="1"/>
  <c r="H1366" i="53"/>
  <c r="J1366" i="53" s="1"/>
  <c r="I809" i="53"/>
  <c r="J809" i="53" s="1"/>
  <c r="J1168" i="53"/>
  <c r="H1191" i="53"/>
  <c r="J1191" i="53" s="1"/>
  <c r="H1354" i="53"/>
  <c r="J1354" i="53" s="1"/>
  <c r="I1385" i="53"/>
  <c r="J964" i="53"/>
  <c r="H1345" i="53"/>
  <c r="J1345" i="53" s="1"/>
  <c r="H1348" i="53"/>
  <c r="J1348" i="53" s="1"/>
  <c r="J965" i="53"/>
  <c r="J1197" i="53"/>
  <c r="H1364" i="53"/>
  <c r="H1367" i="53"/>
  <c r="J1367" i="53" s="1"/>
  <c r="I1364" i="53"/>
  <c r="I794" i="53"/>
  <c r="J794" i="53" s="1"/>
  <c r="J2077" i="53"/>
  <c r="H1346" i="53"/>
  <c r="H1349" i="53"/>
  <c r="J1349" i="53" s="1"/>
  <c r="I1346" i="53"/>
  <c r="H1393" i="53"/>
  <c r="J1393" i="53" s="1"/>
  <c r="J793" i="53"/>
  <c r="J812" i="53"/>
  <c r="J1006" i="53"/>
  <c r="H1152" i="53"/>
  <c r="J1152" i="53" s="1"/>
  <c r="J1189" i="53"/>
  <c r="J1159" i="53"/>
  <c r="H1154" i="53"/>
  <c r="I1154" i="53"/>
  <c r="I1193" i="53"/>
  <c r="H1193" i="53"/>
  <c r="I1179" i="53"/>
  <c r="H1179" i="53"/>
  <c r="J992" i="53"/>
  <c r="H1170" i="53"/>
  <c r="J1170" i="53" s="1"/>
  <c r="H1180" i="53"/>
  <c r="J1180" i="53" s="1"/>
  <c r="H961" i="53"/>
  <c r="J961" i="53" s="1"/>
  <c r="H1192" i="53"/>
  <c r="H1195" i="53"/>
  <c r="J1195" i="53" s="1"/>
  <c r="I1192" i="53"/>
  <c r="J974" i="53"/>
  <c r="J1004" i="53"/>
  <c r="H1178" i="53"/>
  <c r="H1181" i="53"/>
  <c r="J1181" i="53" s="1"/>
  <c r="H998" i="53"/>
  <c r="J998" i="53" s="1"/>
  <c r="I1178" i="53"/>
  <c r="H1153" i="53"/>
  <c r="H1156" i="53"/>
  <c r="J1156" i="53" s="1"/>
  <c r="H1001" i="53"/>
  <c r="J1001" i="53" s="1"/>
  <c r="I1153" i="53"/>
  <c r="H1200" i="53"/>
  <c r="J1200" i="53" s="1"/>
  <c r="H2056" i="53"/>
  <c r="J2056" i="53" s="1"/>
  <c r="J2061" i="53"/>
  <c r="J2090" i="53"/>
  <c r="J804" i="53"/>
  <c r="J814" i="53"/>
  <c r="H960" i="53"/>
  <c r="I960" i="53"/>
  <c r="I978" i="53"/>
  <c r="H978" i="53"/>
  <c r="I1000" i="53"/>
  <c r="H1000" i="53"/>
  <c r="H806" i="53"/>
  <c r="J806" i="53" s="1"/>
  <c r="H976" i="53"/>
  <c r="J976" i="53" s="1"/>
  <c r="H979" i="53"/>
  <c r="J979" i="53" s="1"/>
  <c r="H785" i="53"/>
  <c r="J785" i="53" s="1"/>
  <c r="H999" i="53"/>
  <c r="H1002" i="53"/>
  <c r="J1002" i="53" s="1"/>
  <c r="H760" i="53"/>
  <c r="J760" i="53" s="1"/>
  <c r="I999" i="53"/>
  <c r="H788" i="53"/>
  <c r="J788" i="53" s="1"/>
  <c r="H977" i="53"/>
  <c r="H980" i="53"/>
  <c r="J980" i="53" s="1"/>
  <c r="H763" i="53"/>
  <c r="J763" i="53" s="1"/>
  <c r="J813" i="53"/>
  <c r="I977" i="53"/>
  <c r="H959" i="53"/>
  <c r="H962" i="53"/>
  <c r="J962" i="53" s="1"/>
  <c r="J576" i="53"/>
  <c r="J605" i="53"/>
  <c r="J775" i="53"/>
  <c r="J783" i="53"/>
  <c r="I959" i="53"/>
  <c r="H1007" i="53"/>
  <c r="J1007" i="53" s="1"/>
  <c r="J2079" i="53"/>
  <c r="I787" i="53"/>
  <c r="H787" i="53"/>
  <c r="I762" i="53"/>
  <c r="H762" i="53"/>
  <c r="I808" i="53"/>
  <c r="H808" i="53"/>
  <c r="J574" i="53"/>
  <c r="J2060" i="53"/>
  <c r="H807" i="53"/>
  <c r="H810" i="53"/>
  <c r="J810" i="53" s="1"/>
  <c r="J599" i="53"/>
  <c r="J2078" i="53"/>
  <c r="H776" i="53"/>
  <c r="J776" i="53" s="1"/>
  <c r="I807" i="53"/>
  <c r="H786" i="53"/>
  <c r="H789" i="53"/>
  <c r="J789" i="53" s="1"/>
  <c r="I786" i="53"/>
  <c r="J2099" i="53"/>
  <c r="H761" i="53"/>
  <c r="H764" i="53"/>
  <c r="J764" i="53" s="1"/>
  <c r="I761" i="53"/>
  <c r="H815" i="53"/>
  <c r="J815" i="53" s="1"/>
  <c r="J2051" i="53"/>
  <c r="I607" i="53"/>
  <c r="J607" i="53" s="1"/>
  <c r="J2059" i="53"/>
  <c r="I2092" i="53"/>
  <c r="J2092" i="53" s="1"/>
  <c r="H2053" i="53"/>
  <c r="J2053" i="53" s="1"/>
  <c r="J2100" i="53"/>
  <c r="J2098" i="53"/>
  <c r="H2080" i="53"/>
  <c r="J2080" i="53" s="1"/>
  <c r="H2095" i="53"/>
  <c r="J2095" i="53" s="1"/>
  <c r="I2062" i="53"/>
  <c r="J2062" i="53" s="1"/>
  <c r="J2069" i="53"/>
  <c r="I2073" i="53"/>
  <c r="H2073" i="53"/>
  <c r="I2094" i="53"/>
  <c r="H2094" i="53"/>
  <c r="H2055" i="53"/>
  <c r="I2055" i="53"/>
  <c r="J419" i="53"/>
  <c r="H2071" i="53"/>
  <c r="J2071" i="53" s="1"/>
  <c r="H2074" i="53"/>
  <c r="J2074" i="53" s="1"/>
  <c r="H2093" i="53"/>
  <c r="H2096" i="53"/>
  <c r="J2096" i="53" s="1"/>
  <c r="J615" i="53"/>
  <c r="I2093" i="53"/>
  <c r="H2072" i="53"/>
  <c r="H2075" i="53"/>
  <c r="J2075" i="53" s="1"/>
  <c r="I2072" i="53"/>
  <c r="I410" i="53"/>
  <c r="J410" i="53" s="1"/>
  <c r="H2054" i="53"/>
  <c r="H2057" i="53"/>
  <c r="J2057" i="53" s="1"/>
  <c r="I2054" i="53"/>
  <c r="H2101" i="53"/>
  <c r="J2101" i="53" s="1"/>
  <c r="H602" i="53"/>
  <c r="J602" i="53" s="1"/>
  <c r="J376" i="53"/>
  <c r="J386" i="53"/>
  <c r="I610" i="53"/>
  <c r="J610" i="53" s="1"/>
  <c r="J575" i="53"/>
  <c r="J601" i="53"/>
  <c r="J416" i="53"/>
  <c r="I577" i="53"/>
  <c r="J577" i="53" s="1"/>
  <c r="J584" i="53"/>
  <c r="J613" i="53"/>
  <c r="J418" i="53"/>
  <c r="J614" i="53"/>
  <c r="I609" i="53"/>
  <c r="H609" i="53"/>
  <c r="I588" i="53"/>
  <c r="H588" i="53"/>
  <c r="H414" i="53"/>
  <c r="J414" i="53" s="1"/>
  <c r="H586" i="53"/>
  <c r="J586" i="53" s="1"/>
  <c r="H589" i="53"/>
  <c r="J589" i="53" s="1"/>
  <c r="H608" i="53"/>
  <c r="H611" i="53"/>
  <c r="J611" i="53" s="1"/>
  <c r="I608" i="53"/>
  <c r="H587" i="53"/>
  <c r="H590" i="53"/>
  <c r="J590" i="53" s="1"/>
  <c r="I587" i="53"/>
  <c r="H411" i="53"/>
  <c r="J1205" i="53"/>
  <c r="J1611" i="53"/>
  <c r="J408" i="53"/>
  <c r="H413" i="53"/>
  <c r="J413" i="53" s="1"/>
  <c r="H616" i="53"/>
  <c r="J616" i="53" s="1"/>
  <c r="J403" i="53"/>
  <c r="J417" i="53"/>
  <c r="I412" i="53"/>
  <c r="H412" i="53"/>
  <c r="H391" i="53"/>
  <c r="J391" i="53" s="1"/>
  <c r="I411" i="53"/>
  <c r="J378" i="53"/>
  <c r="H420" i="53"/>
  <c r="J420" i="53" s="1"/>
  <c r="J402" i="53"/>
  <c r="H388" i="53"/>
  <c r="J388" i="53" s="1"/>
  <c r="J404" i="53"/>
  <c r="J401" i="53"/>
  <c r="J377" i="53"/>
  <c r="I390" i="53"/>
  <c r="H390" i="53"/>
  <c r="H389" i="53"/>
  <c r="H392" i="53"/>
  <c r="J392" i="53" s="1"/>
  <c r="I389" i="53"/>
  <c r="J1206" i="53"/>
  <c r="J1996" i="53"/>
  <c r="J629" i="53"/>
  <c r="H405" i="53"/>
  <c r="J405" i="53" s="1"/>
  <c r="J379" i="53"/>
  <c r="H380" i="53"/>
  <c r="J380" i="53" s="1"/>
  <c r="J1978" i="53"/>
  <c r="J1014" i="53"/>
  <c r="J1977" i="53"/>
  <c r="J1225" i="53"/>
  <c r="J1610" i="53"/>
  <c r="J1032" i="53"/>
  <c r="J1417" i="53"/>
  <c r="J1612" i="53"/>
  <c r="J1418" i="53"/>
  <c r="J638" i="53"/>
  <c r="J1224" i="53"/>
  <c r="J1419" i="53"/>
  <c r="J1804" i="53"/>
  <c r="J1029" i="53"/>
  <c r="J841" i="53"/>
  <c r="J1805" i="53"/>
  <c r="J1415" i="53"/>
  <c r="J641" i="53"/>
  <c r="J444" i="53"/>
  <c r="J1802" i="53"/>
  <c r="J839" i="53"/>
  <c r="J1600" i="53"/>
  <c r="J1829" i="53"/>
  <c r="J837" i="53"/>
  <c r="I1017" i="53"/>
  <c r="J642" i="53"/>
  <c r="J1222" i="53"/>
  <c r="J1997" i="53"/>
  <c r="J840" i="53"/>
  <c r="J820" i="53"/>
  <c r="J1399" i="53"/>
  <c r="J1226" i="53"/>
  <c r="J821" i="53"/>
  <c r="J1793" i="53"/>
  <c r="J1400" i="53"/>
  <c r="J1013" i="53"/>
  <c r="J1033" i="53"/>
  <c r="H1410" i="53"/>
  <c r="J1599" i="53"/>
  <c r="J1801" i="53"/>
  <c r="H1981" i="53"/>
  <c r="J1995" i="53"/>
  <c r="J1608" i="53"/>
  <c r="H1796" i="53"/>
  <c r="J1803" i="53"/>
  <c r="J1976" i="53"/>
  <c r="J1791" i="53"/>
  <c r="J822" i="53"/>
  <c r="J1031" i="53"/>
  <c r="J1792" i="53"/>
  <c r="J1398" i="53"/>
  <c r="I1983" i="53"/>
  <c r="J1983" i="53" s="1"/>
  <c r="J1993" i="53"/>
  <c r="J1012" i="53"/>
  <c r="J1598" i="53"/>
  <c r="J1994" i="53"/>
  <c r="H1984" i="53"/>
  <c r="J1984" i="53" s="1"/>
  <c r="I1980" i="53"/>
  <c r="J1980" i="53" s="1"/>
  <c r="I1982" i="53"/>
  <c r="H1982" i="53"/>
  <c r="I1981" i="53"/>
  <c r="H1998" i="53"/>
  <c r="J1998" i="53" s="1"/>
  <c r="H1799" i="53"/>
  <c r="J1799" i="53" s="1"/>
  <c r="I1797" i="53"/>
  <c r="H1797" i="53"/>
  <c r="I1796" i="53"/>
  <c r="H1806" i="53"/>
  <c r="J1806" i="53" s="1"/>
  <c r="H1795" i="53"/>
  <c r="J1795" i="53" s="1"/>
  <c r="H1798" i="53"/>
  <c r="J1798" i="53" s="1"/>
  <c r="J1609" i="53"/>
  <c r="H1603" i="53"/>
  <c r="H1606" i="53"/>
  <c r="J1606" i="53" s="1"/>
  <c r="I1604" i="53"/>
  <c r="H1604" i="53"/>
  <c r="I1603" i="53"/>
  <c r="H1613" i="53"/>
  <c r="J1613" i="53" s="1"/>
  <c r="H1602" i="53"/>
  <c r="H1605" i="53"/>
  <c r="J1605" i="53" s="1"/>
  <c r="J1416" i="53"/>
  <c r="I1412" i="53"/>
  <c r="J1412" i="53" s="1"/>
  <c r="H1413" i="53"/>
  <c r="J1413" i="53" s="1"/>
  <c r="I1409" i="53"/>
  <c r="J1409" i="53" s="1"/>
  <c r="I1411" i="53"/>
  <c r="H1411" i="53"/>
  <c r="I1410" i="53"/>
  <c r="H1420" i="53"/>
  <c r="J1420" i="53" s="1"/>
  <c r="J1223" i="53"/>
  <c r="H1217" i="53"/>
  <c r="H1220" i="53"/>
  <c r="J1220" i="53" s="1"/>
  <c r="J1207" i="53"/>
  <c r="I1218" i="53"/>
  <c r="H1218" i="53"/>
  <c r="I1217" i="53"/>
  <c r="H1227" i="53"/>
  <c r="J1227" i="53" s="1"/>
  <c r="H1216" i="53"/>
  <c r="J1216" i="53" s="1"/>
  <c r="H1219" i="53"/>
  <c r="J1219" i="53" s="1"/>
  <c r="H1027" i="53"/>
  <c r="J1027" i="53" s="1"/>
  <c r="H1017" i="53"/>
  <c r="J1030" i="53"/>
  <c r="I1025" i="53"/>
  <c r="H1025" i="53"/>
  <c r="H1034" i="53"/>
  <c r="J1034" i="53" s="1"/>
  <c r="H1016" i="53"/>
  <c r="J1016" i="53" s="1"/>
  <c r="H1026" i="53"/>
  <c r="J1026" i="53" s="1"/>
  <c r="J838" i="53"/>
  <c r="I825" i="53"/>
  <c r="J825" i="53" s="1"/>
  <c r="I828" i="53"/>
  <c r="J828" i="53" s="1"/>
  <c r="D826" i="53"/>
  <c r="H842" i="53"/>
  <c r="J842" i="53" s="1"/>
  <c r="H824" i="53"/>
  <c r="H827" i="53"/>
  <c r="J827" i="53" s="1"/>
  <c r="J628" i="53"/>
  <c r="H633" i="53"/>
  <c r="J640" i="53"/>
  <c r="H636" i="53"/>
  <c r="J636" i="53" s="1"/>
  <c r="J630" i="53"/>
  <c r="J639" i="53"/>
  <c r="I634" i="53"/>
  <c r="H634" i="53"/>
  <c r="I633" i="53"/>
  <c r="H643" i="53"/>
  <c r="J643" i="53" s="1"/>
  <c r="H632" i="53"/>
  <c r="J632" i="53" s="1"/>
  <c r="H635" i="53"/>
  <c r="J635" i="53" s="1"/>
  <c r="J445" i="53"/>
  <c r="J446" i="53"/>
  <c r="J442" i="53"/>
  <c r="J443" i="53"/>
  <c r="J2010" i="53"/>
  <c r="H447" i="53"/>
  <c r="J447" i="53" s="1"/>
  <c r="H1819" i="53"/>
  <c r="J1819" i="53" s="1"/>
  <c r="J2144" i="53"/>
  <c r="J1816" i="53"/>
  <c r="J2128" i="53"/>
  <c r="I1648" i="53"/>
  <c r="J2143" i="53"/>
  <c r="I2132" i="53"/>
  <c r="H2132" i="53"/>
  <c r="H2130" i="53"/>
  <c r="J2130" i="53" s="1"/>
  <c r="H2133" i="53"/>
  <c r="J2133" i="53" s="1"/>
  <c r="J2001" i="53"/>
  <c r="H2131" i="53"/>
  <c r="H2134" i="53"/>
  <c r="J2134" i="53" s="1"/>
  <c r="I2131" i="53"/>
  <c r="J1824" i="53"/>
  <c r="H2145" i="53"/>
  <c r="J2145" i="53" s="1"/>
  <c r="J1632" i="53"/>
  <c r="I2003" i="53"/>
  <c r="J2003" i="53" s="1"/>
  <c r="H1629" i="53"/>
  <c r="J1629" i="53" s="1"/>
  <c r="I2006" i="53"/>
  <c r="J2006" i="53" s="1"/>
  <c r="J1616" i="53"/>
  <c r="H1648" i="53"/>
  <c r="D1820" i="53"/>
  <c r="H1820" i="53" s="1"/>
  <c r="J2009" i="53"/>
  <c r="I2005" i="53"/>
  <c r="H2005" i="53"/>
  <c r="H1642" i="53"/>
  <c r="J1642" i="53" s="1"/>
  <c r="J1843" i="53"/>
  <c r="H2004" i="53"/>
  <c r="H2007" i="53"/>
  <c r="J2007" i="53" s="1"/>
  <c r="H1633" i="53"/>
  <c r="J1633" i="53" s="1"/>
  <c r="J1644" i="53"/>
  <c r="H1822" i="53"/>
  <c r="J1822" i="53" s="1"/>
  <c r="H1832" i="53"/>
  <c r="I2004" i="53"/>
  <c r="J1825" i="53"/>
  <c r="I1832" i="53"/>
  <c r="H2011" i="53"/>
  <c r="J2011" i="53" s="1"/>
  <c r="I1639" i="53"/>
  <c r="H1835" i="53"/>
  <c r="J1835" i="53" s="1"/>
  <c r="H1818" i="53"/>
  <c r="J1818" i="53" s="1"/>
  <c r="H1821" i="53"/>
  <c r="J1821" i="53" s="1"/>
  <c r="I1826" i="53"/>
  <c r="J1826" i="53" s="1"/>
  <c r="H1628" i="53"/>
  <c r="J1628" i="53" s="1"/>
  <c r="H1636" i="53"/>
  <c r="H1833" i="53"/>
  <c r="J1833" i="53" s="1"/>
  <c r="H1625" i="53"/>
  <c r="J1625" i="53" s="1"/>
  <c r="H1639" i="53"/>
  <c r="H1626" i="53"/>
  <c r="J1626" i="53" s="1"/>
  <c r="J1631" i="53"/>
  <c r="H1831" i="53"/>
  <c r="J1831" i="53" s="1"/>
  <c r="H1834" i="53"/>
  <c r="J1834" i="53" s="1"/>
  <c r="D1627" i="53"/>
  <c r="J1643" i="53"/>
  <c r="I1640" i="53"/>
  <c r="H1640" i="53"/>
  <c r="J1646" i="53"/>
  <c r="J663" i="53"/>
  <c r="H1638" i="53"/>
  <c r="J1638" i="53" s="1"/>
  <c r="H1641" i="53"/>
  <c r="J1641" i="53" s="1"/>
  <c r="J1438" i="53"/>
  <c r="H1236" i="53"/>
  <c r="J1236" i="53" s="1"/>
  <c r="J1239" i="53"/>
  <c r="J1439" i="53"/>
  <c r="J1423" i="53"/>
  <c r="I1427" i="53"/>
  <c r="H1427" i="53"/>
  <c r="H1425" i="53"/>
  <c r="J1425" i="53" s="1"/>
  <c r="H1428" i="53"/>
  <c r="J1428" i="53" s="1"/>
  <c r="J1230" i="53"/>
  <c r="H1426" i="53"/>
  <c r="H1429" i="53"/>
  <c r="J1429" i="53" s="1"/>
  <c r="I1426" i="53"/>
  <c r="H1440" i="53"/>
  <c r="J1440" i="53" s="1"/>
  <c r="H1233" i="53"/>
  <c r="J1037" i="53"/>
  <c r="J1238" i="53"/>
  <c r="I1234" i="53"/>
  <c r="H1234" i="53"/>
  <c r="H1232" i="53"/>
  <c r="J1232" i="53" s="1"/>
  <c r="H1235" i="53"/>
  <c r="J1235" i="53" s="1"/>
  <c r="J845" i="53"/>
  <c r="I1233" i="53"/>
  <c r="H1240" i="53"/>
  <c r="J1240" i="53" s="1"/>
  <c r="J466" i="53"/>
  <c r="H1040" i="53"/>
  <c r="J465" i="53"/>
  <c r="H1043" i="53"/>
  <c r="J1043" i="53" s="1"/>
  <c r="J1046" i="53"/>
  <c r="J854" i="53"/>
  <c r="J1045" i="53"/>
  <c r="I1041" i="53"/>
  <c r="H1041" i="53"/>
  <c r="H1039" i="53"/>
  <c r="J1039" i="53" s="1"/>
  <c r="H1042" i="53"/>
  <c r="J1042" i="53" s="1"/>
  <c r="J853" i="53"/>
  <c r="I1040" i="53"/>
  <c r="H1047" i="53"/>
  <c r="J1047" i="53" s="1"/>
  <c r="J450" i="53"/>
  <c r="I849" i="53"/>
  <c r="H849" i="53"/>
  <c r="H847" i="53"/>
  <c r="J847" i="53" s="1"/>
  <c r="H850" i="53"/>
  <c r="J850" i="53" s="1"/>
  <c r="H848" i="53"/>
  <c r="H851" i="53"/>
  <c r="J851" i="53" s="1"/>
  <c r="I848" i="53"/>
  <c r="H855" i="53"/>
  <c r="J855" i="53" s="1"/>
  <c r="I454" i="53"/>
  <c r="H454" i="53"/>
  <c r="H452" i="53"/>
  <c r="J452" i="53" s="1"/>
  <c r="H455" i="53"/>
  <c r="J455" i="53" s="1"/>
  <c r="H453" i="53"/>
  <c r="H456" i="53"/>
  <c r="J456" i="53" s="1"/>
  <c r="I453" i="53"/>
  <c r="H467" i="53"/>
  <c r="J467" i="53" s="1"/>
  <c r="H649" i="53"/>
  <c r="I649" i="53"/>
  <c r="J646" i="53"/>
  <c r="H652" i="53"/>
  <c r="J652" i="53" s="1"/>
  <c r="J662" i="53"/>
  <c r="H648" i="53"/>
  <c r="J648" i="53" s="1"/>
  <c r="H651" i="53"/>
  <c r="J651" i="53" s="1"/>
  <c r="H650" i="53"/>
  <c r="J650" i="53" s="1"/>
  <c r="H664" i="53"/>
  <c r="J664" i="53" s="1"/>
  <c r="J215" i="53"/>
  <c r="J214" i="53"/>
  <c r="H216" i="53"/>
  <c r="J216" i="53" s="1"/>
  <c r="H1973" i="53" l="1"/>
  <c r="C24" i="9" s="1"/>
  <c r="J904" i="53"/>
  <c r="J1877" i="53"/>
  <c r="J1098" i="53"/>
  <c r="H1291" i="53"/>
  <c r="J1291" i="53" s="1"/>
  <c r="H1677" i="53"/>
  <c r="J1677" i="53" s="1"/>
  <c r="J510" i="53"/>
  <c r="J1483" i="53"/>
  <c r="J1484" i="53"/>
  <c r="J337" i="53"/>
  <c r="J351" i="53"/>
  <c r="J708" i="53"/>
  <c r="J1876" i="53"/>
  <c r="J1097" i="53"/>
  <c r="J903" i="53"/>
  <c r="J707" i="53"/>
  <c r="J1470" i="53"/>
  <c r="J509" i="53"/>
  <c r="J350" i="53"/>
  <c r="J336" i="53"/>
  <c r="J883" i="53"/>
  <c r="J1076" i="53"/>
  <c r="J1469" i="53"/>
  <c r="J1077" i="53"/>
  <c r="J1270" i="53"/>
  <c r="J1663" i="53"/>
  <c r="J1855" i="53"/>
  <c r="J687" i="53"/>
  <c r="J1856" i="53"/>
  <c r="J489" i="53"/>
  <c r="J1662" i="53"/>
  <c r="J1269" i="53"/>
  <c r="J882" i="53"/>
  <c r="J686" i="53"/>
  <c r="J488" i="53"/>
  <c r="J824" i="53"/>
  <c r="J1602" i="53"/>
  <c r="J2191" i="53"/>
  <c r="J154" i="53"/>
  <c r="H138" i="53"/>
  <c r="J138" i="53" s="1"/>
  <c r="J115" i="53"/>
  <c r="J153" i="53"/>
  <c r="J114" i="53"/>
  <c r="J1758" i="53"/>
  <c r="J1964" i="53"/>
  <c r="J2190" i="53"/>
  <c r="H1733" i="53"/>
  <c r="J1733" i="53" s="1"/>
  <c r="J1943" i="53"/>
  <c r="J1917" i="53"/>
  <c r="J1942" i="53"/>
  <c r="J2165" i="53"/>
  <c r="J2166" i="53"/>
  <c r="J1000" i="53"/>
  <c r="J1193" i="53"/>
  <c r="J1347" i="53"/>
  <c r="J1578" i="53"/>
  <c r="J1771" i="53"/>
  <c r="J1963" i="53"/>
  <c r="J609" i="53"/>
  <c r="J1918" i="53"/>
  <c r="J1386" i="53"/>
  <c r="J1579" i="53"/>
  <c r="J1772" i="53"/>
  <c r="J1540" i="53"/>
  <c r="J1153" i="53"/>
  <c r="J977" i="53"/>
  <c r="J1757" i="53"/>
  <c r="J1365" i="53"/>
  <c r="J1179" i="53"/>
  <c r="J960" i="53"/>
  <c r="J1539" i="53"/>
  <c r="J1564" i="53"/>
  <c r="J1385" i="53"/>
  <c r="J1565" i="53"/>
  <c r="J1364" i="53"/>
  <c r="J1346" i="53"/>
  <c r="J1154" i="53"/>
  <c r="J978" i="53"/>
  <c r="J1192" i="53"/>
  <c r="J1178" i="53"/>
  <c r="J959" i="53"/>
  <c r="J808" i="53"/>
  <c r="J762" i="53"/>
  <c r="J999" i="53"/>
  <c r="J761" i="53"/>
  <c r="J807" i="53"/>
  <c r="J787" i="53"/>
  <c r="J786" i="53"/>
  <c r="J412" i="53"/>
  <c r="J2094" i="53"/>
  <c r="J588" i="53"/>
  <c r="J2073" i="53"/>
  <c r="J2055" i="53"/>
  <c r="J2072" i="53"/>
  <c r="J2054" i="53"/>
  <c r="J2093" i="53"/>
  <c r="J411" i="53"/>
  <c r="J608" i="53"/>
  <c r="J587" i="53"/>
  <c r="J1411" i="53"/>
  <c r="J389" i="53"/>
  <c r="J390" i="53"/>
  <c r="J1797" i="53"/>
  <c r="J1217" i="53"/>
  <c r="J1017" i="53"/>
  <c r="J1796" i="53"/>
  <c r="J1982" i="53"/>
  <c r="J633" i="53"/>
  <c r="J634" i="53"/>
  <c r="J1604" i="53"/>
  <c r="J2132" i="53"/>
  <c r="J1603" i="53"/>
  <c r="J1981" i="53"/>
  <c r="J1410" i="53"/>
  <c r="J1218" i="53"/>
  <c r="J1025" i="53"/>
  <c r="I826" i="53"/>
  <c r="H826" i="53"/>
  <c r="I1820" i="53"/>
  <c r="I1973" i="53" s="1"/>
  <c r="D24" i="9" s="1"/>
  <c r="J1648" i="53"/>
  <c r="J1639" i="53"/>
  <c r="J2005" i="53"/>
  <c r="J2131" i="53"/>
  <c r="J454" i="53"/>
  <c r="J2004" i="53"/>
  <c r="J1832" i="53"/>
  <c r="I1627" i="53"/>
  <c r="H1627" i="53"/>
  <c r="J1234" i="53"/>
  <c r="J1427" i="53"/>
  <c r="J1041" i="53"/>
  <c r="J1640" i="53"/>
  <c r="J1040" i="53"/>
  <c r="J1233" i="53"/>
  <c r="J1426" i="53"/>
  <c r="J849" i="53"/>
  <c r="J848" i="53"/>
  <c r="J453" i="53"/>
  <c r="J649" i="53"/>
  <c r="H1788" i="53" l="1"/>
  <c r="C23" i="9" s="1"/>
  <c r="J1820" i="53"/>
  <c r="J1973" i="53" s="1"/>
  <c r="E24" i="9" s="1"/>
  <c r="J826" i="53"/>
  <c r="J1627" i="53"/>
  <c r="D278" i="27" l="1"/>
  <c r="H278" i="27" l="1"/>
  <c r="H280" i="27" s="1"/>
  <c r="I278" i="27"/>
  <c r="H206" i="31"/>
  <c r="H221" i="31"/>
  <c r="H225" i="31"/>
  <c r="H239" i="31"/>
  <c r="H242" i="31"/>
  <c r="I242" i="31"/>
  <c r="J242" i="31" l="1"/>
  <c r="J278" i="27"/>
  <c r="H243" i="31" l="1"/>
  <c r="I243" i="31"/>
  <c r="I241" i="31"/>
  <c r="H241" i="31"/>
  <c r="I240" i="31"/>
  <c r="H240" i="31"/>
  <c r="I239" i="31"/>
  <c r="I229" i="31"/>
  <c r="H229" i="31"/>
  <c r="I228" i="31"/>
  <c r="H228" i="31"/>
  <c r="I227" i="31"/>
  <c r="H227" i="31"/>
  <c r="I226" i="31"/>
  <c r="H226" i="31"/>
  <c r="I225" i="31"/>
  <c r="I224" i="31"/>
  <c r="H224" i="31"/>
  <c r="I223" i="31"/>
  <c r="H223" i="31"/>
  <c r="I222" i="31"/>
  <c r="H222" i="31"/>
  <c r="I221" i="31"/>
  <c r="I220" i="31"/>
  <c r="H220" i="31"/>
  <c r="I219" i="31"/>
  <c r="H219" i="31"/>
  <c r="I218" i="31"/>
  <c r="H218" i="31"/>
  <c r="I216" i="31"/>
  <c r="H216" i="31"/>
  <c r="I207" i="31"/>
  <c r="H207" i="31"/>
  <c r="I206" i="31"/>
  <c r="I205" i="31"/>
  <c r="H205" i="31"/>
  <c r="I204" i="31"/>
  <c r="H204" i="31"/>
  <c r="I203" i="31"/>
  <c r="H203" i="31"/>
  <c r="I202" i="31"/>
  <c r="H202" i="31"/>
  <c r="I201" i="31"/>
  <c r="H201" i="31"/>
  <c r="I199" i="31"/>
  <c r="H199" i="31"/>
  <c r="I198" i="31"/>
  <c r="H198" i="31"/>
  <c r="I197" i="31"/>
  <c r="H197" i="31"/>
  <c r="I196" i="31"/>
  <c r="H196" i="31"/>
  <c r="I195" i="31"/>
  <c r="H195" i="31"/>
  <c r="I194" i="31"/>
  <c r="H194" i="31"/>
  <c r="I193" i="31"/>
  <c r="H193" i="31"/>
  <c r="I192" i="31"/>
  <c r="H192" i="31"/>
  <c r="I183" i="31"/>
  <c r="H183" i="31"/>
  <c r="I182" i="31"/>
  <c r="H182" i="31"/>
  <c r="I181" i="31"/>
  <c r="H181" i="31"/>
  <c r="I180" i="31"/>
  <c r="H180" i="31"/>
  <c r="I179" i="31"/>
  <c r="H179" i="31"/>
  <c r="I178" i="31"/>
  <c r="H178" i="31"/>
  <c r="I177" i="31"/>
  <c r="H177" i="31"/>
  <c r="I176" i="31"/>
  <c r="H176" i="31"/>
  <c r="I175" i="31"/>
  <c r="H175" i="31"/>
  <c r="I174" i="31"/>
  <c r="H174" i="31"/>
  <c r="I173" i="31"/>
  <c r="H173" i="31"/>
  <c r="I172" i="31"/>
  <c r="H172" i="31"/>
  <c r="I171" i="31"/>
  <c r="H171" i="31"/>
  <c r="I170" i="31"/>
  <c r="H170" i="31"/>
  <c r="H160" i="31"/>
  <c r="I160" i="31"/>
  <c r="I159" i="31"/>
  <c r="H159" i="31"/>
  <c r="I158" i="31"/>
  <c r="H158" i="31"/>
  <c r="I157" i="31"/>
  <c r="H157" i="31"/>
  <c r="I156" i="31"/>
  <c r="H156" i="31"/>
  <c r="I155" i="31"/>
  <c r="H155" i="31"/>
  <c r="I154" i="31"/>
  <c r="H154" i="31"/>
  <c r="I153" i="31"/>
  <c r="H153" i="31"/>
  <c r="I152" i="31"/>
  <c r="H152" i="31"/>
  <c r="I151" i="31"/>
  <c r="H151" i="31"/>
  <c r="I150" i="31"/>
  <c r="H150" i="31"/>
  <c r="I149" i="31"/>
  <c r="H149" i="31"/>
  <c r="I148" i="31"/>
  <c r="H148" i="31"/>
  <c r="I147" i="31"/>
  <c r="H147" i="31"/>
  <c r="I146" i="31"/>
  <c r="H146" i="31"/>
  <c r="I145" i="31"/>
  <c r="H145" i="31"/>
  <c r="I144" i="31"/>
  <c r="H144" i="31"/>
  <c r="I143" i="31"/>
  <c r="H143" i="31"/>
  <c r="I142" i="31"/>
  <c r="H142" i="31"/>
  <c r="I141" i="31"/>
  <c r="H141" i="31"/>
  <c r="H131" i="31"/>
  <c r="I131" i="31"/>
  <c r="H129" i="31"/>
  <c r="I129" i="31"/>
  <c r="H130" i="31"/>
  <c r="I130" i="31"/>
  <c r="H128" i="31"/>
  <c r="I128" i="31"/>
  <c r="I127" i="31"/>
  <c r="H127" i="31"/>
  <c r="I126" i="31"/>
  <c r="H126" i="31"/>
  <c r="I125" i="31"/>
  <c r="H125" i="31"/>
  <c r="I124" i="31"/>
  <c r="H124" i="31"/>
  <c r="I123" i="31"/>
  <c r="H123" i="31"/>
  <c r="I122" i="31"/>
  <c r="H122" i="31"/>
  <c r="I121" i="31"/>
  <c r="H121" i="31"/>
  <c r="I120" i="31"/>
  <c r="H120" i="31"/>
  <c r="I119" i="31"/>
  <c r="H119" i="31"/>
  <c r="I118" i="31"/>
  <c r="H118" i="31"/>
  <c r="I117" i="31"/>
  <c r="H117" i="31"/>
  <c r="I116" i="31"/>
  <c r="H116" i="31"/>
  <c r="I115" i="31"/>
  <c r="H115" i="31"/>
  <c r="I114" i="31"/>
  <c r="H114" i="31"/>
  <c r="I113" i="31"/>
  <c r="H113" i="31"/>
  <c r="I104" i="31"/>
  <c r="H104" i="31"/>
  <c r="I103" i="31"/>
  <c r="H103" i="31"/>
  <c r="H101" i="31"/>
  <c r="I101" i="31"/>
  <c r="H100" i="31"/>
  <c r="I100" i="31"/>
  <c r="H98" i="31"/>
  <c r="I98" i="31"/>
  <c r="H99" i="31"/>
  <c r="I99" i="31"/>
  <c r="H96" i="31"/>
  <c r="I96" i="31"/>
  <c r="H97" i="31"/>
  <c r="I97" i="31"/>
  <c r="I95" i="31"/>
  <c r="H95" i="31"/>
  <c r="I94" i="31"/>
  <c r="H94" i="31"/>
  <c r="I93" i="31"/>
  <c r="H93" i="31"/>
  <c r="I92" i="31"/>
  <c r="H92" i="31"/>
  <c r="I91" i="31"/>
  <c r="H91" i="31"/>
  <c r="H81" i="31"/>
  <c r="I81" i="31"/>
  <c r="H79" i="31"/>
  <c r="I79" i="31"/>
  <c r="H80" i="31"/>
  <c r="I80" i="31"/>
  <c r="H74" i="31"/>
  <c r="I74" i="31"/>
  <c r="H75" i="31"/>
  <c r="I75" i="31"/>
  <c r="H76" i="31"/>
  <c r="I76" i="31"/>
  <c r="H77" i="31"/>
  <c r="I77" i="31"/>
  <c r="H78" i="31"/>
  <c r="I78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64" i="31"/>
  <c r="I64" i="31"/>
  <c r="H55" i="31"/>
  <c r="I55" i="31"/>
  <c r="H54" i="31"/>
  <c r="I54" i="31"/>
  <c r="H53" i="31"/>
  <c r="I53" i="31"/>
  <c r="H52" i="31"/>
  <c r="I52" i="31"/>
  <c r="I51" i="31"/>
  <c r="H51" i="31"/>
  <c r="I50" i="31"/>
  <c r="H50" i="31"/>
  <c r="I49" i="31"/>
  <c r="H49" i="31"/>
  <c r="I48" i="31"/>
  <c r="H48" i="31"/>
  <c r="I47" i="31"/>
  <c r="H47" i="31"/>
  <c r="I46" i="31"/>
  <c r="H46" i="31"/>
  <c r="I45" i="31"/>
  <c r="H45" i="31"/>
  <c r="I44" i="31"/>
  <c r="H44" i="31"/>
  <c r="I43" i="31"/>
  <c r="H43" i="31"/>
  <c r="I42" i="31"/>
  <c r="H42" i="31"/>
  <c r="H38" i="31"/>
  <c r="I38" i="31"/>
  <c r="H39" i="31"/>
  <c r="I39" i="31"/>
  <c r="H40" i="31"/>
  <c r="I40" i="31"/>
  <c r="J243" i="31" l="1"/>
  <c r="J241" i="31"/>
  <c r="J239" i="31"/>
  <c r="J240" i="31"/>
  <c r="J221" i="31"/>
  <c r="J227" i="31"/>
  <c r="J224" i="31"/>
  <c r="J222" i="31"/>
  <c r="J226" i="31"/>
  <c r="J223" i="31"/>
  <c r="J229" i="31"/>
  <c r="J204" i="31"/>
  <c r="J225" i="31"/>
  <c r="J228" i="31"/>
  <c r="J216" i="31"/>
  <c r="J203" i="31"/>
  <c r="J218" i="31"/>
  <c r="J219" i="31"/>
  <c r="J206" i="31"/>
  <c r="J220" i="31"/>
  <c r="J205" i="31"/>
  <c r="J201" i="31"/>
  <c r="J207" i="31"/>
  <c r="J202" i="31"/>
  <c r="J183" i="31"/>
  <c r="J195" i="31"/>
  <c r="J196" i="31"/>
  <c r="J194" i="31"/>
  <c r="J193" i="31"/>
  <c r="J182" i="31"/>
  <c r="J197" i="31"/>
  <c r="J198" i="31"/>
  <c r="J199" i="31"/>
  <c r="J192" i="31"/>
  <c r="J179" i="31"/>
  <c r="J181" i="31"/>
  <c r="J180" i="31"/>
  <c r="J177" i="31"/>
  <c r="J172" i="31"/>
  <c r="J170" i="31"/>
  <c r="J176" i="31"/>
  <c r="J171" i="31"/>
  <c r="J178" i="31"/>
  <c r="J175" i="31"/>
  <c r="J173" i="31"/>
  <c r="J174" i="31"/>
  <c r="J158" i="31"/>
  <c r="J153" i="31"/>
  <c r="J160" i="31"/>
  <c r="J151" i="31"/>
  <c r="J156" i="31"/>
  <c r="J157" i="31"/>
  <c r="J152" i="31"/>
  <c r="J159" i="31"/>
  <c r="J154" i="31"/>
  <c r="J155" i="31"/>
  <c r="J126" i="31"/>
  <c r="J141" i="31"/>
  <c r="J145" i="31"/>
  <c r="J121" i="31"/>
  <c r="J142" i="31"/>
  <c r="J149" i="31"/>
  <c r="J123" i="31"/>
  <c r="J144" i="31"/>
  <c r="J147" i="31"/>
  <c r="J120" i="31"/>
  <c r="J146" i="31"/>
  <c r="J122" i="31"/>
  <c r="J128" i="31"/>
  <c r="J143" i="31"/>
  <c r="J129" i="31"/>
  <c r="J150" i="31"/>
  <c r="J118" i="31"/>
  <c r="J148" i="31"/>
  <c r="J125" i="31"/>
  <c r="J131" i="31"/>
  <c r="J116" i="31"/>
  <c r="J97" i="31"/>
  <c r="J103" i="31"/>
  <c r="J117" i="31"/>
  <c r="J130" i="31"/>
  <c r="J127" i="31"/>
  <c r="J119" i="31"/>
  <c r="J124" i="31"/>
  <c r="J114" i="31"/>
  <c r="J115" i="31"/>
  <c r="J104" i="31"/>
  <c r="J113" i="31"/>
  <c r="J100" i="31"/>
  <c r="J101" i="31"/>
  <c r="J70" i="31"/>
  <c r="J79" i="31"/>
  <c r="J95" i="31"/>
  <c r="J53" i="31"/>
  <c r="J45" i="31"/>
  <c r="J51" i="31"/>
  <c r="J67" i="31"/>
  <c r="J75" i="31"/>
  <c r="J72" i="31"/>
  <c r="J98" i="31"/>
  <c r="J69" i="31"/>
  <c r="J77" i="31"/>
  <c r="J81" i="31"/>
  <c r="J91" i="31"/>
  <c r="J92" i="31"/>
  <c r="J73" i="31"/>
  <c r="J99" i="31"/>
  <c r="J94" i="31"/>
  <c r="J50" i="31"/>
  <c r="J64" i="31"/>
  <c r="J68" i="31"/>
  <c r="J76" i="31"/>
  <c r="J96" i="31"/>
  <c r="J42" i="31"/>
  <c r="J47" i="31"/>
  <c r="J93" i="31"/>
  <c r="J66" i="31"/>
  <c r="J54" i="31"/>
  <c r="J71" i="31"/>
  <c r="J80" i="31"/>
  <c r="J78" i="31"/>
  <c r="J55" i="31"/>
  <c r="J65" i="31"/>
  <c r="J74" i="31"/>
  <c r="J48" i="31"/>
  <c r="J40" i="31"/>
  <c r="J52" i="31"/>
  <c r="J43" i="31"/>
  <c r="J46" i="31"/>
  <c r="J44" i="31"/>
  <c r="J49" i="31"/>
  <c r="J38" i="31"/>
  <c r="J39" i="31"/>
  <c r="D45" i="9" l="1"/>
  <c r="B7" i="39"/>
  <c r="C7" i="27" s="1"/>
  <c r="B7" i="40" s="1"/>
  <c r="B7" i="41" s="1"/>
  <c r="C7" i="31" s="1"/>
  <c r="B7" i="42" s="1"/>
  <c r="B7" i="56" s="1"/>
  <c r="B6" i="39"/>
  <c r="C6" i="27" s="1"/>
  <c r="B6" i="40" s="1"/>
  <c r="B6" i="41" s="1"/>
  <c r="C6" i="31" s="1"/>
  <c r="B6" i="42" s="1"/>
  <c r="B6" i="56" s="1"/>
  <c r="B5" i="39"/>
  <c r="C5" i="27" s="1"/>
  <c r="B4" i="39"/>
  <c r="C4" i="27" s="1"/>
  <c r="B4" i="40" s="1"/>
  <c r="B3" i="39"/>
  <c r="C3" i="27" s="1"/>
  <c r="B3" i="40" s="1"/>
  <c r="B3" i="41" s="1"/>
  <c r="C3" i="31" s="1"/>
  <c r="B3" i="42" s="1"/>
  <c r="B3" i="56" s="1"/>
  <c r="B2" i="39"/>
  <c r="C2" i="27" s="1"/>
  <c r="A1" i="39"/>
  <c r="A1" i="27" s="1"/>
  <c r="A1" i="40" s="1"/>
  <c r="A1" i="41" s="1"/>
  <c r="A1" i="42" s="1"/>
  <c r="A1" i="56" s="1"/>
  <c r="B7" i="50"/>
  <c r="B6" i="50"/>
  <c r="B5" i="50"/>
  <c r="B4" i="50"/>
  <c r="B3" i="50"/>
  <c r="B2" i="50"/>
  <c r="A1" i="50"/>
  <c r="A1" i="53"/>
  <c r="C6" i="53"/>
  <c r="C5" i="53"/>
  <c r="C4" i="53"/>
  <c r="C2" i="53"/>
  <c r="B6" i="9"/>
  <c r="B5" i="9"/>
  <c r="B4" i="9"/>
  <c r="B3" i="9"/>
  <c r="B2" i="9"/>
  <c r="C7" i="43"/>
  <c r="C6" i="43"/>
  <c r="C5" i="43"/>
  <c r="C4" i="43"/>
  <c r="C3" i="43"/>
  <c r="C2" i="43"/>
  <c r="B7" i="20"/>
  <c r="B6" i="20"/>
  <c r="B5" i="20"/>
  <c r="B4" i="20"/>
  <c r="B3" i="20"/>
  <c r="B2" i="20"/>
  <c r="I247" i="31"/>
  <c r="I249" i="31" s="1"/>
  <c r="H247" i="31"/>
  <c r="H249" i="31" s="1"/>
  <c r="I37" i="31"/>
  <c r="H37" i="31"/>
  <c r="I36" i="31"/>
  <c r="H36" i="31"/>
  <c r="I35" i="31"/>
  <c r="H35" i="31"/>
  <c r="I34" i="31"/>
  <c r="H34" i="31"/>
  <c r="I33" i="31"/>
  <c r="H33" i="31"/>
  <c r="I24" i="31"/>
  <c r="H24" i="31"/>
  <c r="I23" i="31"/>
  <c r="H23" i="31"/>
  <c r="I22" i="31"/>
  <c r="H22" i="31"/>
  <c r="I21" i="31"/>
  <c r="H21" i="31"/>
  <c r="I20" i="31"/>
  <c r="H20" i="31"/>
  <c r="I19" i="31"/>
  <c r="H19" i="31"/>
  <c r="I18" i="31"/>
  <c r="H18" i="31"/>
  <c r="I17" i="31"/>
  <c r="H17" i="31"/>
  <c r="I16" i="31"/>
  <c r="H16" i="31"/>
  <c r="I15" i="31"/>
  <c r="H15" i="31"/>
  <c r="D43" i="9"/>
  <c r="D42" i="9"/>
  <c r="I2234" i="53"/>
  <c r="H2234" i="53"/>
  <c r="I2233" i="53"/>
  <c r="H2233" i="53"/>
  <c r="I2232" i="53"/>
  <c r="H2232" i="53"/>
  <c r="I2231" i="53"/>
  <c r="H2231" i="53"/>
  <c r="I2220" i="53"/>
  <c r="H2220" i="53"/>
  <c r="I2219" i="53"/>
  <c r="H2219" i="53"/>
  <c r="I2218" i="53"/>
  <c r="H2218" i="53"/>
  <c r="I2217" i="53"/>
  <c r="H2217" i="53"/>
  <c r="I2216" i="53"/>
  <c r="H2216" i="53"/>
  <c r="I2215" i="53"/>
  <c r="H2215" i="53"/>
  <c r="I2213" i="53"/>
  <c r="H2213" i="53"/>
  <c r="I2212" i="53"/>
  <c r="H2212" i="53"/>
  <c r="I2207" i="53"/>
  <c r="H2207" i="53"/>
  <c r="I2123" i="53"/>
  <c r="H2123" i="53"/>
  <c r="I2028" i="53"/>
  <c r="H2028" i="53"/>
  <c r="I1450" i="53"/>
  <c r="H1450" i="53"/>
  <c r="I872" i="53"/>
  <c r="H872" i="53"/>
  <c r="H470" i="53"/>
  <c r="I469" i="53"/>
  <c r="H469" i="53"/>
  <c r="I468" i="53"/>
  <c r="H468" i="53"/>
  <c r="H434" i="53"/>
  <c r="I432" i="53"/>
  <c r="H432" i="53"/>
  <c r="H256" i="53"/>
  <c r="H242" i="53"/>
  <c r="H219" i="53"/>
  <c r="H207" i="53"/>
  <c r="H178" i="53"/>
  <c r="I176" i="53"/>
  <c r="H176" i="53"/>
  <c r="I175" i="53"/>
  <c r="H175" i="53"/>
  <c r="I174" i="53"/>
  <c r="H174" i="53"/>
  <c r="H91" i="53"/>
  <c r="H76" i="53"/>
  <c r="I75" i="53"/>
  <c r="H75" i="53"/>
  <c r="I74" i="53"/>
  <c r="H74" i="53"/>
  <c r="I73" i="53"/>
  <c r="H73" i="53"/>
  <c r="I72" i="53"/>
  <c r="H72" i="53"/>
  <c r="I64" i="53"/>
  <c r="H64" i="53"/>
  <c r="I61" i="53"/>
  <c r="H61" i="53"/>
  <c r="I48" i="53"/>
  <c r="H48" i="53"/>
  <c r="I28" i="53"/>
  <c r="H28" i="53"/>
  <c r="I27" i="53"/>
  <c r="H27" i="53"/>
  <c r="I26" i="53"/>
  <c r="H26" i="53"/>
  <c r="I20" i="53"/>
  <c r="H20" i="53"/>
  <c r="I19" i="53"/>
  <c r="H19" i="53"/>
  <c r="I18" i="53"/>
  <c r="H18" i="53"/>
  <c r="I17" i="53"/>
  <c r="H17" i="53"/>
  <c r="I16" i="53"/>
  <c r="H16" i="53"/>
  <c r="I15" i="53"/>
  <c r="H15" i="53"/>
  <c r="C2" i="31" l="1"/>
  <c r="B2" i="40"/>
  <c r="B5" i="40"/>
  <c r="B5" i="41" s="1"/>
  <c r="C5" i="31" s="1"/>
  <c r="B5" i="42" s="1"/>
  <c r="B5" i="56" s="1"/>
  <c r="C45" i="9"/>
  <c r="C46" i="9"/>
  <c r="C44" i="9"/>
  <c r="C42" i="9"/>
  <c r="C40" i="9"/>
  <c r="C39" i="9"/>
  <c r="H2236" i="53"/>
  <c r="I2236" i="53"/>
  <c r="D39" i="9"/>
  <c r="D48" i="9"/>
  <c r="D40" i="9"/>
  <c r="B4" i="41"/>
  <c r="C4" i="31" s="1"/>
  <c r="B4" i="42" s="1"/>
  <c r="B4" i="56" s="1"/>
  <c r="C48" i="9"/>
  <c r="C128" i="9"/>
  <c r="C133" i="9" s="1"/>
  <c r="C41" i="9"/>
  <c r="J176" i="53"/>
  <c r="D44" i="9"/>
  <c r="E46" i="9"/>
  <c r="C43" i="9"/>
  <c r="E45" i="9"/>
  <c r="D46" i="9"/>
  <c r="J18" i="31"/>
  <c r="J24" i="31"/>
  <c r="J20" i="31"/>
  <c r="J34" i="31"/>
  <c r="J35" i="31"/>
  <c r="H474" i="27"/>
  <c r="H475" i="27" s="1"/>
  <c r="E42" i="9"/>
  <c r="E43" i="9"/>
  <c r="J21" i="31"/>
  <c r="J37" i="31"/>
  <c r="J19" i="31"/>
  <c r="J36" i="31"/>
  <c r="J2232" i="53"/>
  <c r="J15" i="53"/>
  <c r="J2207" i="53"/>
  <c r="J1450" i="53"/>
  <c r="J432" i="53"/>
  <c r="J19" i="53"/>
  <c r="J64" i="53"/>
  <c r="J2123" i="53"/>
  <c r="J2220" i="53"/>
  <c r="J2233" i="53"/>
  <c r="J2216" i="53"/>
  <c r="J48" i="53"/>
  <c r="J27" i="53"/>
  <c r="J174" i="53"/>
  <c r="J2028" i="53"/>
  <c r="J2218" i="53"/>
  <c r="J20" i="53"/>
  <c r="J17" i="53"/>
  <c r="J72" i="53"/>
  <c r="J2217" i="53"/>
  <c r="J26" i="53"/>
  <c r="J468" i="53"/>
  <c r="J74" i="53"/>
  <c r="J16" i="53"/>
  <c r="J28" i="53"/>
  <c r="J469" i="53"/>
  <c r="J872" i="53"/>
  <c r="J2213" i="53"/>
  <c r="J2234" i="53"/>
  <c r="J2215" i="53"/>
  <c r="J2231" i="53"/>
  <c r="J2212" i="53"/>
  <c r="J2219" i="53"/>
  <c r="J23" i="31"/>
  <c r="C15" i="40"/>
  <c r="J17" i="31"/>
  <c r="D15" i="40"/>
  <c r="J22" i="31"/>
  <c r="J247" i="31"/>
  <c r="J249" i="31" s="1"/>
  <c r="C13" i="41" s="1"/>
  <c r="E13" i="41" s="1"/>
  <c r="J15" i="31"/>
  <c r="J33" i="31"/>
  <c r="J16" i="31"/>
  <c r="J175" i="53"/>
  <c r="J75" i="53"/>
  <c r="J73" i="53"/>
  <c r="J18" i="53"/>
  <c r="J61" i="53"/>
  <c r="J2236" i="53" l="1"/>
  <c r="C15" i="39"/>
  <c r="C116" i="9"/>
  <c r="C14" i="39"/>
  <c r="C115" i="9"/>
  <c r="E131" i="9"/>
  <c r="E39" i="9"/>
  <c r="C12" i="40"/>
  <c r="E15" i="39"/>
  <c r="E48" i="9"/>
  <c r="E40" i="9"/>
  <c r="E44" i="9"/>
  <c r="E15" i="40"/>
  <c r="B27" i="9"/>
  <c r="B26" i="9"/>
  <c r="B25" i="9"/>
  <c r="B22" i="9"/>
  <c r="B21" i="9"/>
  <c r="B20" i="9"/>
  <c r="B19" i="9"/>
  <c r="B18" i="9"/>
  <c r="B17" i="9"/>
  <c r="B16" i="9"/>
  <c r="B15" i="9"/>
  <c r="B14" i="9"/>
  <c r="I2158" i="53"/>
  <c r="H2158" i="53"/>
  <c r="I2157" i="53"/>
  <c r="H2157" i="53"/>
  <c r="I2156" i="53"/>
  <c r="H2156" i="53"/>
  <c r="D2154" i="53"/>
  <c r="I2154" i="53" s="1"/>
  <c r="D2151" i="53"/>
  <c r="D2150" i="53"/>
  <c r="I2148" i="53"/>
  <c r="D2122" i="53"/>
  <c r="I2122" i="53" s="1"/>
  <c r="D2121" i="53"/>
  <c r="D2119" i="53"/>
  <c r="D2118" i="53"/>
  <c r="I2116" i="53"/>
  <c r="I2030" i="53"/>
  <c r="H2030" i="53"/>
  <c r="I2029" i="53"/>
  <c r="H2029" i="53"/>
  <c r="D2027" i="53"/>
  <c r="I2027" i="53" s="1"/>
  <c r="D2024" i="53"/>
  <c r="D2023" i="53"/>
  <c r="I2014" i="53"/>
  <c r="D1449" i="53"/>
  <c r="I1449" i="53" s="1"/>
  <c r="D1446" i="53"/>
  <c r="I1443" i="53"/>
  <c r="I1262" i="53"/>
  <c r="H1262" i="53"/>
  <c r="I1260" i="53"/>
  <c r="H1260" i="53"/>
  <c r="I1258" i="53"/>
  <c r="H1258" i="53"/>
  <c r="D1256" i="53"/>
  <c r="I1256" i="53" s="1"/>
  <c r="D1253" i="53"/>
  <c r="I1243" i="53"/>
  <c r="I1068" i="53"/>
  <c r="H1068" i="53"/>
  <c r="I1067" i="53"/>
  <c r="H1067" i="53"/>
  <c r="I1065" i="53"/>
  <c r="H1065" i="53"/>
  <c r="D1063" i="53"/>
  <c r="I1063" i="53" s="1"/>
  <c r="D1060" i="53"/>
  <c r="I1057" i="53"/>
  <c r="I874" i="53"/>
  <c r="H874" i="53"/>
  <c r="I873" i="53"/>
  <c r="H873" i="53"/>
  <c r="D871" i="53"/>
  <c r="I871" i="53" s="1"/>
  <c r="D868" i="53"/>
  <c r="I858" i="53"/>
  <c r="I678" i="53"/>
  <c r="H678" i="53"/>
  <c r="I677" i="53"/>
  <c r="H677" i="53"/>
  <c r="I675" i="53"/>
  <c r="H675" i="53"/>
  <c r="D673" i="53"/>
  <c r="I673" i="53" s="1"/>
  <c r="D670" i="53"/>
  <c r="I667" i="53"/>
  <c r="D476" i="53"/>
  <c r="I476" i="53" s="1"/>
  <c r="D473" i="53"/>
  <c r="I470" i="53"/>
  <c r="J470" i="53" s="1"/>
  <c r="D440" i="53"/>
  <c r="I440" i="53" s="1"/>
  <c r="D439" i="53"/>
  <c r="D437" i="53"/>
  <c r="I434" i="53"/>
  <c r="D374" i="53"/>
  <c r="I374" i="53" s="1"/>
  <c r="D373" i="53"/>
  <c r="D371" i="53"/>
  <c r="D262" i="53"/>
  <c r="I262" i="53" s="1"/>
  <c r="D261" i="53"/>
  <c r="D259" i="53"/>
  <c r="I256" i="53"/>
  <c r="J256" i="53" s="1"/>
  <c r="D248" i="53"/>
  <c r="I248" i="53" s="1"/>
  <c r="D247" i="53"/>
  <c r="D245" i="53"/>
  <c r="I242" i="53"/>
  <c r="J242" i="53" s="1"/>
  <c r="I230" i="53"/>
  <c r="H230" i="53"/>
  <c r="I229" i="53"/>
  <c r="H229" i="53"/>
  <c r="I228" i="53"/>
  <c r="H228" i="53"/>
  <c r="I227" i="53"/>
  <c r="H227" i="53"/>
  <c r="I226" i="53"/>
  <c r="H226" i="53"/>
  <c r="D224" i="53"/>
  <c r="I224" i="53" s="1"/>
  <c r="D222" i="53"/>
  <c r="I219" i="53"/>
  <c r="J219" i="53" s="1"/>
  <c r="D212" i="53"/>
  <c r="I212" i="53" s="1"/>
  <c r="D210" i="53"/>
  <c r="I207" i="53"/>
  <c r="J207" i="53" s="1"/>
  <c r="I185" i="53"/>
  <c r="H185" i="53"/>
  <c r="D183" i="53"/>
  <c r="I183" i="53" s="1"/>
  <c r="I178" i="53"/>
  <c r="I106" i="53"/>
  <c r="H106" i="53"/>
  <c r="I104" i="53"/>
  <c r="I91" i="53"/>
  <c r="J91" i="53" s="1"/>
  <c r="I82" i="53"/>
  <c r="I76" i="53"/>
  <c r="J76" i="53" s="1"/>
  <c r="B44" i="9"/>
  <c r="B43" i="9"/>
  <c r="B42" i="9"/>
  <c r="B41" i="9"/>
  <c r="B40" i="9"/>
  <c r="C118" i="9" l="1"/>
  <c r="C47" i="9"/>
  <c r="D47" i="9"/>
  <c r="I1636" i="53"/>
  <c r="I1788" i="53" s="1"/>
  <c r="D23" i="9" s="1"/>
  <c r="D41" i="9"/>
  <c r="J873" i="53"/>
  <c r="H262" i="53"/>
  <c r="J262" i="53" s="1"/>
  <c r="J2029" i="53"/>
  <c r="H186" i="53"/>
  <c r="H1069" i="53"/>
  <c r="I186" i="53"/>
  <c r="J227" i="53"/>
  <c r="I1069" i="53"/>
  <c r="J678" i="53"/>
  <c r="J1067" i="53"/>
  <c r="J1260" i="53"/>
  <c r="I481" i="53"/>
  <c r="J874" i="53"/>
  <c r="I875" i="53"/>
  <c r="J2030" i="53"/>
  <c r="I2031" i="53"/>
  <c r="J2156" i="53"/>
  <c r="D2120" i="53"/>
  <c r="H2119" i="53"/>
  <c r="I2119" i="53"/>
  <c r="I1059" i="53"/>
  <c r="H1059" i="53"/>
  <c r="I1252" i="53"/>
  <c r="H1252" i="53"/>
  <c r="H212" i="53"/>
  <c r="J212" i="53" s="1"/>
  <c r="I867" i="53"/>
  <c r="H867" i="53"/>
  <c r="H875" i="53"/>
  <c r="J1065" i="53"/>
  <c r="J1258" i="53"/>
  <c r="J1262" i="53"/>
  <c r="H1449" i="53"/>
  <c r="J1449" i="53" s="1"/>
  <c r="I2023" i="53"/>
  <c r="H2023" i="53"/>
  <c r="H2031" i="53"/>
  <c r="I2118" i="53"/>
  <c r="H2118" i="53"/>
  <c r="H2154" i="53"/>
  <c r="J2154" i="53" s="1"/>
  <c r="J2158" i="53"/>
  <c r="D2025" i="53"/>
  <c r="I2024" i="53"/>
  <c r="H2024" i="53"/>
  <c r="I870" i="53"/>
  <c r="H870" i="53"/>
  <c r="H1060" i="53"/>
  <c r="I1060" i="53"/>
  <c r="I1253" i="53"/>
  <c r="H1253" i="53"/>
  <c r="I2026" i="53"/>
  <c r="H2026" i="53"/>
  <c r="I2121" i="53"/>
  <c r="H2121" i="53"/>
  <c r="D869" i="53"/>
  <c r="I868" i="53"/>
  <c r="H868" i="53"/>
  <c r="I1062" i="53"/>
  <c r="H1062" i="53"/>
  <c r="H1255" i="53"/>
  <c r="I1255" i="53"/>
  <c r="D38" i="9"/>
  <c r="H871" i="53"/>
  <c r="J871" i="53" s="1"/>
  <c r="I1445" i="53"/>
  <c r="H1445" i="53"/>
  <c r="H2027" i="53"/>
  <c r="J2027" i="53" s="1"/>
  <c r="H2122" i="53"/>
  <c r="J2122" i="53" s="1"/>
  <c r="I2150" i="53"/>
  <c r="H2150" i="53"/>
  <c r="H2159" i="53"/>
  <c r="H1063" i="53"/>
  <c r="J1063" i="53" s="1"/>
  <c r="J1068" i="53"/>
  <c r="H1256" i="53"/>
  <c r="J1256" i="53" s="1"/>
  <c r="D1447" i="53"/>
  <c r="I1446" i="53"/>
  <c r="H1446" i="53"/>
  <c r="I2151" i="53"/>
  <c r="H2151" i="53"/>
  <c r="J2157" i="53"/>
  <c r="I2159" i="53"/>
  <c r="J185" i="53"/>
  <c r="J229" i="53"/>
  <c r="J675" i="53"/>
  <c r="H1448" i="53"/>
  <c r="I1448" i="53"/>
  <c r="I2153" i="53"/>
  <c r="H2153" i="53"/>
  <c r="I51" i="53"/>
  <c r="H51" i="53"/>
  <c r="H53" i="53"/>
  <c r="I53" i="53"/>
  <c r="H439" i="53"/>
  <c r="I439" i="53"/>
  <c r="I475" i="53"/>
  <c r="H475" i="53"/>
  <c r="H93" i="53"/>
  <c r="I93" i="53"/>
  <c r="H231" i="53"/>
  <c r="I94" i="53"/>
  <c r="H94" i="53"/>
  <c r="D372" i="53"/>
  <c r="I371" i="53"/>
  <c r="H371" i="53"/>
  <c r="I103" i="53"/>
  <c r="H103" i="53"/>
  <c r="D211" i="53"/>
  <c r="I210" i="53"/>
  <c r="H210" i="53"/>
  <c r="H224" i="53"/>
  <c r="J224" i="53" s="1"/>
  <c r="J228" i="53"/>
  <c r="H258" i="53"/>
  <c r="I258" i="53"/>
  <c r="I373" i="53"/>
  <c r="H373" i="53"/>
  <c r="D438" i="53"/>
  <c r="I437" i="53"/>
  <c r="H437" i="53"/>
  <c r="H673" i="53"/>
  <c r="J673" i="53" s="1"/>
  <c r="I209" i="53"/>
  <c r="H209" i="53"/>
  <c r="I231" i="53"/>
  <c r="H440" i="53"/>
  <c r="J440" i="53" s="1"/>
  <c r="H476" i="53"/>
  <c r="J476" i="53" s="1"/>
  <c r="I78" i="53"/>
  <c r="H78" i="53"/>
  <c r="J178" i="53"/>
  <c r="I244" i="53"/>
  <c r="H244" i="53"/>
  <c r="D260" i="53"/>
  <c r="I259" i="53"/>
  <c r="H259" i="53"/>
  <c r="I473" i="53"/>
  <c r="H473" i="53"/>
  <c r="I672" i="53"/>
  <c r="H672" i="53"/>
  <c r="H222" i="53"/>
  <c r="I222" i="53"/>
  <c r="H248" i="53"/>
  <c r="J248" i="53" s="1"/>
  <c r="H183" i="53"/>
  <c r="J183" i="53" s="1"/>
  <c r="I370" i="53"/>
  <c r="H370" i="53"/>
  <c r="H21" i="53"/>
  <c r="H23" i="53" s="1"/>
  <c r="I21" i="53"/>
  <c r="I23" i="53" s="1"/>
  <c r="I79" i="53"/>
  <c r="H79" i="53"/>
  <c r="H104" i="53"/>
  <c r="J104" i="53" s="1"/>
  <c r="H108" i="53"/>
  <c r="I180" i="53"/>
  <c r="H180" i="53"/>
  <c r="I245" i="53"/>
  <c r="H245" i="53"/>
  <c r="I261" i="53"/>
  <c r="H261" i="53"/>
  <c r="H374" i="53"/>
  <c r="J374" i="53" s="1"/>
  <c r="J434" i="53"/>
  <c r="I669" i="53"/>
  <c r="H669" i="53"/>
  <c r="H679" i="53"/>
  <c r="I221" i="53"/>
  <c r="H221" i="53"/>
  <c r="H82" i="53"/>
  <c r="J82" i="53" s="1"/>
  <c r="I54" i="53"/>
  <c r="H54" i="53"/>
  <c r="I50" i="53"/>
  <c r="H50" i="53"/>
  <c r="I81" i="53"/>
  <c r="H81" i="53"/>
  <c r="J106" i="53"/>
  <c r="I108" i="53"/>
  <c r="H181" i="53"/>
  <c r="I181" i="53"/>
  <c r="J226" i="53"/>
  <c r="J230" i="53"/>
  <c r="I247" i="53"/>
  <c r="H247" i="53"/>
  <c r="I436" i="53"/>
  <c r="H436" i="53"/>
  <c r="H472" i="53"/>
  <c r="I472" i="53"/>
  <c r="H481" i="53"/>
  <c r="D671" i="53"/>
  <c r="I670" i="53"/>
  <c r="H670" i="53"/>
  <c r="J677" i="53"/>
  <c r="I679" i="53"/>
  <c r="D27" i="9"/>
  <c r="D1061" i="53"/>
  <c r="C27" i="9"/>
  <c r="D474" i="53"/>
  <c r="D2152" i="53"/>
  <c r="D246" i="53"/>
  <c r="D223" i="53"/>
  <c r="D1254" i="53"/>
  <c r="D50" i="9" l="1"/>
  <c r="E47" i="9"/>
  <c r="J1636" i="53"/>
  <c r="J1788" i="53" s="1"/>
  <c r="E23" i="9" s="1"/>
  <c r="E41" i="9"/>
  <c r="J186" i="53"/>
  <c r="J481" i="53"/>
  <c r="J1069" i="53"/>
  <c r="J2031" i="53"/>
  <c r="J1062" i="53"/>
  <c r="J875" i="53"/>
  <c r="J868" i="53"/>
  <c r="J258" i="53"/>
  <c r="J53" i="53"/>
  <c r="J1060" i="53"/>
  <c r="J1059" i="53"/>
  <c r="J472" i="53"/>
  <c r="J181" i="53"/>
  <c r="J51" i="53"/>
  <c r="J2151" i="53"/>
  <c r="J1446" i="53"/>
  <c r="J870" i="53"/>
  <c r="J1252" i="53"/>
  <c r="J222" i="53"/>
  <c r="J1448" i="53"/>
  <c r="J2023" i="53"/>
  <c r="J2159" i="53"/>
  <c r="J437" i="53"/>
  <c r="J245" i="53"/>
  <c r="I1447" i="53"/>
  <c r="I1588" i="53" s="1"/>
  <c r="H1447" i="53"/>
  <c r="J1445" i="53"/>
  <c r="J2026" i="53"/>
  <c r="J259" i="53"/>
  <c r="J93" i="53"/>
  <c r="J1255" i="53"/>
  <c r="J370" i="53"/>
  <c r="J2150" i="53"/>
  <c r="I1061" i="53"/>
  <c r="H1061" i="53"/>
  <c r="J244" i="53"/>
  <c r="J2153" i="53"/>
  <c r="J2119" i="53"/>
  <c r="I1254" i="53"/>
  <c r="I1395" i="53" s="1"/>
  <c r="H1254" i="53"/>
  <c r="H2152" i="53"/>
  <c r="I2152" i="53"/>
  <c r="J108" i="53"/>
  <c r="H869" i="53"/>
  <c r="I869" i="53"/>
  <c r="J2024" i="53"/>
  <c r="H2120" i="53"/>
  <c r="I2120" i="53"/>
  <c r="J261" i="53"/>
  <c r="E38" i="9"/>
  <c r="J2121" i="53"/>
  <c r="I2025" i="53"/>
  <c r="I2105" i="53" s="1"/>
  <c r="H2025" i="53"/>
  <c r="J2118" i="53"/>
  <c r="J221" i="53"/>
  <c r="J373" i="53"/>
  <c r="J94" i="53"/>
  <c r="J475" i="53"/>
  <c r="J1253" i="53"/>
  <c r="J867" i="53"/>
  <c r="I223" i="53"/>
  <c r="H223" i="53"/>
  <c r="I246" i="53"/>
  <c r="H246" i="53"/>
  <c r="I474" i="53"/>
  <c r="H474" i="53"/>
  <c r="J436" i="53"/>
  <c r="J679" i="53"/>
  <c r="J79" i="53"/>
  <c r="J209" i="53"/>
  <c r="J231" i="53"/>
  <c r="J670" i="53"/>
  <c r="J50" i="53"/>
  <c r="J54" i="53"/>
  <c r="J669" i="53"/>
  <c r="I438" i="53"/>
  <c r="H438" i="53"/>
  <c r="I182" i="53"/>
  <c r="H182" i="53"/>
  <c r="J21" i="53"/>
  <c r="J23" i="53" s="1"/>
  <c r="C14" i="9"/>
  <c r="H671" i="53"/>
  <c r="I671" i="53"/>
  <c r="I817" i="53" s="1"/>
  <c r="J180" i="53"/>
  <c r="J672" i="53"/>
  <c r="I260" i="53"/>
  <c r="H260" i="53"/>
  <c r="J78" i="53"/>
  <c r="J103" i="53"/>
  <c r="J371" i="53"/>
  <c r="I80" i="53"/>
  <c r="H80" i="53"/>
  <c r="J247" i="53"/>
  <c r="J210" i="53"/>
  <c r="I95" i="53"/>
  <c r="H95" i="53"/>
  <c r="J473" i="53"/>
  <c r="H372" i="53"/>
  <c r="I372" i="53"/>
  <c r="J439" i="53"/>
  <c r="J81" i="53"/>
  <c r="I211" i="53"/>
  <c r="H211" i="53"/>
  <c r="H52" i="53"/>
  <c r="I52" i="53"/>
  <c r="C13" i="39"/>
  <c r="C21" i="39" s="1"/>
  <c r="I14" i="31"/>
  <c r="I245" i="31" s="1"/>
  <c r="H14" i="31"/>
  <c r="E50" i="9" l="1"/>
  <c r="H245" i="31"/>
  <c r="H321" i="31" s="1"/>
  <c r="J14" i="31"/>
  <c r="J245" i="31" s="1"/>
  <c r="C12" i="41" s="1"/>
  <c r="E12" i="41" s="1"/>
  <c r="E19" i="41" s="1"/>
  <c r="C12" i="20" s="1"/>
  <c r="I321" i="31"/>
  <c r="C38" i="9"/>
  <c r="C50" i="9" s="1"/>
  <c r="I2209" i="53"/>
  <c r="D26" i="9" s="1"/>
  <c r="H422" i="53"/>
  <c r="H618" i="53"/>
  <c r="C17" i="9" s="1"/>
  <c r="H171" i="53"/>
  <c r="D15" i="39"/>
  <c r="D116" i="9"/>
  <c r="E116" i="9" s="1"/>
  <c r="I422" i="53"/>
  <c r="D16" i="9" s="1"/>
  <c r="I171" i="53"/>
  <c r="D15" i="9" s="1"/>
  <c r="I618" i="53"/>
  <c r="D17" i="9" s="1"/>
  <c r="D14" i="9"/>
  <c r="I1202" i="53"/>
  <c r="D20" i="9" s="1"/>
  <c r="I1009" i="53"/>
  <c r="D19" i="9" s="1"/>
  <c r="D22" i="9"/>
  <c r="H667" i="53"/>
  <c r="H817" i="53" s="1"/>
  <c r="J95" i="53"/>
  <c r="J1447" i="53"/>
  <c r="J182" i="53"/>
  <c r="D25" i="9"/>
  <c r="J52" i="53"/>
  <c r="J2025" i="53"/>
  <c r="D21" i="9"/>
  <c r="J2120" i="53"/>
  <c r="J1254" i="53"/>
  <c r="J246" i="53"/>
  <c r="D18" i="9"/>
  <c r="J2152" i="53"/>
  <c r="J1061" i="53"/>
  <c r="J869" i="53"/>
  <c r="J372" i="53"/>
  <c r="J211" i="53"/>
  <c r="J474" i="53"/>
  <c r="J223" i="53"/>
  <c r="J80" i="53"/>
  <c r="J260" i="53"/>
  <c r="J438" i="53"/>
  <c r="J671" i="53"/>
  <c r="D29" i="9" l="1"/>
  <c r="C14" i="20"/>
  <c r="E12" i="20"/>
  <c r="E16" i="20" s="1"/>
  <c r="J321" i="31"/>
  <c r="J171" i="53"/>
  <c r="J422" i="53"/>
  <c r="I2237" i="53"/>
  <c r="C15" i="9"/>
  <c r="J618" i="53"/>
  <c r="J667" i="53"/>
  <c r="J817" i="53" s="1"/>
  <c r="C16" i="9"/>
  <c r="U73" i="56" l="1"/>
  <c r="C18" i="9" l="1"/>
  <c r="B14" i="39" l="1"/>
  <c r="B13" i="39"/>
  <c r="B12" i="42"/>
  <c r="B12" i="40"/>
  <c r="B14" i="42" l="1"/>
  <c r="C12" i="43"/>
  <c r="H13" i="50"/>
  <c r="G13" i="50"/>
  <c r="H858" i="53" l="1"/>
  <c r="H1009" i="53" s="1"/>
  <c r="I13" i="50"/>
  <c r="J858" i="53" l="1"/>
  <c r="J1009" i="53" l="1"/>
  <c r="C19" i="9" l="1"/>
  <c r="C21" i="40" l="1"/>
  <c r="H1057" i="53" l="1"/>
  <c r="H1202" i="53" s="1"/>
  <c r="J1057" i="53" l="1"/>
  <c r="B39" i="9"/>
  <c r="B38" i="9"/>
  <c r="H16" i="50" l="1"/>
  <c r="G16" i="50"/>
  <c r="H15" i="50"/>
  <c r="H22" i="50" s="1"/>
  <c r="G15" i="50"/>
  <c r="G22" i="50" l="1"/>
  <c r="J1202" i="53"/>
  <c r="I16" i="50"/>
  <c r="I15" i="50"/>
  <c r="I22" i="50" s="1"/>
  <c r="U89" i="56"/>
  <c r="U86" i="56"/>
  <c r="U84" i="56"/>
  <c r="U83" i="56"/>
  <c r="U81" i="56"/>
  <c r="U79" i="56"/>
  <c r="U77" i="56"/>
  <c r="U76" i="56"/>
  <c r="U97" i="56" l="1"/>
  <c r="U98" i="56" s="1"/>
  <c r="U99" i="56" l="1"/>
  <c r="C20" i="9"/>
  <c r="H1243" i="53" l="1"/>
  <c r="H1395" i="53" s="1"/>
  <c r="B108" i="9"/>
  <c r="D13" i="39"/>
  <c r="E108" i="9"/>
  <c r="E110" i="9" s="1"/>
  <c r="D108" i="9"/>
  <c r="D110" i="9" s="1"/>
  <c r="D111" i="9" s="1"/>
  <c r="C248" i="9"/>
  <c r="K10" i="14"/>
  <c r="K14" i="14" s="1"/>
  <c r="K16" i="14" s="1"/>
  <c r="T10" i="14"/>
  <c r="T14" i="14" s="1"/>
  <c r="T16" i="14" s="1"/>
  <c r="T18" i="14" s="1"/>
  <c r="K11" i="14"/>
  <c r="T11" i="14"/>
  <c r="K12" i="14"/>
  <c r="T12" i="14"/>
  <c r="K20" i="14"/>
  <c r="T20" i="14"/>
  <c r="I35" i="14"/>
  <c r="J35" i="14"/>
  <c r="R35" i="14"/>
  <c r="S35" i="14"/>
  <c r="K9" i="15"/>
  <c r="T9" i="15"/>
  <c r="K10" i="15"/>
  <c r="K14" i="15" s="1"/>
  <c r="K17" i="15" s="1"/>
  <c r="T10" i="15"/>
  <c r="T14" i="15" s="1"/>
  <c r="T17" i="15" s="1"/>
  <c r="K11" i="15"/>
  <c r="T11" i="15"/>
  <c r="K12" i="15"/>
  <c r="T12" i="15"/>
  <c r="I34" i="15"/>
  <c r="J34" i="15"/>
  <c r="R34" i="15"/>
  <c r="S34" i="15"/>
  <c r="K10" i="13"/>
  <c r="K14" i="13" s="1"/>
  <c r="T10" i="13"/>
  <c r="T33" i="13" s="1"/>
  <c r="K11" i="13"/>
  <c r="T11" i="13"/>
  <c r="K12" i="13"/>
  <c r="T12" i="13"/>
  <c r="K18" i="13"/>
  <c r="T18" i="13"/>
  <c r="I33" i="13"/>
  <c r="J33" i="13"/>
  <c r="R33" i="13"/>
  <c r="S33" i="13"/>
  <c r="D128" i="9" l="1"/>
  <c r="D133" i="9" s="1"/>
  <c r="J1243" i="53"/>
  <c r="I280" i="27"/>
  <c r="I475" i="27" s="1"/>
  <c r="J280" i="27"/>
  <c r="J475" i="27" s="1"/>
  <c r="E13" i="39"/>
  <c r="T22" i="14"/>
  <c r="T35" i="14" s="1"/>
  <c r="C12" i="42"/>
  <c r="E27" i="9"/>
  <c r="T34" i="15"/>
  <c r="K17" i="14"/>
  <c r="K18" i="14"/>
  <c r="K22" i="14" s="1"/>
  <c r="K35" i="14" s="1"/>
  <c r="K15" i="13"/>
  <c r="K16" i="13"/>
  <c r="K20" i="13" s="1"/>
  <c r="K33" i="13" s="1"/>
  <c r="C108" i="9"/>
  <c r="C110" i="9" s="1"/>
  <c r="K15" i="14"/>
  <c r="T17" i="14"/>
  <c r="K34" i="15"/>
  <c r="T15" i="14"/>
  <c r="D14" i="39" l="1"/>
  <c r="D21" i="39" s="1"/>
  <c r="D115" i="9"/>
  <c r="D118" i="9" s="1"/>
  <c r="D134" i="9" s="1"/>
  <c r="E14" i="39"/>
  <c r="E21" i="39" s="1"/>
  <c r="D12" i="40"/>
  <c r="E12" i="40"/>
  <c r="E12" i="42"/>
  <c r="E14" i="42" l="1"/>
  <c r="E15" i="42" s="1"/>
  <c r="E115" i="9"/>
  <c r="E118" i="9" s="1"/>
  <c r="C13" i="19" s="1"/>
  <c r="E13" i="19" s="1"/>
  <c r="E128" i="9"/>
  <c r="E133" i="9" s="1"/>
  <c r="C14" i="19" s="1"/>
  <c r="E14" i="19" s="1"/>
  <c r="J1395" i="53"/>
  <c r="D21" i="40"/>
  <c r="E15" i="9"/>
  <c r="E14" i="9"/>
  <c r="D12" i="43" l="1"/>
  <c r="D19" i="43" s="1"/>
  <c r="D15" i="24" s="1"/>
  <c r="E20" i="9"/>
  <c r="E19" i="9"/>
  <c r="E17" i="9"/>
  <c r="E18" i="9"/>
  <c r="C14" i="42"/>
  <c r="C15" i="42" s="1"/>
  <c r="C21" i="9" l="1"/>
  <c r="E21" i="9" s="1"/>
  <c r="E21" i="40"/>
  <c r="D14" i="24"/>
  <c r="E16" i="9"/>
  <c r="H1443" i="53" l="1"/>
  <c r="H1588" i="53" s="1"/>
  <c r="J1443" i="53" l="1"/>
  <c r="J1588" i="53" s="1"/>
  <c r="C22" i="9" l="1"/>
  <c r="E22" i="9" l="1"/>
  <c r="H2014" i="53" l="1"/>
  <c r="H2105" i="53" s="1"/>
  <c r="J2014" i="53" l="1"/>
  <c r="J2105" i="53" s="1"/>
  <c r="H2148" i="53"/>
  <c r="J2148" i="53" s="1"/>
  <c r="H2116" i="53"/>
  <c r="H2209" i="53" l="1"/>
  <c r="H2237" i="53" s="1"/>
  <c r="J2116" i="53"/>
  <c r="J2209" i="53" s="1"/>
  <c r="J2237" i="53" s="1"/>
  <c r="C25" i="9"/>
  <c r="C26" i="9" l="1"/>
  <c r="C29" i="9" s="1"/>
  <c r="C111" i="9" s="1"/>
  <c r="C134" i="9" s="1"/>
  <c r="E25" i="9"/>
  <c r="E26" i="9" l="1"/>
  <c r="E29" i="9" s="1"/>
  <c r="E111" i="9" s="1"/>
  <c r="E134" i="9" l="1"/>
  <c r="C12" i="19"/>
  <c r="C17" i="19" l="1"/>
  <c r="K13" i="19" s="1"/>
  <c r="K20" i="19" s="1"/>
  <c r="E12" i="19"/>
  <c r="E24" i="19" l="1"/>
  <c r="D13" i="24" s="1"/>
  <c r="D17" i="24" l="1"/>
  <c r="B22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Lamp5</author>
    <author>Lamp11</author>
  </authors>
  <commentList>
    <comment ref="M236" authorId="0" shapeId="0" xr:uid="{E9985197-A17F-4354-A9C6-742C234DFC3A}">
      <text>
        <r>
          <rPr>
            <b/>
            <sz val="9"/>
            <color indexed="81"/>
            <rFont val="Tahoma"/>
            <family val="2"/>
          </rPr>
          <t>คอตโต้ 250 บาท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06" authorId="1" shapeId="0" xr:uid="{4C19E135-E3D0-41E4-8287-6574099D7F4E}">
      <text>
        <r>
          <rPr>
            <b/>
            <sz val="9"/>
            <color indexed="81"/>
            <rFont val="Tahoma"/>
            <family val="2"/>
          </rPr>
          <t>ตร.ม. ละ 465</t>
        </r>
      </text>
    </comment>
    <comment ref="F590" authorId="1" shapeId="0" xr:uid="{EE4B7A97-0A5E-4872-BF06-E68BC5D7F1D6}">
      <text>
        <r>
          <rPr>
            <b/>
            <sz val="9"/>
            <color indexed="81"/>
            <rFont val="Tahoma"/>
            <family val="2"/>
          </rPr>
          <t>ตร.ม. ละ 465</t>
        </r>
      </text>
    </comment>
    <comment ref="M621" authorId="0" shapeId="0" xr:uid="{2AEC1964-B2A3-49C1-990B-56D51159FFD7}">
      <text>
        <r>
          <rPr>
            <b/>
            <sz val="9"/>
            <color indexed="81"/>
            <rFont val="Tahoma"/>
            <family val="2"/>
          </rPr>
          <t>คอตโต้ 250 บาท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95" authorId="1" shapeId="0" xr:uid="{204F8022-4527-46D2-A32D-C2F41B7FA856}">
      <text>
        <r>
          <rPr>
            <b/>
            <sz val="9"/>
            <color indexed="81"/>
            <rFont val="Tahoma"/>
            <family val="2"/>
          </rPr>
          <t>ตร.ม. ละ 465</t>
        </r>
      </text>
    </comment>
    <comment ref="F1499" authorId="1" shapeId="0" xr:uid="{1251283B-E73C-4CCD-8F9C-ABC2D609F498}">
      <text>
        <r>
          <rPr>
            <b/>
            <sz val="9"/>
            <color indexed="81"/>
            <rFont val="Tahoma"/>
            <family val="2"/>
          </rPr>
          <t>พรม ต่อ ตร.ม. 1,050</t>
        </r>
      </text>
    </comment>
    <comment ref="F1674" authorId="1" shapeId="0" xr:uid="{B3D6AB2A-FC11-4BCF-A5B0-0EDBD5C44F73}">
      <text>
        <r>
          <rPr>
            <b/>
            <sz val="9"/>
            <color indexed="81"/>
            <rFont val="Tahoma"/>
            <family val="2"/>
          </rPr>
          <t>ราคาสืบ 644 ตร.ม.</t>
        </r>
      </text>
    </comment>
  </commentList>
</comments>
</file>

<file path=xl/sharedStrings.xml><?xml version="1.0" encoding="utf-8"?>
<sst xmlns="http://schemas.openxmlformats.org/spreadsheetml/2006/main" count="20204" uniqueCount="2041">
  <si>
    <t>เดือน</t>
  </si>
  <si>
    <t>2. ชุดปรับราคา</t>
  </si>
  <si>
    <t>F1</t>
  </si>
  <si>
    <t>F3</t>
  </si>
  <si>
    <t>F5</t>
  </si>
  <si>
    <t>ชุด</t>
  </si>
  <si>
    <t>W1</t>
  </si>
  <si>
    <t>W7</t>
  </si>
  <si>
    <t>W11</t>
  </si>
  <si>
    <t>ท่อน้ำดับเพลิงภายในอาคาร ( BSP. SCH 40, SEAM )</t>
  </si>
  <si>
    <t>CHECK VALVE</t>
  </si>
  <si>
    <t>- DIA. 4"</t>
  </si>
  <si>
    <t>GATE  VALVE ( OS&amp;Y )</t>
  </si>
  <si>
    <t>- DIA. 6"</t>
  </si>
  <si>
    <t>GATE VALVE</t>
  </si>
  <si>
    <t>- DIA. 2"</t>
  </si>
  <si>
    <t>BALL VALVE</t>
  </si>
  <si>
    <t>- DIA. 1"</t>
  </si>
  <si>
    <t>BUTTERFLY VALVE</t>
  </si>
  <si>
    <t>BUTTERFLY  VALVE  W/SUPERVISORY SWITCH</t>
  </si>
  <si>
    <t>AUTOMATIC  AIR  VENT</t>
  </si>
  <si>
    <t>TWINFLEX</t>
  </si>
  <si>
    <t xml:space="preserve">GATE  VALVE (GV) </t>
  </si>
  <si>
    <t xml:space="preserve">STRAINNER (STR) </t>
  </si>
  <si>
    <t xml:space="preserve">CHECK  VALVE (CV) </t>
  </si>
  <si>
    <t>HOSE  BIBB</t>
  </si>
  <si>
    <t>ROOF DRAIN</t>
  </si>
  <si>
    <t>ตัว</t>
  </si>
  <si>
    <t>ตู้</t>
  </si>
  <si>
    <t>เต้ารับไฟฟ้าเดี่ยวพร้อมกราวด์ 16A.,250 V A</t>
  </si>
  <si>
    <t>เต้ารับไฟฟ้าคู่พร้อมกราวด์ 16A,250VA</t>
  </si>
  <si>
    <t>เต้ารับไฟฟ้าคู่พร้อมกราวด์ 16A,250VA (กันน้ำ)</t>
  </si>
  <si>
    <t>GROUND TEST BOX</t>
  </si>
  <si>
    <t>GROUND ROD 5/8"X10'</t>
  </si>
  <si>
    <t>GROUND BAR</t>
  </si>
  <si>
    <t>GRAPHIC ANNUNCIATOR</t>
  </si>
  <si>
    <t>CONTROL MODULE</t>
  </si>
  <si>
    <t>MONITOR MODULE</t>
  </si>
  <si>
    <t>BATTERY 12V. 12Ah</t>
  </si>
  <si>
    <t>ACCESS CONTROL PANEL</t>
  </si>
  <si>
    <t>โปรแกรมระบบควบคุมทางเข้าและป้องกันผู้บุกรุก</t>
  </si>
  <si>
    <t>1.    ราคากลาง</t>
  </si>
  <si>
    <t>ภาษีมูลค่าเพิ่ม</t>
  </si>
  <si>
    <t>ค่า Facto F</t>
  </si>
  <si>
    <t>ค่าดำเนินการกำไร</t>
  </si>
  <si>
    <t>ค่า Factro F</t>
  </si>
  <si>
    <t>รวมเป็นเงิน (ข+ค+ง)</t>
  </si>
  <si>
    <t>A</t>
  </si>
  <si>
    <t>B</t>
  </si>
  <si>
    <t>รวมราคาค่าก่อสร้างทั้งหมด (ก+B)</t>
  </si>
  <si>
    <t>Bill  Of  Quantity</t>
  </si>
  <si>
    <t xml:space="preserve"> </t>
  </si>
  <si>
    <t>ลำดับ</t>
  </si>
  <si>
    <t>รายละเอียด</t>
  </si>
  <si>
    <t>จำนวน</t>
  </si>
  <si>
    <t>หน่วย</t>
  </si>
  <si>
    <t>ราคาต่อหน่วย(บาท)</t>
  </si>
  <si>
    <t>รวมเป็นเงิน( บาท )</t>
  </si>
  <si>
    <t>หมายเหตุ</t>
  </si>
  <si>
    <t>วัสดุ</t>
  </si>
  <si>
    <t>ค่าแรง</t>
  </si>
  <si>
    <t>รวมวัสดุ+แรง</t>
  </si>
  <si>
    <t>รวมค่าวัสดุ</t>
  </si>
  <si>
    <t>รวมค่าแรง</t>
  </si>
  <si>
    <t>รวมเป็นเงิน</t>
  </si>
  <si>
    <t>งานโครงสร้าง</t>
  </si>
  <si>
    <t xml:space="preserve"> สถานที่ก่อสร้าง : ถนนสามเสน เขตดุสิต กรุงเทพมหานคร</t>
  </si>
  <si>
    <t xml:space="preserve"> โครงการ : อาคารบริการวิชาการ</t>
  </si>
  <si>
    <t xml:space="preserve"> มหาวิทยาลัยนวมินทราธิราช</t>
  </si>
  <si>
    <t xml:space="preserve"> ประมาณราคาค่าก่อสร้าง : อาคารบริการวิชาการ</t>
  </si>
  <si>
    <t>ผู้เสนอราคากลาง : บริษัท เอไอที คอนซัลติ้งแอนด์ดีไซน์ จำกัด</t>
  </si>
  <si>
    <t>5/240 หมู่ 9 ซอยนวมินทร์ 111 ถนนนวมินทร์</t>
  </si>
  <si>
    <t>แขวงนวมินทร์ เขตบึงกุ่ม กรุงเทพมหานคร 10240</t>
  </si>
  <si>
    <t>โทร. 02-508-1169         โทรสาร 02-508-1237</t>
  </si>
  <si>
    <t>ข</t>
  </si>
  <si>
    <t>ค</t>
  </si>
  <si>
    <t>ง</t>
  </si>
  <si>
    <t>ก</t>
  </si>
  <si>
    <t>ค่าใช้จ่ายพิเศษ</t>
  </si>
  <si>
    <t>สรุปราคาค่าก่อสร้าง</t>
  </si>
  <si>
    <t>งานสถาปัตยกรรม</t>
  </si>
  <si>
    <t>งานระบบประกอบอาคาร</t>
  </si>
  <si>
    <t>รวมราคาค่าก่อสร้างทั้งหมด</t>
  </si>
  <si>
    <t>ต้น</t>
  </si>
  <si>
    <t>ม.</t>
  </si>
  <si>
    <t>ลบ.ม.</t>
  </si>
  <si>
    <t>ตร.ม.</t>
  </si>
  <si>
    <t>กก.</t>
  </si>
  <si>
    <t>เหล็กเสริม RB 9 mm SR24</t>
  </si>
  <si>
    <t>เหล็กเสริม DB 12 mm SD40</t>
  </si>
  <si>
    <t>เหล็กเสริม DB 16 mm SD40</t>
  </si>
  <si>
    <t>เหล็กเสริม DB 20 mm SD40</t>
  </si>
  <si>
    <t>เหล็กเสริม DB 25 mm SD50</t>
  </si>
  <si>
    <t>เหมา</t>
  </si>
  <si>
    <t>5.1.1</t>
  </si>
  <si>
    <t>5.1.2</t>
  </si>
  <si>
    <t>5.1.3</t>
  </si>
  <si>
    <t xml:space="preserve">พื้น Post Tension </t>
  </si>
  <si>
    <t>ระบบกันซึมพื้นหลังคา</t>
  </si>
  <si>
    <t>งานโครงสร้างเหล็กรูปพรรณโครงหลังคา</t>
  </si>
  <si>
    <t>ค่างานต้นทุน</t>
  </si>
  <si>
    <t>FACTOR F</t>
  </si>
  <si>
    <t>ค่าก่อสร้าง</t>
  </si>
  <si>
    <t>เงื่อนไข</t>
  </si>
  <si>
    <t>ค่างาน</t>
  </si>
  <si>
    <t>งาน</t>
  </si>
  <si>
    <t>รวมค่าก่อสร้างเป็นเงินทั้งสิ้น</t>
  </si>
  <si>
    <t>-</t>
  </si>
  <si>
    <t>F8</t>
  </si>
  <si>
    <t>แผ่น</t>
  </si>
  <si>
    <t>งานประตู</t>
  </si>
  <si>
    <t xml:space="preserve">งานหน้าต่าง </t>
  </si>
  <si>
    <t>สรุป</t>
  </si>
  <si>
    <t>จุด</t>
  </si>
  <si>
    <t>Y STRAINER</t>
  </si>
  <si>
    <t xml:space="preserve"> - PENDENT TYPE </t>
  </si>
  <si>
    <t xml:space="preserve"> - งานระบบไฟฟ้า</t>
  </si>
  <si>
    <t>3.1.1</t>
  </si>
  <si>
    <t>3.1.2</t>
  </si>
  <si>
    <t>3.1.3</t>
  </si>
  <si>
    <t>3.1.4</t>
  </si>
  <si>
    <t>3.1.6</t>
  </si>
  <si>
    <t>3.1.7</t>
  </si>
  <si>
    <t>3.1.8</t>
  </si>
  <si>
    <t>Power Supply for Strip Light</t>
  </si>
  <si>
    <t>Air Terminal</t>
  </si>
  <si>
    <t>ISOLATOR MODULE</t>
  </si>
  <si>
    <t>RELAY MODULE</t>
  </si>
  <si>
    <t>PROXIMITY CARD</t>
  </si>
  <si>
    <t>งานตู้เมนไฟฟ้า ( MAIN DISTRIBUTION BOARD )</t>
  </si>
  <si>
    <t>งานสวิทช์และเต้ารับไฟฟ้า</t>
  </si>
  <si>
    <t>งานระบบป้องกันฟ้าผ่าและระบบสายดิน</t>
  </si>
  <si>
    <t>งานตัวนำทองแดง</t>
  </si>
  <si>
    <t>คณะกรรมการกำหนดราคากลาง</t>
  </si>
  <si>
    <t xml:space="preserve">ลงชื่อ ..................................................................... กรรมการ   </t>
  </si>
  <si>
    <t>ส่วนงานที่ 1 ค่างานต้นทุน (คำนวณในราคาทุน)</t>
  </si>
  <si>
    <t>Hand Hole</t>
  </si>
  <si>
    <t>F4</t>
  </si>
  <si>
    <t>งานระบบลิฟต์</t>
  </si>
  <si>
    <t xml:space="preserve"> -</t>
  </si>
  <si>
    <t>ปิดกั้นพื้นที่รอบโครงการ</t>
  </si>
  <si>
    <t>ระบบป้องกันฝุ่น</t>
  </si>
  <si>
    <t>ตลอดอายุสัญญา</t>
  </si>
  <si>
    <t>ค่าใช้จ่ายในกรณีไม่อนุญาตให้คนงานพักในสถานที่ก่อสร้าง</t>
  </si>
  <si>
    <t>เที่ยว</t>
  </si>
  <si>
    <t>รวมราคา</t>
  </si>
  <si>
    <t>หน่วย : บาท</t>
  </si>
  <si>
    <t>ค่าทดสอบเสาเข็ม SEISMIC TEST</t>
  </si>
  <si>
    <t xml:space="preserve">แบบแสดงรายการ ปริมาณงาน และราคา  </t>
  </si>
  <si>
    <t xml:space="preserve">พื้น ค.ส.ล. ผิวขัดมัน </t>
  </si>
  <si>
    <t>F7</t>
  </si>
  <si>
    <t>งานติดตั้งชั้นหลังคาเหล็ก</t>
  </si>
  <si>
    <t xml:space="preserve">ค่าขนส่ง </t>
  </si>
  <si>
    <t>4.3.1</t>
  </si>
  <si>
    <t xml:space="preserve">PHOTOELECTRIC SMOKE DETECTOR  </t>
  </si>
  <si>
    <t xml:space="preserve">HEAT DETECTOR </t>
  </si>
  <si>
    <t>MANUAL STATION</t>
  </si>
  <si>
    <t>Fire Man Telephone Contral Panel</t>
  </si>
  <si>
    <t>Protble Telephone Handset,Red</t>
  </si>
  <si>
    <t>3.2.1</t>
  </si>
  <si>
    <t>3.2.2</t>
  </si>
  <si>
    <t>3.3.1</t>
  </si>
  <si>
    <t>3.3.2</t>
  </si>
  <si>
    <t>ไม้ค้ำยันไม้แบบ</t>
  </si>
  <si>
    <t>ลบ.ฟ.</t>
  </si>
  <si>
    <t>ค่าแรงแบบหล่อคอนกรีต(คิด100% )</t>
  </si>
  <si>
    <t>ไม้คร่าวยึดไม้แบบ (คิด30% ของไม้แบบ)</t>
  </si>
  <si>
    <t>รั้วชั่วคราวปิดกั้นพื้นที่รอบโครงการ</t>
  </si>
  <si>
    <t>ค่าใช้จ่ายสำหรับอุปกรณ์เครื่องจักรกลพิเศษในการก่อสร้าง</t>
  </si>
  <si>
    <t>วัน</t>
  </si>
  <si>
    <t>ค่าทดสอบ,ทำความสะอาด,ทาสีและทำสัญลักษณ์ (ร้อยละ5ของราคาท่อและค่าแรง ร้อยละ30 ของราคาวัสดุ)</t>
  </si>
  <si>
    <t>อุปกรณ์ยึดและรองรับท่อ  (ร้อยละ10ของราคาท่อและค่าแรง ร้อยละ30 ของราคาวัสดุ)</t>
  </si>
  <si>
    <t>รวมราคางานสถาปัตยกรรม</t>
  </si>
  <si>
    <t>FIRE PUMP</t>
  </si>
  <si>
    <t xml:space="preserve">ท่อน้ำดับเพลิงDia. 1" </t>
  </si>
  <si>
    <t xml:space="preserve">ท่อน้ำดับเพลิงDia. 1 1/4" </t>
  </si>
  <si>
    <t xml:space="preserve">ท่อน้ำดับเพลิงDia. 1 1/2" </t>
  </si>
  <si>
    <t xml:space="preserve">ท่อน้ำดับเพลิงDia. 2" </t>
  </si>
  <si>
    <t xml:space="preserve">ท่อน้ำดับเพลิงDia. 2 1/2" </t>
  </si>
  <si>
    <t xml:space="preserve">ท่อน้ำดับเพลิงDia. 3" </t>
  </si>
  <si>
    <t xml:space="preserve">ท่อน้ำดับเพลิงDia. 4" </t>
  </si>
  <si>
    <t xml:space="preserve">ท่อน้ำดับเพลิงDia. 6" </t>
  </si>
  <si>
    <t>3.1.9</t>
  </si>
  <si>
    <t>3.1.10</t>
  </si>
  <si>
    <t>3.1.11</t>
  </si>
  <si>
    <t>3.2.3</t>
  </si>
  <si>
    <t>3.2.4</t>
  </si>
  <si>
    <t>3.2.5</t>
  </si>
  <si>
    <t>3.2.7</t>
  </si>
  <si>
    <t>3.3.3</t>
  </si>
  <si>
    <t xml:space="preserve"> -FLOW SWITCH</t>
  </si>
  <si>
    <t xml:space="preserve"> -PRESSURE GAUGE W/NEEDLE VALVE</t>
  </si>
  <si>
    <t>งานสถาปัตยกรรม ชั้น 1</t>
  </si>
  <si>
    <t>งานสถาปัตยกรรม ชั้น 2</t>
  </si>
  <si>
    <t>งานสถาปัตยกรรม ชั้น 3</t>
  </si>
  <si>
    <t>งานสถาปัตยกรรม ชั้น 4</t>
  </si>
  <si>
    <t>งานสถาปัตยกรรม ชั้น 5</t>
  </si>
  <si>
    <t>C1</t>
  </si>
  <si>
    <t>ไม้แบบคิด 50%  (อาคารสูงตั้งแต่ 4 ชั้น ขึ้นไป)</t>
  </si>
  <si>
    <t>ตะปู (คิด25% ของไม้แบบทั้งหมด)</t>
  </si>
  <si>
    <t>ลวดผูกเหล็ก (คิด 30 กก.ต่อน้ำหนักเหล็ก 1,000 กก.)</t>
  </si>
  <si>
    <t>งานวัสดุพื้น/ ผิวพื้น</t>
  </si>
  <si>
    <t xml:space="preserve">งานประตูและหน้าต่าง </t>
  </si>
  <si>
    <t>งานงานระบบสุขภัณฑ์และอุปกรณ์ประกอบ</t>
  </si>
  <si>
    <t>งานฝ้าเพดาน</t>
  </si>
  <si>
    <t>งานสี</t>
  </si>
  <si>
    <t>งานเต้ารับไฟฟ้า</t>
  </si>
  <si>
    <t>งานสวิทช์</t>
  </si>
  <si>
    <t>งานระบบแจ้งเหตุเพลิงไหม้</t>
  </si>
  <si>
    <t>งานระบบสุขาภิบาล</t>
  </si>
  <si>
    <t>3.2.6</t>
  </si>
  <si>
    <t>3.4.1</t>
  </si>
  <si>
    <t>3.4.2</t>
  </si>
  <si>
    <t>อื่นๆ (เบ็ดเตล็ด)</t>
  </si>
  <si>
    <t>3.1.5</t>
  </si>
  <si>
    <t>4.2.1</t>
  </si>
  <si>
    <t>4.4.1</t>
  </si>
  <si>
    <t>4.6.1</t>
  </si>
  <si>
    <t>4.7.1</t>
  </si>
  <si>
    <t>4.7.2</t>
  </si>
  <si>
    <t>4.9.1</t>
  </si>
  <si>
    <t>4.9.2</t>
  </si>
  <si>
    <t>4.10.1</t>
  </si>
  <si>
    <t>4.10.2</t>
  </si>
  <si>
    <t>4.10.3</t>
  </si>
  <si>
    <t>ไม้แบบสำหรับงานพื้น</t>
  </si>
  <si>
    <t>ไม้แบบสำหรับงานเสา</t>
  </si>
  <si>
    <t>ไม้แบบสำหรับงานคาน</t>
  </si>
  <si>
    <t>คอนกรีตโครงสร้าง (fc' cylinder =320 ksc.)</t>
  </si>
  <si>
    <t>4.2.2</t>
  </si>
  <si>
    <t>4.2.3</t>
  </si>
  <si>
    <t>4.2.4</t>
  </si>
  <si>
    <t>4.2.5</t>
  </si>
  <si>
    <t>3.5.1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</si>
  <si>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</si>
  <si>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</si>
  <si>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</si>
  <si>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</si>
  <si>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</si>
  <si>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</si>
  <si>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</si>
  <si>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</si>
  <si>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3.7.1</t>
  </si>
  <si>
    <t>3.7.2</t>
  </si>
  <si>
    <t>3.7.3</t>
  </si>
  <si>
    <t>งานพื้น</t>
  </si>
  <si>
    <t>เหล็กเสริมสำหรับงานพื้น</t>
  </si>
  <si>
    <t>งานเสา</t>
  </si>
  <si>
    <t>เหล็กเสริมสำหรับงานเสา</t>
  </si>
  <si>
    <t>งานบันได</t>
  </si>
  <si>
    <t>งานคาน</t>
  </si>
  <si>
    <t>เหล็กเสริมสำหรับงานคาน</t>
  </si>
  <si>
    <t>ไม้ค้ำยันไม้แบบ(ตามความยาวคาน)</t>
  </si>
  <si>
    <t>งานโครงสร้างชั้น 1</t>
  </si>
  <si>
    <t>งานโครงสร้างชั้น 2</t>
  </si>
  <si>
    <t>งานโครงสร้างชั้น 3</t>
  </si>
  <si>
    <t>งานโครงสร้างชั้น 4</t>
  </si>
  <si>
    <t>งานโครงสร้างชั้น 5</t>
  </si>
  <si>
    <t>งานโครงสร้างชั้น ดาดฟ้า</t>
  </si>
  <si>
    <t>งานโครงสร้างชั้น หลังคาคลุมบันได</t>
  </si>
  <si>
    <t>5.2.1</t>
  </si>
  <si>
    <t>5.2.2</t>
  </si>
  <si>
    <t>งานวิศวกรรมโครงสร้าง</t>
  </si>
  <si>
    <t>3.6.9</t>
  </si>
  <si>
    <t>งานเตรียมงาน</t>
  </si>
  <si>
    <t>แบบสรุปประมาณราคากลางงานก่อสร้างอาคาร</t>
  </si>
  <si>
    <t>แบบสรุปประมาณราคาค่าก่อสร้าง</t>
  </si>
  <si>
    <t>แบบสรุปประมาณราคาค่าครุภัณฑ์จัดซื้อ</t>
  </si>
  <si>
    <t>ภาควิชาสถาปัตยกรรม (Department of Architecture) </t>
  </si>
  <si>
    <t>รายการ</t>
  </si>
  <si>
    <t>งานตู้สำหรับแผงกระจายสาย</t>
  </si>
  <si>
    <t>เต้ารับคอมพิวเตอร์ RJ45 (CAT6)</t>
  </si>
  <si>
    <t>คอมพิวเตอร์ พร้อมอุปกรณ์ประกอบ ควบคุมระบบ</t>
  </si>
  <si>
    <t>HARD DISK 6 TB</t>
  </si>
  <si>
    <t>VOLUME CONTROL</t>
  </si>
  <si>
    <t>งานครุภัณฑ์จัดจ้างหรือสั่งทำและงานตกแต่งภายในอาคาร</t>
  </si>
  <si>
    <t>จากราคาสืบราคาเทียบ 3 ราย</t>
  </si>
  <si>
    <t>ST-1</t>
  </si>
  <si>
    <t>4.6.2</t>
  </si>
  <si>
    <t>งานระบบไฟฟ้า และสื่อสาร</t>
  </si>
  <si>
    <t>ตามบัญชีค่าใช้จ่ายพิเศษตามข้อกำหนด</t>
  </si>
  <si>
    <t xml:space="preserve">งานอื่นๆ (โปรดระบุ)  งานเบ็ดเตล็ด </t>
  </si>
  <si>
    <t>ตามระเบียบ12/61</t>
  </si>
  <si>
    <t xml:space="preserve">งานเครื่องปรับอากาศ </t>
  </si>
  <si>
    <t>แผงควบคุม</t>
  </si>
  <si>
    <t>พัดลมระบายอากาศติดผนัง ขนาด 100 CFM</t>
  </si>
  <si>
    <t>พัดลมระบายอากาศติดผนัง ขนาด 150 CFM</t>
  </si>
  <si>
    <t xml:space="preserve">งานท่อทองแดง </t>
  </si>
  <si>
    <t>ท่อทองแดง Type L ขนาด  Ø 1/4 นิ้ว</t>
  </si>
  <si>
    <t>จากค่าวัสดุกระทรวงพาณิชย์และค่าแรงกรมบัญชีกลาง 2563</t>
  </si>
  <si>
    <t>ท่อทองแดง Type L ขนาด  Ø 3/8 นิ้ว</t>
  </si>
  <si>
    <t>ท่อทองแดง Type L ขนาด  Ø 1/2 นิ้ว</t>
  </si>
  <si>
    <t>ท่อทองแดง Type L ขนาด  Ø 5/8 นิ้ว</t>
  </si>
  <si>
    <t>ท่อทองแดง Type L ขนาด  Ø 3/4 นิ้ว</t>
  </si>
  <si>
    <t>ท่อทองแดง Type L ขนาด  Ø 7/8 นิ้ว</t>
  </si>
  <si>
    <t>ท่อทองแดง Type L ขนาด  Ø 1-1/8 นิ้ว</t>
  </si>
  <si>
    <t>งานฉนวนหุ้มท่อ</t>
  </si>
  <si>
    <t>ฉนวนท่อทองแดง หนา 19 มม. ขนาด  Ø 1/4 นิ้ว</t>
  </si>
  <si>
    <t>ฉนวนท่อทองแดง หนา 19 มม. ขนาด  Ø 3/8 นิ้ว</t>
  </si>
  <si>
    <t>ฉนวนท่อทองแดง หนา 19 มม. ขนาด  Ø 1/2 นิ้ว</t>
  </si>
  <si>
    <t>ฉนวนท่อทองแดง หนา 19 มม. ขนาด  Ø 5/8 นิ้ว</t>
  </si>
  <si>
    <t>ฉนวนท่อทองแดง หนา 19 มม. ขนาด  Ø 3/4 นิ้ว</t>
  </si>
  <si>
    <t>ฉนวนท่อทองแดง หนา 19 มม. ขนาด  Ø 7/8 นิ้ว</t>
  </si>
  <si>
    <t>ฉนวนท่อทองแดง หนา 19 มม. ขนาด  Ø 1-1/8 นิ้ว</t>
  </si>
  <si>
    <t>แผ่นสังกะสี</t>
  </si>
  <si>
    <t>แผ่นสังกะสีเบอร์ 24</t>
  </si>
  <si>
    <t>ตร.ฟุต</t>
  </si>
  <si>
    <t>กริลระบายอากาศ</t>
  </si>
  <si>
    <t>แผงควบคุมอุณหภูมิ</t>
  </si>
  <si>
    <t xml:space="preserve">งานระบบปรับอากาศ และระบายอากาศ </t>
  </si>
  <si>
    <t>งานท่อลม และ กริลระบายอากาศ</t>
  </si>
  <si>
    <t>งานพัดลมระบายอากาศ</t>
  </si>
  <si>
    <t>5.4.1</t>
  </si>
  <si>
    <t>5.4.2</t>
  </si>
  <si>
    <t>5.4.3</t>
  </si>
  <si>
    <t>งานเครื่องปรับอากาศแบบแยกส่วน</t>
  </si>
  <si>
    <t xml:space="preserve">งานระบบไฟฟ้าและสื่อสาร </t>
  </si>
  <si>
    <t>หน่วยงานเจ้าของโครงการ/งานก่อสร้าง    มหาวิทยาลัยเทคโนโลยีราชมงคลพระนคร ศูนย์พระนครเหนือ</t>
  </si>
  <si>
    <t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t>
  </si>
  <si>
    <t>งานระบบโทรศัพท์</t>
  </si>
  <si>
    <t>4.11.1</t>
  </si>
  <si>
    <t>4.11.2</t>
  </si>
  <si>
    <t>5.6.1</t>
  </si>
  <si>
    <t>5.6.2</t>
  </si>
  <si>
    <t>5.6.3</t>
  </si>
  <si>
    <t>4.4.2</t>
  </si>
  <si>
    <t>4.4.3</t>
  </si>
  <si>
    <t>4.4.4</t>
  </si>
  <si>
    <t>4.4.5</t>
  </si>
  <si>
    <t>4.4.6</t>
  </si>
  <si>
    <t>4.13.1</t>
  </si>
  <si>
    <t>4.13.2</t>
  </si>
  <si>
    <t>4.7.3</t>
  </si>
  <si>
    <t>4.14.1</t>
  </si>
  <si>
    <t>4.14.2</t>
  </si>
  <si>
    <t>4.13.3</t>
  </si>
  <si>
    <t>4.13.2.1</t>
  </si>
  <si>
    <t>4.13.2.2</t>
  </si>
  <si>
    <t>ชั้น 1</t>
  </si>
  <si>
    <t>ชั้น 2</t>
  </si>
  <si>
    <t>ชั้น 3</t>
  </si>
  <si>
    <t>ชั้น 4</t>
  </si>
  <si>
    <t>ชั้น 5</t>
  </si>
  <si>
    <t>4.4.7</t>
  </si>
  <si>
    <t>4.8.1</t>
  </si>
  <si>
    <t>4.8.2</t>
  </si>
  <si>
    <t>4.8.3</t>
  </si>
  <si>
    <t>4.12.1</t>
  </si>
  <si>
    <t>4.12.2</t>
  </si>
  <si>
    <t>4.13.1.1</t>
  </si>
  <si>
    <t>4.13.1.2</t>
  </si>
  <si>
    <t>4.13.3.1</t>
  </si>
  <si>
    <t>4.13.3.2</t>
  </si>
  <si>
    <t>4.15.1</t>
  </si>
  <si>
    <t>งานโครงสร้างชั้น 7</t>
  </si>
  <si>
    <t>งานโครงสร้างชั้น 6</t>
  </si>
  <si>
    <t>งานสถาปัตยกรรม ชั้น 6</t>
  </si>
  <si>
    <t>งานสถาปัตยกรรม ชั้น 7</t>
  </si>
  <si>
    <t>ชั้น 6</t>
  </si>
  <si>
    <t>ชั้น 7</t>
  </si>
  <si>
    <t>C</t>
  </si>
  <si>
    <t>D</t>
  </si>
  <si>
    <t>E</t>
  </si>
  <si>
    <t>งานป้ายภายในอาคาร ชั้นดาดฟ้า</t>
  </si>
  <si>
    <t>s.q.m</t>
  </si>
  <si>
    <t>งานผิวผนัง</t>
  </si>
  <si>
    <t>งานผนังก่อ</t>
  </si>
  <si>
    <t>F2</t>
  </si>
  <si>
    <t>F6</t>
  </si>
  <si>
    <t>พื้น คอนกรีตบล็อกปูพื้น ขนาด 0.10 x 0.20 ม. หนา 6 ซม. (สีเทา-สีขาว)</t>
  </si>
  <si>
    <t>W9</t>
  </si>
  <si>
    <t>W10</t>
  </si>
  <si>
    <t>ผิวผนัง ฉาบปูนเรียบ ขัดมันทำกันซึม</t>
  </si>
  <si>
    <t>C2</t>
  </si>
  <si>
    <t>C3</t>
  </si>
  <si>
    <t>C4</t>
  </si>
  <si>
    <t>ที่ใส่กระดาษชำระ ชนิดติดผนัง</t>
  </si>
  <si>
    <t>สายฉีดชำระ สแตนเลส</t>
  </si>
  <si>
    <t>ชั้น 1 ขึ้นไป ชั้น 2</t>
  </si>
  <si>
    <t>ST-2</t>
  </si>
  <si>
    <t>ชั้น 2 ขึ้นไป ชั้น 3</t>
  </si>
  <si>
    <t>ชั้น 3 ขึ้นไป ชั้น 4</t>
  </si>
  <si>
    <t>ชั้น 4 ขึ้นไป ชั้น 5</t>
  </si>
  <si>
    <t>ชั้น 5 ขึ้นไป ชั้น 6</t>
  </si>
  <si>
    <t>งานเบ็ดเตล็ด</t>
  </si>
  <si>
    <t>Lifeline Safety</t>
  </si>
  <si>
    <t>งานสถาปัตยกรรม ชั้นหลังคา</t>
  </si>
  <si>
    <t>งานติดตั้งระบบป้องกันปลวกและแมลงระบบวางท่อ</t>
  </si>
  <si>
    <t>งานทาสี ที่จอดรถ</t>
  </si>
  <si>
    <t>ราวกันตกทางลาด สแตนเลส dia. 2"</t>
  </si>
  <si>
    <t>งาน Auditorium</t>
  </si>
  <si>
    <t>F9</t>
  </si>
  <si>
    <t>ราวกันตก</t>
  </si>
  <si>
    <t>W14</t>
  </si>
  <si>
    <t>บันได ST-1</t>
  </si>
  <si>
    <t>บันได ST-2</t>
  </si>
  <si>
    <t>ตัดหัวเสาเข็ม 0.80 ม.</t>
  </si>
  <si>
    <t>ตัดหัวเสาเข็ม 1.00 ม.</t>
  </si>
  <si>
    <t>ค่าทดสอบเสาเข็ม DYNAMIC LOAD TEST</t>
  </si>
  <si>
    <t>งานดิน-เสาเข็ม</t>
  </si>
  <si>
    <t>งานดินขุด</t>
  </si>
  <si>
    <t>งานดินถม</t>
  </si>
  <si>
    <t>คอนกรีตหยาบ</t>
  </si>
  <si>
    <t>ทรายหยาบบดอัดแน่น</t>
  </si>
  <si>
    <t>งานโครงสร้าง ชั้นฐานราก</t>
  </si>
  <si>
    <t>งานฐานราก</t>
  </si>
  <si>
    <t>งานเสาตอม่อ</t>
  </si>
  <si>
    <t>คอนกรีตทับหน้า (fc' cylinder =320 ksc.)</t>
  </si>
  <si>
    <t>WIRE MESH RB 4 mm. @ 0.20m.</t>
  </si>
  <si>
    <t>คอนกรีตโครงสร้างสำหรับงานฐานราก</t>
  </si>
  <si>
    <t>ไม้แบบสำหรับงานฐานราก</t>
  </si>
  <si>
    <t>เหล็กเสริมสำหรับงานฐานราก</t>
  </si>
  <si>
    <t>ไม้แบบสำหรับงานเสาตอม่อ</t>
  </si>
  <si>
    <t>คอนกรีตโครงสร้างสำหรับงานเสาตอม่อ</t>
  </si>
  <si>
    <t>เหล็กเสริมสำหรับงานเสาตอม่อ</t>
  </si>
  <si>
    <t>คอนกรีตโครงสร้างสำหรับงานเสา</t>
  </si>
  <si>
    <t>คอนกรีตโครงสร้างสำหรับงานบันได ST-1</t>
  </si>
  <si>
    <t>เหล็กเสริมสำหรับงานบันได ST-1</t>
  </si>
  <si>
    <t>ไม้แบบสำหรับงานบันได ST-1</t>
  </si>
  <si>
    <t>เหล็กเสริมสำหรับงานบันได ST-2</t>
  </si>
  <si>
    <t>คอนกรีตโครงสร้างสำหรับงานบันได ST-2</t>
  </si>
  <si>
    <t>ไม้แบบสำหรับงานบันได ST-2</t>
  </si>
  <si>
    <t>คอนกรีตโครงสร้างสำหรับงานคาน</t>
  </si>
  <si>
    <t>คอนกรีตโครงสร้างสำหรับงานพื้น</t>
  </si>
  <si>
    <t>ทาสีกันสนิม</t>
  </si>
  <si>
    <t>ซิลิโคน</t>
  </si>
  <si>
    <t>หลอด</t>
  </si>
  <si>
    <t>RL-01</t>
  </si>
  <si>
    <t>RL-02</t>
  </si>
  <si>
    <t>RL-03</t>
  </si>
  <si>
    <t>RL-04</t>
  </si>
  <si>
    <t>RL-05</t>
  </si>
  <si>
    <t>RL-06</t>
  </si>
  <si>
    <t>RL-07</t>
  </si>
  <si>
    <t>RL-08</t>
  </si>
  <si>
    <t>RL-09</t>
  </si>
  <si>
    <t>RL-10</t>
  </si>
  <si>
    <t>RL-11</t>
  </si>
  <si>
    <t>RL-12</t>
  </si>
  <si>
    <t>RL-13</t>
  </si>
  <si>
    <t>RL-14</t>
  </si>
  <si>
    <t>RL-15</t>
  </si>
  <si>
    <t>งานบ่อพัก และ ท่อระบายน้ำทิ้ง</t>
  </si>
  <si>
    <t>CWP-01,02 COLD WATER PUMP</t>
  </si>
  <si>
    <t>BOSSTER PUMP SET</t>
  </si>
  <si>
    <t>BP-01,02 BOOSTER PUMP</t>
  </si>
  <si>
    <t xml:space="preserve">PACKAGE BOOSTER PUMPS WITH DIAPHRAGM TANK </t>
  </si>
  <si>
    <t>ท่อน้ำประปา</t>
  </si>
  <si>
    <t>ท่อ HDPE PN10</t>
  </si>
  <si>
    <t>ท่อ PPR-PN10</t>
  </si>
  <si>
    <t xml:space="preserve"> Dia. 1/2" </t>
  </si>
  <si>
    <t xml:space="preserve"> Dia. 3/4" </t>
  </si>
  <si>
    <t xml:space="preserve"> Dia. 1" </t>
  </si>
  <si>
    <t xml:space="preserve"> Dia. 2" </t>
  </si>
  <si>
    <t xml:space="preserve"> Dia. 4" </t>
  </si>
  <si>
    <t xml:space="preserve"> Dia. 6" </t>
  </si>
  <si>
    <t>งานขุดและฝังกลบ สำหรับงานท่อฝังดิน</t>
  </si>
  <si>
    <t xml:space="preserve"> Dia.1/2"</t>
  </si>
  <si>
    <t xml:space="preserve"> Dia.3/4" </t>
  </si>
  <si>
    <t xml:space="preserve"> Dia.1 1/4" </t>
  </si>
  <si>
    <t>MODULATING  FLOAT   VALVE</t>
  </si>
  <si>
    <t>FOOT VALVE</t>
  </si>
  <si>
    <t xml:space="preserve">Dia. 2" </t>
  </si>
  <si>
    <t>FLEXIBLE CONNECTOR</t>
  </si>
  <si>
    <t>Dia.3/4"</t>
  </si>
  <si>
    <t>PRESSURE GAUGE</t>
  </si>
  <si>
    <t>FLOAT SWITCH WATER LEVEL SENSOR</t>
  </si>
  <si>
    <t>FLOAT VALVE</t>
  </si>
  <si>
    <t>3.1.12</t>
  </si>
  <si>
    <t>STOP VALVE</t>
  </si>
  <si>
    <t>3.1.13</t>
  </si>
  <si>
    <t>ถังเก็บน้ำ ขนาด 5 คิว วางบนพื้น</t>
  </si>
  <si>
    <t>งานค่าบริการขอใช้น้ำกับการประปานครหลวง</t>
  </si>
  <si>
    <t xml:space="preserve"> Dia. 3" </t>
  </si>
  <si>
    <t>งานท่อระบายน้ำเสีย ภายในอาคาร PVC. CLASS 8.5</t>
  </si>
  <si>
    <t>งานวางปลอกลอดท่อและช่องเปิดงานท่อ ที่พื้น คสล.</t>
  </si>
  <si>
    <t>CLEAN OUT (CO)</t>
  </si>
  <si>
    <t>FLOOR CLEAN OUT (FCO)</t>
  </si>
  <si>
    <t>FLOOR DRAIN WITH P - TRAP</t>
  </si>
  <si>
    <t>FLEXIBLE DRAIN</t>
  </si>
  <si>
    <t>VENT TROUGH ROOF</t>
  </si>
  <si>
    <t>งานท่อระบายน้ำฝน ฝังดิน HDPE. PN 6</t>
  </si>
  <si>
    <t>VERTICAL TURBINE FIRE PUMP DFP-01 (NFPA)</t>
  </si>
  <si>
    <t>Q = 750 GPM Head 50 m</t>
  </si>
  <si>
    <t>JOCKEY PUMP JP-01 VERTICAL TURBINE PUMP (NFPA )</t>
  </si>
  <si>
    <t>Q =  32 CU.M/HR Head 50 m</t>
  </si>
  <si>
    <t xml:space="preserve"> - DIA. 1"</t>
  </si>
  <si>
    <t xml:space="preserve"> - SIGHT GLASS</t>
  </si>
  <si>
    <t xml:space="preserve"> - UNION</t>
  </si>
  <si>
    <t>3.6.10</t>
  </si>
  <si>
    <t>OTHER EQUIPMENT</t>
  </si>
  <si>
    <t>- VALVE TEST STATION</t>
  </si>
  <si>
    <t>- VALVE ACCESSORIES</t>
  </si>
  <si>
    <t xml:space="preserve"> - UP-RIGHT TYPE </t>
  </si>
  <si>
    <t>ACB 3P 1250AT / 1250AF</t>
  </si>
  <si>
    <t>MCCB 3P 100AT / 100AF</t>
  </si>
  <si>
    <t>MCCB 3P 75AT / 100AF</t>
  </si>
  <si>
    <t>DIGITAL METER &amp; SURGE PROTECTION</t>
  </si>
  <si>
    <t>อุปกรณ์ประกอบ และสายควบคุม</t>
  </si>
  <si>
    <t>โครงตู้เหล็กและบาร์ทองแดง</t>
  </si>
  <si>
    <t>CAP</t>
  </si>
  <si>
    <t>HRC FUSE และสายควบคุม พร้อมแมคเนติก</t>
  </si>
  <si>
    <t>MCCB 3P 30AT / 100AF</t>
  </si>
  <si>
    <t>MCCB 3P 20AT / 100AF</t>
  </si>
  <si>
    <t>DB-AC</t>
  </si>
  <si>
    <t>MCCB 3P 200AT / 250AF</t>
  </si>
  <si>
    <t>MCCB 3P 175AT / 250AF</t>
  </si>
  <si>
    <t>MCCB 3P 125AT / 250AF</t>
  </si>
  <si>
    <t>MCCB 3P 40AT / 100AF</t>
  </si>
  <si>
    <t>ท่อร้อยสายไฟฟ้าชนิด IMC 1/2 นิ้ว</t>
  </si>
  <si>
    <t>ท่อร้อยสายไฟฟ้าชนิด EMT 1/2 นิ้ว</t>
  </si>
  <si>
    <t>ท่อเหล็กอ่อน 1/2 นิ้ว</t>
  </si>
  <si>
    <t>ท่อเหล็กอ่อนกันน้ำ 2 นิ้ว</t>
  </si>
  <si>
    <t>ท่อเหล็กอ่อนกันน้ำ 1 นิ้ว</t>
  </si>
  <si>
    <t>โคมส่องลงฝังฝ้า หลอด LED 1x9 วัตต์ ขั้ว E27 พร้อมกระจกปิด</t>
  </si>
  <si>
    <t xml:space="preserve">สวิทช์ไฟฟ้า 1 way switch </t>
  </si>
  <si>
    <t xml:space="preserve">ตู้ MIAN DISTRIBUTION FRAME </t>
  </si>
  <si>
    <t>TELEPHONE OUTLET ( RJ45 )</t>
  </si>
  <si>
    <t>สายสัญญาณ TPEV 20P-0.65 mm.</t>
  </si>
  <si>
    <t>สายสัญญาณ TPEV 10P-0.65 mm.</t>
  </si>
  <si>
    <t>สายสัญญาณ UTP CAT.6</t>
  </si>
  <si>
    <t>Patch Panel Fiber Optic</t>
  </si>
  <si>
    <t>Cable Management</t>
  </si>
  <si>
    <t>FIREALARM TERMINAL BOX</t>
  </si>
  <si>
    <t>HEAT DETECTOR (FIXED TEMP.)</t>
  </si>
  <si>
    <t>FIRE PHONE JACK</t>
  </si>
  <si>
    <t>ALARM BELL 8"</t>
  </si>
  <si>
    <t xml:space="preserve">Laser Printer A4                                  </t>
  </si>
  <si>
    <t xml:space="preserve">UPS </t>
  </si>
  <si>
    <t>CARD READER</t>
  </si>
  <si>
    <t>PUSH BUTTON</t>
  </si>
  <si>
    <t>MAGNATIC DOOR</t>
  </si>
  <si>
    <t>BREAKER GLASS SWITCH</t>
  </si>
  <si>
    <t>ALARM BUZZER</t>
  </si>
  <si>
    <t>DOOR SENSOR</t>
  </si>
  <si>
    <t>กล้องวงจรปิด IP Camera 2MP ชนิด Bullet</t>
  </si>
  <si>
    <t>กล้องวงจรปิด IP Camera 2MP ชนิด Dome</t>
  </si>
  <si>
    <t>งานระบบเสียงประกาศ และระบบภาพและเสียง</t>
  </si>
  <si>
    <t>เครื่องเล่น  DVD</t>
  </si>
  <si>
    <t>เครื่องรับสัญญาณ AM/FM</t>
  </si>
  <si>
    <t>เครื่องประกาศเสียงไซเรน</t>
  </si>
  <si>
    <t>เครื่องปรับแต่งเสียง</t>
  </si>
  <si>
    <t>เครื่องเลือกโซนประกาศ</t>
  </si>
  <si>
    <t>แท่นประกาศเสียง</t>
  </si>
  <si>
    <t>ชุดตรวจสภาพการทำงานของเครื่องขยายเสียง</t>
  </si>
  <si>
    <t>RACK AV 42U w/Accessories</t>
  </si>
  <si>
    <t>ไมโครโฟน ไร้สายแบบมือถือ</t>
  </si>
  <si>
    <t>ไมโครโฟน ไร้สายแบบเกี่ยวหู</t>
  </si>
  <si>
    <t>หูฟังมอนิเตอร์ห้องควบคุม</t>
  </si>
  <si>
    <t>ลำโพงมอนิเตอร์บนเวที</t>
  </si>
  <si>
    <t>ลำโพงมอนิเตอร์ในห้องควบคุม</t>
  </si>
  <si>
    <t>ขาไมโครโฟน ตั้งโต๊ะ</t>
  </si>
  <si>
    <t>ขาไมโครโฟน ตั้งพื้น</t>
  </si>
  <si>
    <t>โปรแกรมควบคุมระบบ แสดงภาพ</t>
  </si>
  <si>
    <t>Power Supply</t>
  </si>
  <si>
    <t>UPS</t>
  </si>
  <si>
    <t>Local Switch 4 Button</t>
  </si>
  <si>
    <t>โปรแกรมจัดการ ระบบแสงสว่าง</t>
  </si>
  <si>
    <t>แผงควบคุมอุณหภูมิ เครื่องปรับอากาศ ศูนย์กลาง</t>
  </si>
  <si>
    <t>ท่อทองแดง Type L ขนาด  Ø 1-3/8 นิ้ว</t>
  </si>
  <si>
    <t>ท่อทองแดง Type L ขนาด  Ø 1-5/8 นิ้ว</t>
  </si>
  <si>
    <t>ฉนวนท่อทองแดง หนา 19 มม. ขนาด  Ø 1-3/8 นิ้ว</t>
  </si>
  <si>
    <t>ฉนวนท่อทองแดง หนา 19 มม. ขนาด  Ø 1-5/8 นิ้ว</t>
  </si>
  <si>
    <t>งานท่อน้ำทิ้ง ฝังดิน  HDPE. PN 6</t>
  </si>
  <si>
    <t>กริลจ่ายลมดีและดูดลมกลับ</t>
  </si>
  <si>
    <t>กริลระบายอากาศ EAG 6"x6"W/INS</t>
  </si>
  <si>
    <t>กริลระบายอากาศ EAG 8"x8"W/VD</t>
  </si>
  <si>
    <t>ค่าทดสอบ,ทำความสะอาด,ทาสีและทำสัญลักษณ์ (ร้อยละ 5 ของท่อ และค่าแรง ร้อยละ 30 ของราคาวัสดุ)</t>
  </si>
  <si>
    <t>กำหนดขั้นต่ำ วัน</t>
  </si>
  <si>
    <t>ระยะเวลาก่อสร้างที่ให้ ตร.ม./วัน</t>
  </si>
  <si>
    <t>ขั้นตอนเตรียมการ</t>
  </si>
  <si>
    <t>ฐานรากตอกเสาเข็มคอนกรีต</t>
  </si>
  <si>
    <t>(หล่อคอนกรีตถึงระดับคานคอดิน)</t>
  </si>
  <si>
    <t>ตั้งแบบผูกเหล็กและหล่อคอนกรีต</t>
  </si>
  <si>
    <t>เสาคานและพื้นแต่ละชั้น (ชั้น 1)</t>
  </si>
  <si>
    <t>เสาคานและพื้นแต่ละชั้น (ชั้น 2)</t>
  </si>
  <si>
    <t>เสาคานและพื้นแต่ละชั้น (ชั้น 4)</t>
  </si>
  <si>
    <t>งานฐานรากฤดูฝนเผื่อ 10% เป็น</t>
  </si>
  <si>
    <t>คิดเป็นเดือน</t>
  </si>
  <si>
    <t>เสาคานและพื้นแต่ละชั้น (ชั้น 5)</t>
  </si>
  <si>
    <t>ชั้น ดาดฟ้า</t>
  </si>
  <si>
    <t>พื้นที่หลังคา เมทัลชีท</t>
  </si>
  <si>
    <t>พื้นที่หลังคา คสล.</t>
  </si>
  <si>
    <t>ยังไม่ได้เผื่ออุปสรรคอื่นเผื่อเหลือเผื่อขาด</t>
  </si>
  <si>
    <t>งานระบบปรับอากาศและระบายอากาศ</t>
  </si>
  <si>
    <t>LF-01</t>
  </si>
  <si>
    <t>LF-02</t>
  </si>
  <si>
    <t>LF-03</t>
  </si>
  <si>
    <t>LF-04</t>
  </si>
  <si>
    <t>LF-05</t>
  </si>
  <si>
    <t>LF-06</t>
  </si>
  <si>
    <t>LF-07</t>
  </si>
  <si>
    <t>LF-08</t>
  </si>
  <si>
    <t>LF-09</t>
  </si>
  <si>
    <t>LF-10</t>
  </si>
  <si>
    <t>LF-11</t>
  </si>
  <si>
    <t>LF-12</t>
  </si>
  <si>
    <t>LF-13</t>
  </si>
  <si>
    <t>LF-14</t>
  </si>
  <si>
    <t>LF-15</t>
  </si>
  <si>
    <t>LF-16</t>
  </si>
  <si>
    <t>อุปกรณ์ประกอบและติดตั้ง</t>
  </si>
  <si>
    <t>รวมค่าก่อสร้างทั้งโครงการ/งานก่อสร้าง</t>
  </si>
  <si>
    <t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t>
  </si>
  <si>
    <t>D7</t>
  </si>
  <si>
    <t>D10</t>
  </si>
  <si>
    <t>D11</t>
  </si>
  <si>
    <t xml:space="preserve">D14 </t>
  </si>
  <si>
    <t xml:space="preserve">D1 </t>
  </si>
  <si>
    <t>D9</t>
  </si>
  <si>
    <t>D2</t>
  </si>
  <si>
    <t>D19</t>
  </si>
  <si>
    <t>D5</t>
  </si>
  <si>
    <t>D20</t>
  </si>
  <si>
    <t>W23</t>
  </si>
  <si>
    <t>W24</t>
  </si>
  <si>
    <t>W17</t>
  </si>
  <si>
    <t>W21</t>
  </si>
  <si>
    <t>W28</t>
  </si>
  <si>
    <t>D3</t>
  </si>
  <si>
    <t>N-1</t>
  </si>
  <si>
    <t>N-2</t>
  </si>
  <si>
    <t>จากราคาสืบ+ของและแรง 3 ราย</t>
  </si>
  <si>
    <t>กลุ่มงานที่ 3 งานภูมิสถาปัตยกรรม</t>
  </si>
  <si>
    <t>7.1.1</t>
  </si>
  <si>
    <t>7.1.2</t>
  </si>
  <si>
    <t>7.1.3</t>
  </si>
  <si>
    <t>7.1.4</t>
  </si>
  <si>
    <t>7.1.5</t>
  </si>
  <si>
    <t>7.1.6</t>
  </si>
  <si>
    <t>7.1.7</t>
  </si>
  <si>
    <t>7.1.8</t>
  </si>
  <si>
    <t>7.2.1</t>
  </si>
  <si>
    <t>7.3.1</t>
  </si>
  <si>
    <t>7.3.2</t>
  </si>
  <si>
    <t>7.3.3</t>
  </si>
  <si>
    <t>7.3.4</t>
  </si>
  <si>
    <t>7.3.5</t>
  </si>
  <si>
    <t>7.3.6</t>
  </si>
  <si>
    <t>7.3.7</t>
  </si>
  <si>
    <t>7.3.8</t>
  </si>
  <si>
    <t>ตามระเบียบตารางราคา</t>
  </si>
  <si>
    <t>จากค่าวัสดุกระทรวงพาณิชย์และค่าแรงกรมบัญชีกลาง 2564</t>
  </si>
  <si>
    <t>จากราคาสืบ</t>
  </si>
  <si>
    <t>ราคาสืบ</t>
  </si>
  <si>
    <t>CAPACITOR 20 kVAR</t>
  </si>
  <si>
    <t xml:space="preserve"> - ช่องเปิดผ่านพื้น (Mortar Seal)</t>
  </si>
  <si>
    <t>3.2.8</t>
  </si>
  <si>
    <t xml:space="preserve"> - วัสดุพันรอบท่อ (Wrap Strip) ชนิด PP-R ขนาด 2"</t>
  </si>
  <si>
    <t xml:space="preserve"> - วัสดุพันรอบท่อ (Wrap Strip) ชนิด PVC ขนาด 4"</t>
  </si>
  <si>
    <t xml:space="preserve"> - วัสดุพันรอบท่อ (Wrap Strip) ชนิด PVC ขนาด 2"</t>
  </si>
  <si>
    <t xml:space="preserve"> - วัสดุพันรอบท่อ (Wrap Strip) ชนิด PVC ขนาด 3"</t>
  </si>
  <si>
    <t>งานวัสดุป้องกันควันไฟ (Fire Barrier)</t>
  </si>
  <si>
    <t>ผนังห้องน้ำสำเร็จรูป</t>
  </si>
  <si>
    <t>จากค่าวัสดุราคาสืบ</t>
  </si>
  <si>
    <t>F10</t>
  </si>
  <si>
    <t>ปริมาณนับจากแบบไฟล์ autocad</t>
  </si>
  <si>
    <t>ค่าทดสอบดิน วิธี Boring test</t>
  </si>
  <si>
    <t>วิศวกรเป็นผู้กำหนดจำนวน</t>
  </si>
  <si>
    <t>ปริมาณนับจากแบบไฟล์ REVIT แล้วเผื่อ % ตามข้อกำหนด</t>
  </si>
  <si>
    <t>จากค่าวัสดุกระทรวงพาณิชย์</t>
  </si>
  <si>
    <t>จากค่าวัสดุสืบราคา (ยาวเส้นละ 20 ม.)</t>
  </si>
  <si>
    <t xml:space="preserve">ปริมาณนับจากแบบไฟล์ Autocad </t>
  </si>
  <si>
    <t xml:space="preserve">ปริมาณนับจากแบบไฟล์ REVIT </t>
  </si>
  <si>
    <t>ปริมาณนับจากแบบไฟล์Autocad</t>
  </si>
  <si>
    <t>ปริมาณนับจากแบบไฟล์ Autocad แล้วเผื่อ % ตามข้อกำหนด</t>
  </si>
  <si>
    <t>จากค่าวัสดุราคาสืบ + ค่าแรงกรมบัญชีกลาง 2565</t>
  </si>
  <si>
    <t>รางน้ำสแตนเลส เกรด 304 (40x50x40mm.)</t>
  </si>
  <si>
    <t>แบบเลขที่  RMUTP-DOA-63-4-PL001.</t>
  </si>
  <si>
    <t xml:space="preserve">แบบสรุปแสดงรายการ ปริมาณงาน และราคา  </t>
  </si>
  <si>
    <t xml:space="preserve">ลงชื่อ ..................................................................... กรรมการและเลขานุการ   </t>
  </si>
  <si>
    <t>งานระบบสุขภัณฑ์และอุปกรณ์ประกอบ</t>
  </si>
  <si>
    <t>FS/01</t>
  </si>
  <si>
    <t>FS/02</t>
  </si>
  <si>
    <t>FS/03</t>
  </si>
  <si>
    <t>ป้ายหนีไฟ LED ขายึดสแตนเลส (ทางตรง)</t>
  </si>
  <si>
    <t>ป้ายหนีไฟ LED ยึดกับกล่องอลูมิเนียม</t>
  </si>
  <si>
    <t>ป้ายหนีไฟ LED ขายึดสแตนเลส (ทางซ้าย)</t>
  </si>
  <si>
    <t>SN-01</t>
  </si>
  <si>
    <t>SN-02</t>
  </si>
  <si>
    <t>ES-01</t>
  </si>
  <si>
    <t>ป้ายบริเวณโถงลิฟต์</t>
  </si>
  <si>
    <t>SN-03</t>
  </si>
  <si>
    <t>SN-04</t>
  </si>
  <si>
    <t>SN-05</t>
  </si>
  <si>
    <t>ป้ายชื่อ และ ตำแหน่ง</t>
  </si>
  <si>
    <t>SN-06</t>
  </si>
  <si>
    <t>SN-07</t>
  </si>
  <si>
    <t>SN-08</t>
  </si>
  <si>
    <t>ป้ายฝ่ายกิจการ , ป้ายฝ่ายบริหาร , ป้ายฝ่ายวิชาการ และ ป้ายห้องสโมสร</t>
  </si>
  <si>
    <t>ป้ายห้องนิทรรศการ , ป้ายห้องประชุม และ ป้ายห้องสมุด</t>
  </si>
  <si>
    <t>SN-09</t>
  </si>
  <si>
    <t>ป้ายห้องพักอาจารย์</t>
  </si>
  <si>
    <t>SX-01</t>
  </si>
  <si>
    <t>SX-02</t>
  </si>
  <si>
    <t>SX-03</t>
  </si>
  <si>
    <t>SX-04</t>
  </si>
  <si>
    <t>SX-05</t>
  </si>
  <si>
    <t>ป้ายโลโก้คณะ</t>
  </si>
  <si>
    <t>ป้ายชื่อคณะ</t>
  </si>
  <si>
    <t>ป้ายโลโก้และชื่อคณะ</t>
  </si>
  <si>
    <t>ป้ายชื่อคณะภาษาอังกฤษ พร้อมโลโก้</t>
  </si>
  <si>
    <t>ป้ายชื่อคณะ ภาษาอังกฤษ</t>
  </si>
  <si>
    <t>TL-01</t>
  </si>
  <si>
    <t>TL-02</t>
  </si>
  <si>
    <t>TL-03</t>
  </si>
  <si>
    <t>TL-04</t>
  </si>
  <si>
    <t>ป้ายห้องน้ำผู้พิการ</t>
  </si>
  <si>
    <t>ป้ายห้องน้ำชาย</t>
  </si>
  <si>
    <t>ป้ายห้องน้ำหญิง</t>
  </si>
  <si>
    <t>ป้ายและสัญลักษณ์ ห้องน้ำ (แขวนทางเดินไปห้องน้ำ)</t>
  </si>
  <si>
    <t>งานป้ายภายในอาคาร ชั้น 8</t>
  </si>
  <si>
    <t>งานป้ายภายในอาคาร ชั้น 7</t>
  </si>
  <si>
    <t>งานป้ายภายในอาคาร ชั้น 6</t>
  </si>
  <si>
    <t>งานป้ายภายในอาคาร ชั้น 5</t>
  </si>
  <si>
    <t>งานป้ายภายในอาคาร ชั้น 4</t>
  </si>
  <si>
    <t>งานป้ายภายในอาคาร ชั้น 3</t>
  </si>
  <si>
    <t>งานป้ายภายในอาคาร ชั้น 2</t>
  </si>
  <si>
    <t>งานป้ายภายในอาคาร ชั้น 1</t>
  </si>
  <si>
    <t>7.3.9</t>
  </si>
  <si>
    <t>งานป้ายภายในอาคาร ชั้น 9</t>
  </si>
  <si>
    <t>7.3.10</t>
  </si>
  <si>
    <t>7.1.9</t>
  </si>
  <si>
    <t>พื้น ผิวปูกระเบื้องพอร์ซเลน ขนาด 60x60 cm. ผิวหยาบ</t>
  </si>
  <si>
    <t>พื้น ผิวปูกระเบื้องพอร์ซเลน ขนาด 60x60 cm. ผิวกันลื่น</t>
  </si>
  <si>
    <t>พื้น ค.ส.ล. ผิวขัดมัน กันซึม</t>
  </si>
  <si>
    <t xml:space="preserve"> - ขอบคันหิน ใหญ่ทรงมน 15x30x100 ซม. สีเทา</t>
  </si>
  <si>
    <t xml:space="preserve"> - ปูนทรายปรับระดับ</t>
  </si>
  <si>
    <t xml:space="preserve"> - Selfleveling</t>
  </si>
  <si>
    <t>งานสถาปัตยกรรม ชั้น 8</t>
  </si>
  <si>
    <t>งานสถาปัตยกรรม ชั้น 9</t>
  </si>
  <si>
    <t>SN-10</t>
  </si>
  <si>
    <t>ป้ายแผนผังอาคาร</t>
  </si>
  <si>
    <t>Wa1</t>
  </si>
  <si>
    <t>Wa2</t>
  </si>
  <si>
    <t>Wa3</t>
  </si>
  <si>
    <t>ผิวผนัง ฉาบปูนเรียบ แต่งผิวฉาบปูนเปลือยพร้อมเคลือบด้าน เซาะร่องและทำรู (ภายใน)</t>
  </si>
  <si>
    <t>ผิวผนัง ฉาบปูนเรียบ แต่งผิวขัดมันเปลือย เคลือบเงา (ภายใน)</t>
  </si>
  <si>
    <t>ผิวผนัง ฉาบปูนเรียบ แต่งผิวขัดมันเปลือย เคลือบเงา (ภายนอก)</t>
  </si>
  <si>
    <t>ผิวผนัง ฉาบปูนเรียบ แต่งผิวฉาบปูนเปลือยพร้อมเคลือบด้านกึ่งเงา เซาะร่องและทำรู (ภายนอก)</t>
  </si>
  <si>
    <t>ผิวผนัง ฉาบปูนเรียบ แต่งผิวฉาบปูนเปลือยพร้อมทำสีลอฟท์ เซาะร่องและทำรู (ภายนอก)</t>
  </si>
  <si>
    <t>ผิวผนัง ฉาบปูนเรียบ ปิดแผ่นหินวีเนียร์ ลายหินธรรมชาติ</t>
  </si>
  <si>
    <t>ผนังกรุแผ่นยิปซั่มบอร์ด ทาสีลอฟท์</t>
  </si>
  <si>
    <t>B-01</t>
  </si>
  <si>
    <t>B-12</t>
  </si>
  <si>
    <t>B-02</t>
  </si>
  <si>
    <t>B-03</t>
  </si>
  <si>
    <t>B-04</t>
  </si>
  <si>
    <t>B-05</t>
  </si>
  <si>
    <t>B-07</t>
  </si>
  <si>
    <t>B-08</t>
  </si>
  <si>
    <t>B-09</t>
  </si>
  <si>
    <t>B-10</t>
  </si>
  <si>
    <t>B-11</t>
  </si>
  <si>
    <t>งาน ผนังโปรเจคเตอร์ 0.20x5.84x3.90 ม. ตามรูปแบบรายการ (สีเลือกภายหลัง)</t>
  </si>
  <si>
    <t>B-13</t>
  </si>
  <si>
    <t>งาน เคาน์เตอร์พักคอย 0.80x5.77x1.00 ม. ตามรูปแบบรายการ (สีเลือกภายหลัง)</t>
  </si>
  <si>
    <t>B-14</t>
  </si>
  <si>
    <t>งาน เคาน์เตอร์พักคอย 2 0.40x5.77x1.00  ม. ตามรูปแบบรายการ (สีเลือกภายหลัง)</t>
  </si>
  <si>
    <t>B-15</t>
  </si>
  <si>
    <t>งาน เคาน์เตอร์ Workshop 0.53x2.10x0.80 ม. ตามรูปแบบรายการ (สีเลือกภายหลัง)</t>
  </si>
  <si>
    <t>B-16</t>
  </si>
  <si>
    <t>งานกรุผนังตกแต่งห้องประชุม 1 ตามรูปแบบรายการ (สีเลือกภายหลัง)</t>
  </si>
  <si>
    <t>B-17</t>
  </si>
  <si>
    <t>งานกรุผนังตกแต่งผนังเวที ตามรูปแบบรายการ (สีเลือกภายหลัง)</t>
  </si>
  <si>
    <t>B-18</t>
  </si>
  <si>
    <t>B-19</t>
  </si>
  <si>
    <t>B-20</t>
  </si>
  <si>
    <t>งานกรุผนังตกแต่งผนังเวที 4 ตามรูปแบบรายการ (สีเลือกภายหลัง)</t>
  </si>
  <si>
    <t>B-06</t>
  </si>
  <si>
    <t>โต๊ะอเนกประสงค์(ขาเดี่ยว) 0.70x0.70x0.75 ม. ตามรูปแบบรายการ (สีเลือกภายหลัง)</t>
  </si>
  <si>
    <t>เก้าอี้ 0.45x0.45x0.45 ม.  ตามรูปแบบรายการ (สีเลือกภายหลัง)</t>
  </si>
  <si>
    <t>9.1.1</t>
  </si>
  <si>
    <t>โซฟาพักคอย (3 ที่นั่ง) 2.40x0.80x0.625 ม. ตามรูปแบบรายการ (สีเลือกภายหลัง)</t>
  </si>
  <si>
    <t>โต๊ะกาแฟ 0.70x0.70x0.35 ม. ตามรูปแบบรายการ (สีเลือกภายหลัง)</t>
  </si>
  <si>
    <t>โต๊ะทำงาน (1ที่นั่ง) 1.50x0.6x0.75 ม.   ตามรูปแบบรายการ (สีเลือกภายหลัง)</t>
  </si>
  <si>
    <t>เก้าอี้ทำงาน 0.50x0.55x0.45 ม.  ตามรูปแบบรายการ (สีเลือกภายหลัง)</t>
  </si>
  <si>
    <t>โต๊ะผู้บริหาร 1.60x0.75x0.75 ม. ตามรูปแบบรายการ (สีเลือกภายหลัง)</t>
  </si>
  <si>
    <t>เก้าอี้ผู้บริหาร 0.80x0.80x0.45 ม. ตามรูปแบบรายการ (สีเลือกภายหลัง)</t>
  </si>
  <si>
    <t>เก้าอี้พักคอย 0.50x0.50x0.50 ม.  ตามรูปแบบรายการ (สีเลือกภายหลัง)</t>
  </si>
  <si>
    <t>ตู้เอกสาร 1 0.80x0.40x2.00 ม. ตามรูปแบบรายการ (สีเลือกภายหลัง)</t>
  </si>
  <si>
    <t>โต๊ะทำงาน (2 ที่นั่ง) 1.50x1.20x0.75 ม. ตามรูปแบบรายการ (สีเลือกภายหลัง)</t>
  </si>
  <si>
    <t>โต๊ะทำงาน (1 ที่นั่ง) 1.50x0.6x0.75 ม. ตามรูปแบบรายการ (สีเลือกภายหลัง)</t>
  </si>
  <si>
    <t>ตู้เอกสาร 2 1.00x0.40x2.00 ม. ตามรูปแบบรายการ (สีเลือกภายหลัง)</t>
  </si>
  <si>
    <t>พาร์ทิชั่น 0.80x1.50 ม. ตามรูปแบบรายการ (สีเลือกภายหลัง)</t>
  </si>
  <si>
    <t>โต๊ะสโมสร 1.80x1.80x0.70 ม. ตามรูปแบบรายการ (สีเลือกภายหลัง)</t>
  </si>
  <si>
    <t>เก้าอี้ล้อเลื่อน 0.50x0.50x0.40 ม. ตามรูปแบบรายการ (สีเลือกภายหลัง)</t>
  </si>
  <si>
    <t>LF-17</t>
  </si>
  <si>
    <t>LF-18</t>
  </si>
  <si>
    <t>LF-19</t>
  </si>
  <si>
    <t>โต๊ะประชุม 5.40x1.20x0.75 ม. ตามรูปแบบรายการ (สีเลือกภายหลัง)</t>
  </si>
  <si>
    <t>เก้าอี้ประชุม 0.50x0.50x0.50 ม. ตามรูปแบบรายการ (สีเลือกภายหลัง)</t>
  </si>
  <si>
    <t>โต๊ะประชุม 2.10x0.60x0.75 ม. ตามรูปแบบรายการ (สีเลือกภายหลัง)</t>
  </si>
  <si>
    <t>9.1.2</t>
  </si>
  <si>
    <t>LF-20</t>
  </si>
  <si>
    <t>โต๊ะประชุม 3.20x1.20x0.70 ม. ตามรูปแบบรายการ (สีเลือกภายหลัง)</t>
  </si>
  <si>
    <t>LF-21</t>
  </si>
  <si>
    <t>โต๊ะอาจารย์ 1.60x0.75x0.75 ม. ตามรูปแบบรายการ (สีเลือกภายหลัง)</t>
  </si>
  <si>
    <t>LF-22</t>
  </si>
  <si>
    <t>เก้าอี้อาจารย์ 0.59x0.63x1.09 ม. ตามรูปแบบรายการ (สีเลือกภายหลัง)</t>
  </si>
  <si>
    <t>LF-23</t>
  </si>
  <si>
    <t>โต๊ะมีล้อเลื่อน 1.50x0.60x0.75 ม. ตามรูปแบบรายการ (สีเลือกภายหลัง)</t>
  </si>
  <si>
    <t>LF-24</t>
  </si>
  <si>
    <t>Locker 0.90x0.55x2.00 ม. ตามรูปแบบรายการ (สีเลือกภายหลัง)</t>
  </si>
  <si>
    <t>LF-25</t>
  </si>
  <si>
    <t>LF-26</t>
  </si>
  <si>
    <t>LF-27</t>
  </si>
  <si>
    <t>LF-28</t>
  </si>
  <si>
    <t>LF-29</t>
  </si>
  <si>
    <t>LF-30</t>
  </si>
  <si>
    <t>LF-31</t>
  </si>
  <si>
    <t>LF-32</t>
  </si>
  <si>
    <t>LF-33</t>
  </si>
  <si>
    <t>LF-34</t>
  </si>
  <si>
    <t>LF-35</t>
  </si>
  <si>
    <t>LF-36</t>
  </si>
  <si>
    <t>LF-37</t>
  </si>
  <si>
    <t>LF-38</t>
  </si>
  <si>
    <t>LF-39</t>
  </si>
  <si>
    <t>LF-40</t>
  </si>
  <si>
    <t>LF-41</t>
  </si>
  <si>
    <t>รถเข็นหนังสือ 0.68x0.43x0.99 ม. ตามรูปแบบรายการ (สีเลือกภายหลัง)</t>
  </si>
  <si>
    <t>ชั้นหนังสือ 0.40x1.20x1.50 ม. ตามรูปแบบรายการ (สีเลือกภายหลัง)</t>
  </si>
  <si>
    <t>Meeting Box 1.76x2.58x1.40 ม. ตามรูปแบบรายการ (สีเลือกภายหลัง)</t>
  </si>
  <si>
    <t>โต๊ะโค้ง 0.60x1.60x0.70 ม. ตามรูปแบบรายการ (สีเลือกภายหลัง)</t>
  </si>
  <si>
    <t>โต๊ะ 0.50x1.50x0.70 ม. ตามรูปแบบรายการ (สีเลือกภายหลัง)</t>
  </si>
  <si>
    <t>โต๊ะ 0.50x1.20x0.70 ม. ตามรูปแบบรายการ (สีเลือกภายหลัง)</t>
  </si>
  <si>
    <t>โต๊ะ 0.50x1.00x0.70 ม. ตามรูปแบบรายการ (สีเลือกภายหลัง)</t>
  </si>
  <si>
    <t>โต๊ะ 1.10x2.14x0.70 ม. ตามรูปแบบรายการ (สีเลือกภายหลัง)</t>
  </si>
  <si>
    <t>โต๊ะ 0.50x1.23x0.70 ม. ตามรูปแบบรายการ (สีเลือกภายหลัง)</t>
  </si>
  <si>
    <t>Stool Bar 0.48x0.52x1.00 ม. ตามรูปแบบรายการ (สีเลือกภายหลัง)</t>
  </si>
  <si>
    <t>โซฟา ตัว L 0.73x2.00x0.40 ม. ตามรูปแบบรายการ (สีเลือกภายหลัง)</t>
  </si>
  <si>
    <t>โต๊ะข้าง 0.70x0.70x0.30 ม. ตามรูปแบบรายการ (สีเลือกภายหลัง)</t>
  </si>
  <si>
    <t>โต๊ะกลาง 1.00x1.00x0.50 ม. ตามรูปแบบรายการ (สีเลือกภายหลัง)</t>
  </si>
  <si>
    <t>stool 0.40x0.40x0.40 ม. ตามรูปแบบรายการ (สีเลือกภายหลัง)</t>
  </si>
  <si>
    <t>โต๊ะห้องประชุม 1.50x3.50x1.10 ม. ตามรูปแบบรายการ (สีเลือกภายหลัง)</t>
  </si>
  <si>
    <t>เก้าอี้ประชุม 0.60x0.60x0.40 ม. ตามรูปแบบรายการ (สีเลือกภายหลัง)</t>
  </si>
  <si>
    <t>Stool Bar 2 0.48x0.52x1.00 ม. ตามรูปแบบรายการ (สีเลือกภายหลัง)</t>
  </si>
  <si>
    <t>9.1.3</t>
  </si>
  <si>
    <t>LF-42</t>
  </si>
  <si>
    <t>โต๊ะคอมพิวเตอร์ 1.80x0.60x0.75 ม. ตามรูปแบบรายการ (สีเลือกภายหลัง)</t>
  </si>
  <si>
    <t>LF-43</t>
  </si>
  <si>
    <t>LF-44</t>
  </si>
  <si>
    <t>LF-45</t>
  </si>
  <si>
    <t>เก้าอี้เขียนแบบ 0.45x0.51x1.05 ม. ตามรูปแบบรายการ (สีเลือกภายหลัง)</t>
  </si>
  <si>
    <t>Stool Bar 3 0.49x0.53x0.98 ม. ตามรูปแบบรายการ (สีเลือกภายหลัง)</t>
  </si>
  <si>
    <t>LF-46</t>
  </si>
  <si>
    <t>LF-47</t>
  </si>
  <si>
    <t>9.1.4</t>
  </si>
  <si>
    <t>LF-48</t>
  </si>
  <si>
    <t>โต๊ะประชุม 2.80x1.10x0.75 ม. ตามรูปแบบรายการ (สีเลือกภายหลัง)</t>
  </si>
  <si>
    <t>LF-49</t>
  </si>
  <si>
    <t>LF-50</t>
  </si>
  <si>
    <t>เก้าอี้กลม 0.40x0.40x0.40 ม. ตามรูปแบบรายการ (สีเลือกภายหลัง)</t>
  </si>
  <si>
    <t>LF-51</t>
  </si>
  <si>
    <t>โต๊ะเรียน 0.45x1.80x0.72 ม. ตามรูปแบบรายการ (สีเลือกภายหลัง)</t>
  </si>
  <si>
    <t>ม้านั่ง 0.40x1.00x0.40 ม. ตามรูปแบบรายการ (สีเลือกภายหลัง)</t>
  </si>
  <si>
    <t>9.1.5</t>
  </si>
  <si>
    <t>LF-52</t>
  </si>
  <si>
    <t>ม้านั่ง 0.40x0.94x0.40 ม. ตามรูปแบบรายการ (สีเลือกภายหลัง)</t>
  </si>
  <si>
    <t>9.1.6</t>
  </si>
  <si>
    <t>9.1.7</t>
  </si>
  <si>
    <t>9.1.8</t>
  </si>
  <si>
    <t>LF-53</t>
  </si>
  <si>
    <t>เก้าอี้ Auditorium 0.56x0.69x0.99 ม. ตามรูปแบบรายการ (สีเลือกภายหลัง)</t>
  </si>
  <si>
    <t>โถสุขภัณฑ์ แบบ 2 ชิ้น ท่อลงพื้น (WC1)</t>
  </si>
  <si>
    <t xml:space="preserve"> - สายน้ำดี</t>
  </si>
  <si>
    <t xml:space="preserve"> - STOP VALVE 1/2"</t>
  </si>
  <si>
    <t>โถปัสสาวะชายแบบท่อน้ำเข้าด้านหลัง</t>
  </si>
  <si>
    <t>อ่างล้างหน้าชนิดฝังใต้เคาน์เตอร์ (LAV1)</t>
  </si>
  <si>
    <t xml:space="preserve"> - ก๊อกน้ำเดี่ยวอ่างล้างหน้า (แบบโยก) (LAV1)</t>
  </si>
  <si>
    <t xml:space="preserve"> - สะดืออ่างล้างหน้า แบบกด (LAV1)</t>
  </si>
  <si>
    <t xml:space="preserve"> - ท่อน้ำทิ้งอ่างล้างหน้า (LAV1)</t>
  </si>
  <si>
    <t xml:space="preserve"> - สายน้ำดีอ่างล้างหน้า</t>
  </si>
  <si>
    <t>กระจกเงา M1</t>
  </si>
  <si>
    <t>ก๊อกล้างพื้น สำหรับต่อสายยาง</t>
  </si>
  <si>
    <t xml:space="preserve"> งานท๊อปเคาน์เตอร์</t>
  </si>
  <si>
    <t>งานหล่อเคาน์เตอร์</t>
  </si>
  <si>
    <t>ตะแกรงระบายน้ำที่พื้นขนาด 2" ชนิดกันกลิ่น (FD)</t>
  </si>
  <si>
    <t>โถสุขภัณฑ์ แบบ 2 ชิ้น ท่อลงพื้น (WC2)</t>
  </si>
  <si>
    <t xml:space="preserve"> - ก๊อกน้ำเดี่ยวอ่างล้างหน้า (แบบโยก) (LAV2)</t>
  </si>
  <si>
    <t xml:space="preserve"> - สะดืออ่างล้างหน้า แบบกด (LAV2)</t>
  </si>
  <si>
    <t xml:space="preserve"> - ท่อน้ำทิ้งอ่างล้างหน้า (LAV2)</t>
  </si>
  <si>
    <t>ราวทรงตัว สำหรับอ่างล้างหน้า</t>
  </si>
  <si>
    <t>ราวทรงตัว ข้างชักโครกและอ่างล้างมือ</t>
  </si>
  <si>
    <t>ราวทรงตัว แบบติดผนัง</t>
  </si>
  <si>
    <t>อ่างล้างหน้าชนิดฝังใต้เคาน์เตอร์ (LAV2)</t>
  </si>
  <si>
    <t>บานเลื่อนคู่+บานช่องแสงติดตาย Access Control (ภายนอก)</t>
  </si>
  <si>
    <t>D4</t>
  </si>
  <si>
    <t>D6</t>
  </si>
  <si>
    <t>D8</t>
  </si>
  <si>
    <t>บานเฟี้ยม+บานช่องแสงติดตาย (ภายนอก)</t>
  </si>
  <si>
    <t>บานเปิดคู่</t>
  </si>
  <si>
    <t>บานเปิดเดี่ยว</t>
  </si>
  <si>
    <t>บานเหล็กม้วนทนไฟ (ภายนอก)</t>
  </si>
  <si>
    <t>บานเปิดเดี่ยว (ภายใน)</t>
  </si>
  <si>
    <t>บานเลื่อนเดี่ยว (ภายใน)</t>
  </si>
  <si>
    <t>W8</t>
  </si>
  <si>
    <t>บานติดตาย (ภายนอก)</t>
  </si>
  <si>
    <t>บานกระทุ้ง+บานติดตาย</t>
  </si>
  <si>
    <t>บานกระทุ้ง (ภายนอก)</t>
  </si>
  <si>
    <t>บานเปิดคู่ (ภายใน)</t>
  </si>
  <si>
    <t>D12</t>
  </si>
  <si>
    <t>D13</t>
  </si>
  <si>
    <t>บานเฟี้ยม+บานช่องแสงติดตาย Acess Control (ภายนอก)</t>
  </si>
  <si>
    <t>บานเปิดคู่+บานช่องแสงติดตาย</t>
  </si>
  <si>
    <t>บานเปิดเดี่ยว+บานช่องแสงติดตาย</t>
  </si>
  <si>
    <t>บานเลื่อนสลับ+บานช่องแสงติดตาย (ภายใน)</t>
  </si>
  <si>
    <t>W5</t>
  </si>
  <si>
    <t>W12</t>
  </si>
  <si>
    <t>W13</t>
  </si>
  <si>
    <t>W15</t>
  </si>
  <si>
    <t>W16</t>
  </si>
  <si>
    <t>บานเลื่อนสลับ (ภายนอก)</t>
  </si>
  <si>
    <t>บานเลื่อนสลับ+บานช่องแสงติดตาย (ภายนอก)</t>
  </si>
  <si>
    <t>บานเปิด+บานช่องแสงติดตาย (ภายนอก)</t>
  </si>
  <si>
    <t>W18</t>
  </si>
  <si>
    <t>W19</t>
  </si>
  <si>
    <t>D14</t>
  </si>
  <si>
    <t>D15</t>
  </si>
  <si>
    <t>บานเปิดคู่+บานช่องแสงติดตาย (ภายใน)</t>
  </si>
  <si>
    <t>บานเลื่อนคู่+บานกระทุ้ง+บานช่องแสงติดตาย (ภายใน)</t>
  </si>
  <si>
    <t>W20</t>
  </si>
  <si>
    <t>บานติดตาย (ภายใน)</t>
  </si>
  <si>
    <t>บานกระทุ้ง+บานช่องแสงติดตาย (ภายนอก)</t>
  </si>
  <si>
    <t>W22</t>
  </si>
  <si>
    <t>W25</t>
  </si>
  <si>
    <t>W26</t>
  </si>
  <si>
    <t>W27</t>
  </si>
  <si>
    <t>W29</t>
  </si>
  <si>
    <t>D16</t>
  </si>
  <si>
    <t>D18</t>
  </si>
  <si>
    <t>W30</t>
  </si>
  <si>
    <t>W31</t>
  </si>
  <si>
    <t>W32</t>
  </si>
  <si>
    <t>D17</t>
  </si>
  <si>
    <t>ผิวผนัง แผ่นซีเมนต์บอร์ด ขนาด 120X240X2.4 ซม. ฉาบเรียบ ทาสีน้ำอะคริลิก ชนิดทาภายใน</t>
  </si>
  <si>
    <t>ฝ้าเพดาน ท้องพื้น แต่งผิวเรียบปูนเปลือย เคลือบผิว</t>
  </si>
  <si>
    <t>ฝ้าเพดาน ท้องพื้น แต่งผิวเรียบ ทาสีอะคริลิค ชนิดทาภายใน</t>
  </si>
  <si>
    <t>พื้น ผิวกระเบื้องยาง SPC หนา ไม่น้อยกว่า 4 มม.</t>
  </si>
  <si>
    <t>โครงเหล็กกรุแผ่นซีเมนต์บอร์ด ปิดด้วย ผิวกระเบื้องยาง SPC หนา ไม่น้อยกว่า 4 มม.</t>
  </si>
  <si>
    <t>ส1</t>
  </si>
  <si>
    <t>ส2</t>
  </si>
  <si>
    <t>ส3</t>
  </si>
  <si>
    <t>ส4</t>
  </si>
  <si>
    <t>ส5</t>
  </si>
  <si>
    <t>ส6</t>
  </si>
  <si>
    <t>Wa4</t>
  </si>
  <si>
    <t>เซาะร่องจมูกบันได ตามแบบรายการ</t>
  </si>
  <si>
    <t>เหล็ก FLAT BAR 2" หนา 6 มม. (16.70 ม.)</t>
  </si>
  <si>
    <t>เหล็ก 2"x1"x2.3mm. (12.00 m.)</t>
  </si>
  <si>
    <t>เหล็ก FLAT BAR 2" หนา 4.5 มม. (93.20 ม.)</t>
  </si>
  <si>
    <t>ลูกนอน+ลูกตั้ง ชานพักของบันได พื้นผิวขัดมัน</t>
  </si>
  <si>
    <t>FST-1</t>
  </si>
  <si>
    <t>FST-2</t>
  </si>
  <si>
    <t>เหล็กเพลท 5"x5" หนา 6 มม.</t>
  </si>
  <si>
    <t>STEEL PLATE 6"x6" หนา 10 มม.</t>
  </si>
  <si>
    <t>จมูกบันไดอลูมิเนียม 2''</t>
  </si>
  <si>
    <t>ชั้น 6 ขึ้นไป ชั้น 7</t>
  </si>
  <si>
    <t>ชั้น 7 ขึ้นไป ชั้น 8</t>
  </si>
  <si>
    <t>ชั้น 8 ขึ้นไป ชั้น 9</t>
  </si>
  <si>
    <t>ชั้น 9 ขึ้นไป ชั้นดาดฟ้า</t>
  </si>
  <si>
    <t>เส้น</t>
  </si>
  <si>
    <t>งานม่าน ชั้น 2</t>
  </si>
  <si>
    <t>ม่านม้วน แบบกรองแสง สีเทา (Dimout) ระบบโซ่ดึง</t>
  </si>
  <si>
    <t>RL-16</t>
  </si>
  <si>
    <t>RL-24</t>
  </si>
  <si>
    <t>ม่านม้วน แบบกันแสง สีเทา (Blackout100%) ระบบโซ่ดึง</t>
  </si>
  <si>
    <t>RL-25</t>
  </si>
  <si>
    <t>ม่านม้วน แบบกันแสง สีเทา (Blackout100%) ระบบมอเตอร์</t>
  </si>
  <si>
    <t>RL-26</t>
  </si>
  <si>
    <t>RL-29</t>
  </si>
  <si>
    <t>RL-30</t>
  </si>
  <si>
    <t>งานม่าน ชั้น 3</t>
  </si>
  <si>
    <t>RL-17</t>
  </si>
  <si>
    <t>RL-18</t>
  </si>
  <si>
    <t>RL-19</t>
  </si>
  <si>
    <t>RL-20</t>
  </si>
  <si>
    <t>RL-21</t>
  </si>
  <si>
    <t>งานม่าน ชั้น 4</t>
  </si>
  <si>
    <t>งานม่าน ชั้น 5</t>
  </si>
  <si>
    <t>RL-22</t>
  </si>
  <si>
    <t>RL-23</t>
  </si>
  <si>
    <t>งานม่าน ชั้น 6</t>
  </si>
  <si>
    <t>งานม่าน ชั้น 7</t>
  </si>
  <si>
    <t>งานม่าน ชั้น 8</t>
  </si>
  <si>
    <t>งานม่าน ชั้น 9</t>
  </si>
  <si>
    <t>RL-27</t>
  </si>
  <si>
    <t>RL-28</t>
  </si>
  <si>
    <t>RL-31</t>
  </si>
  <si>
    <t>บานเปิดเดี่ยว (หนีไฟ)</t>
  </si>
  <si>
    <t>ราคามอเตอร์</t>
  </si>
  <si>
    <t>ป้ายห้องนิทรรศการ</t>
  </si>
  <si>
    <t>ป้ายห้องสมุด (ตัวหนังสือติดลอย)</t>
  </si>
  <si>
    <t>ป้ายห้องประชุม</t>
  </si>
  <si>
    <t>งานทาสีเตือนกันชนแนวเสา</t>
  </si>
  <si>
    <t>เหล็กกันชนมุมเสา</t>
  </si>
  <si>
    <t>ยางกันล้อ 14x183x10 ซม.</t>
  </si>
  <si>
    <t>ลูกศรจราจร 1 หัว</t>
  </si>
  <si>
    <t>ลูกศรจราจร 2 หัว</t>
  </si>
  <si>
    <t>เครื่องหมายช่องจอดรถผู้พิการ</t>
  </si>
  <si>
    <t>ST-3</t>
  </si>
  <si>
    <t>ST-4</t>
  </si>
  <si>
    <t>เหล็ก 2"x1"x2.3mm. (32.40 m.)</t>
  </si>
  <si>
    <t>เหล็ก FLAT BAR 2" หนา 6 มม. (23.80 ม.)</t>
  </si>
  <si>
    <t>เหล็ก 2"x1"x2.3mm. (20.70 m.)</t>
  </si>
  <si>
    <t>เหล็ก FLAT BAR 2" หนา 4.5 มม. (109.70 ม.)</t>
  </si>
  <si>
    <t>N-3</t>
  </si>
  <si>
    <t>เสาเอ็น และ เอ็นทับหลัง 0.07 x 0.07 m.</t>
  </si>
  <si>
    <t>เสาเอ็น และ เอ็นทับหลัง 0.07 x 0.19 m.</t>
  </si>
  <si>
    <t>เสาเอ็น และ เอ็นทับหลัง 0.19 x 0.19 m.</t>
  </si>
  <si>
    <t>W2</t>
  </si>
  <si>
    <t>W3</t>
  </si>
  <si>
    <t>W4</t>
  </si>
  <si>
    <t>เหล็กเสริม DB 25 mm SD40</t>
  </si>
  <si>
    <t>ค่าแรงกรมบัญชีกลาง 2566</t>
  </si>
  <si>
    <t>จากค่าวัสดุกระทรวงพาณิชย์และค่าแรงกรมบัญชีกลาง 2566</t>
  </si>
  <si>
    <t>จากค่าแรงกรมบัญชีกลาง 2566</t>
  </si>
  <si>
    <t>จากค่าวัสดุกรมบัญชีกลาง 2566</t>
  </si>
  <si>
    <t>จากค่าวัสดุกระทรวงพาณิชย์ 2566</t>
  </si>
  <si>
    <t>จากราคาสืบ และค่าแรงกรมบัญชีกลาง 2566</t>
  </si>
  <si>
    <t>จากค่าวัสดุราคาสืบ + ค่าแรงกรมบัญชีกลาง 2566</t>
  </si>
  <si>
    <t>จากค่าวัสดุราคาสืบ และค่าแรงกรมบัญชีกลาง 2566</t>
  </si>
  <si>
    <t>เหล็กเสริม DB 28 mm SD40</t>
  </si>
  <si>
    <t>เหล็กเสริม DB 32 mm SD40</t>
  </si>
  <si>
    <t>บัวพื้น PVC ขนาด 4" (ลายไม้ สีเดียวกับพื้น)</t>
  </si>
  <si>
    <t>ปุ่ม เพิ่มผิวสัมผัส สำหรับผู้พิการทางสายตา</t>
  </si>
  <si>
    <t>ปุ่ม</t>
  </si>
  <si>
    <t>งานโครงสร้างชั้น 8</t>
  </si>
  <si>
    <t>งานโครงสร้างชั้น 9</t>
  </si>
  <si>
    <t>งานผนังลิฟต์ PL-1 และ PL-2</t>
  </si>
  <si>
    <t>คอนกรีตโครงสร้างสำหรับงานผนังลิฟต์ PL-1 และ PL-2</t>
  </si>
  <si>
    <t>เหล็กเสริมสำหรับงานผนังลิฟต์ PL-1 และ PL-2</t>
  </si>
  <si>
    <t>ไม้แบบสำหรับงานผนังลิฟต์ PL-1 และ PL-2</t>
  </si>
  <si>
    <t>คอนกรีตโครงสร้างสำหรับงานผนังลิฟต์หนีไฟ FL-1</t>
  </si>
  <si>
    <t>งานผนังลิฟต์หนีไฟ FL-1</t>
  </si>
  <si>
    <t>ไม้แบบสำหรับงานผนังลิฟต์หนีไฟ FL-1</t>
  </si>
  <si>
    <t>เหล็กเสริมสำหรับงานผนังลิฟต์หนีไฟ FL-1</t>
  </si>
  <si>
    <t>งานผนังบันไดหนีไฟ FST-1</t>
  </si>
  <si>
    <t>คอนกรีตโครงสร้างสำหรับงานผนังบันไดหนีไฟ FST-1</t>
  </si>
  <si>
    <t>ไม้แบบสำหรับงานผนังบันไดหนีไฟ FST-1</t>
  </si>
  <si>
    <t>เหล็กเสริมสำหรับงานผนังบันไดหนีไฟ FST-1</t>
  </si>
  <si>
    <t>ชั้น ดาดฟ้า ขึ้นห้องเซอร์วิส AHU</t>
  </si>
  <si>
    <t>งานพื้นห้องเซอร์วิส AHU</t>
  </si>
  <si>
    <t>D21</t>
  </si>
  <si>
    <t>บานเปิดเดี่ยว (ช่องชาร์ป)</t>
  </si>
  <si>
    <t>D22</t>
  </si>
  <si>
    <t>บานเปิดคู่ (ช่องชาร์ป)</t>
  </si>
  <si>
    <t>หลังคา แผ่นโพลีคาร์บอร์เนต หนาไม่น้อยกว่า 4 มม. (Skylight)</t>
  </si>
  <si>
    <t>เสาเข็มเจาะ dia 0.80 ม. รับน้ำหนักปลอดภัยไม่น้อยกว่า  275 ตัน/ต้น</t>
  </si>
  <si>
    <t>เสาเข็มเจาะdia.1.00 ม. รับน้ำหนักปลอดภัย 370 ตัน/ต้น</t>
  </si>
  <si>
    <t>บันได FST-1</t>
  </si>
  <si>
    <t>คอนกรีตโครงสร้างสำหรับงานบันได FST-1</t>
  </si>
  <si>
    <t>ไม้แบบสำหรับงานบันได FST-1</t>
  </si>
  <si>
    <t>เหล็กเสริมสำหรับงานบันได FST-1</t>
  </si>
  <si>
    <t>บันได FST-2</t>
  </si>
  <si>
    <t>คอนกรีตโครงสร้างสำหรับงานบันได FST-2</t>
  </si>
  <si>
    <t>ไม้แบบสำหรับงานบันได FST-2</t>
  </si>
  <si>
    <t>เหล็กเสริมสำหรับงานบันได FST-2</t>
  </si>
  <si>
    <t>CHEMICAL BOLT ขนาด M12x145</t>
  </si>
  <si>
    <t>CHEMICAL BOLT M10x113</t>
  </si>
  <si>
    <t>จากค่าวัสดุราคาสืบ+วัสดุมวลรวมและค่าแรงกรมบัญชีกลาง 2565</t>
  </si>
  <si>
    <t>ชุดตกแต่งอะคูสติก โทนสีอิฐ ขนาด 1220x2440 มม. หนา 12 มม.</t>
  </si>
  <si>
    <t>งาน Auditorium และ เวที</t>
  </si>
  <si>
    <t>โครงเหล็ก 60x60x2.3 มม.</t>
  </si>
  <si>
    <t>โครงเหล็ก 125x75x3.2 มม.</t>
  </si>
  <si>
    <t>งานทาสีอะคริลิคชนิดทาภายใน  (ทารองพื้น 1 เที่ยว และทาสีจริง 2 เที่ยว)</t>
  </si>
  <si>
    <t>งานทาสีอะคริลิคชนิดทาภายนอก  (ทารองพื้น 1 เที่ยว และทาสีจริง 2 เที่ยว)</t>
  </si>
  <si>
    <t>งานทาสีอะคริลิคฝ้าเพดาน ยิปซั่มบอร์ดหนา 9 มม. ฉาบเรียบ  (ทารองพื้น 1 เที่ยว และทาสีจริง 2 เที่ยว)</t>
  </si>
  <si>
    <t>งานทาสีอะคริลิค ชนิดกันชื้น ฝ้าเพดาน ยิปซั่มบอร์ดหนา 9 มม. ฉาบเรียบ  (ทารองพื้น 1 เที่ยว และทาสีจริง 2 เที่ยว)</t>
  </si>
  <si>
    <t>งานทาสีอะคริลิคฝ้าเพดาน ท้องพื้นฉาบเรียบ  (ทารองพื้น 1 เที่ยว และทาสีจริง 2 เที่ยว)</t>
  </si>
  <si>
    <t>งานทาสีน้ำมัน  (ทารองพื้น 1 เที่ยว และทาสีจริง 2 เที่ยว)</t>
  </si>
  <si>
    <t xml:space="preserve"> - ชุดฝ้าซับเสียงแบบแขวน (แนวตั้ง) โครงสร้างรวมค่าแรง</t>
  </si>
  <si>
    <t>พื้นแผ่น Checkered plate หนา 3 มม.</t>
  </si>
  <si>
    <t>ลูกนอน+ลูกตั้ง ชานพักของบันได พื้นแผ่น Checkered plate หนา 3 มม.</t>
  </si>
  <si>
    <t>แผ่นผนัง เปิด-ปิด สำเร็จรูป เพื่อซ่อมแซมงานระบบ</t>
  </si>
  <si>
    <t>จากค่าวัสดุราคาสืบ+วัสดุมวลรวมและค่าแรงกรมบัญชีกลาง 2566</t>
  </si>
  <si>
    <t>W6</t>
  </si>
  <si>
    <t>งานทำรูผิวผนัง</t>
  </si>
  <si>
    <t>W33</t>
  </si>
  <si>
    <t>ชั้นฟุตบาท ขึ้นไป ชั้น 1</t>
  </si>
  <si>
    <t xml:space="preserve">เหล็ก FLAT BAR 2" หนา 6 มม. </t>
  </si>
  <si>
    <t>เหล็ก FLAT BAR 2" หนา 4.5 มม.</t>
  </si>
  <si>
    <t xml:space="preserve">เหล็ก 2"x1"x2.3mm. </t>
  </si>
  <si>
    <t xml:space="preserve">เหล็ก FLAT BAR 2" หนา 4.5 มม. </t>
  </si>
  <si>
    <t xml:space="preserve"> ราวบันไดเหล็กกลม Dia. 2" </t>
  </si>
  <si>
    <t xml:space="preserve"> ราวบันไดเหล็กกลม Dia. 2"</t>
  </si>
  <si>
    <t>เหล็ก FLAT BAR 2" หนา 6 มม.</t>
  </si>
  <si>
    <t>เหล็ก 2"x1"x2.3mm.</t>
  </si>
  <si>
    <t xml:space="preserve">ราวบันไดเหล็กกลม Dia. 2" </t>
  </si>
  <si>
    <t>RL-35</t>
  </si>
  <si>
    <t>RL-36</t>
  </si>
  <si>
    <t>RL-37</t>
  </si>
  <si>
    <t>RL-41</t>
  </si>
  <si>
    <t>RL-42</t>
  </si>
  <si>
    <t>RL-33</t>
  </si>
  <si>
    <t>RL-34</t>
  </si>
  <si>
    <t>RL-38</t>
  </si>
  <si>
    <t>RL-32</t>
  </si>
  <si>
    <t>RL-39</t>
  </si>
  <si>
    <t>RL-40</t>
  </si>
  <si>
    <t>RL-43</t>
  </si>
  <si>
    <t>ส7</t>
  </si>
  <si>
    <t>งานทาสีกันไฟลาม</t>
  </si>
  <si>
    <t>เหล็ก HB-400x400 (172 Kg./m.)</t>
  </si>
  <si>
    <t>เหล็ก HB-300x300 (94 Kg./m.)</t>
  </si>
  <si>
    <t>งานกรุผนังตกแต่งห้องประชุม 2 ตามรูปแบบรายการ (สีเลือกภายหลัง)</t>
  </si>
  <si>
    <t>งานกรุผนังตกแต่งห้องประชุม 3 ตามรูปแบบรายการ (สีเลือกภายหลัง)</t>
  </si>
  <si>
    <t>เหล็กกล่อง [] 100x100x2.3mm. (6.95kg/m.)</t>
  </si>
  <si>
    <t>เหล็ก C-75x45x15x2.3mm. (3.25kg/m.)</t>
  </si>
  <si>
    <t>เหล็กกล่อง [] 50x50x3.2mm. (3.25kg/m.)</t>
  </si>
  <si>
    <t>STEEL PLATE 300x300x6mm. 8 ชุด (ใช้ PL 4x8 ฟุต หนา 10 มม.นน. 231 กก.)</t>
  </si>
  <si>
    <t>STEEL PLATE 450x500x10mm.  4 ชุด (ใช้ PL 4x8 ฟุต หนา 10 มม.นน. 231 กก.)</t>
  </si>
  <si>
    <t>BOLT ∅ 19 Anchor Bolt. ;L = 0.60 ม.</t>
  </si>
  <si>
    <t>Chemical Bolt M16 130mm.</t>
  </si>
  <si>
    <t>ฉนวนใยแก้วกันความร้อนและดูดซับเสียง แบบปิดผิวด้วยอลูมิเนียมฟอล์ย 2 ด้าน</t>
  </si>
  <si>
    <t>วัสดุกันซึมยืดหยุ่น โพลียูรีเทน (Polyurethane)</t>
  </si>
  <si>
    <t>งานถนน</t>
  </si>
  <si>
    <t>8.1.1</t>
  </si>
  <si>
    <t>8.1.2</t>
  </si>
  <si>
    <t>8.1.3</t>
  </si>
  <si>
    <t>8.1.4</t>
  </si>
  <si>
    <t>8.1.5</t>
  </si>
  <si>
    <t>8.1.6</t>
  </si>
  <si>
    <t>8.1.7</t>
  </si>
  <si>
    <t>8.1.8</t>
  </si>
  <si>
    <t>8.1.9</t>
  </si>
  <si>
    <t>ต้นลิ้นมังกร</t>
  </si>
  <si>
    <t>ถุง</t>
  </si>
  <si>
    <t>ต้นล่ำซำ</t>
  </si>
  <si>
    <t>ต้นลีลาวดี</t>
  </si>
  <si>
    <t>ต้นสนใบพาย</t>
  </si>
  <si>
    <t>ต้นไทรใบสัก</t>
  </si>
  <si>
    <t>กระถาง</t>
  </si>
  <si>
    <t>กระถางปลูก ทรงสี่เหลี่ยมผืนผ้า ขนาด 0.50x1.00 สูง 0.50</t>
  </si>
  <si>
    <t>กระถางปลูก ทรงสี่เหลี่ยมผืนผ้า ขนาด 0.70x0.70 สูง 0.70</t>
  </si>
  <si>
    <t>ต้นสนฉัตร</t>
  </si>
  <si>
    <t>ต้นมอนสเตอร่า</t>
  </si>
  <si>
    <t>กระถางปลูก ปูนเปลือย เส้นผ่าศูนย์กลาง 14"</t>
  </si>
  <si>
    <t>ต้นกวักมรกต</t>
  </si>
  <si>
    <t>อุปกรณ์ ประกอบการติดตั้ง</t>
  </si>
  <si>
    <t>งาน Aluminium Composite ใส้กลาง FR หนา 4 มม. ตกแต่ง (สีดำ)</t>
  </si>
  <si>
    <t>ไม้ค้ำยันไม้แบบ (ตามความยาวคาน)</t>
  </si>
  <si>
    <t>ค่าติดตั้งโครงหลังคา</t>
  </si>
  <si>
    <t>คอนกรีตโครงสร้างสำหรับงานถนน</t>
  </si>
  <si>
    <t>ไม้แบบสำหรับงานถนน</t>
  </si>
  <si>
    <t>เหล็กเสริมสำหรับงานถนน</t>
  </si>
  <si>
    <t>เสาเข็ม SPUN Ø 0.25 ม.รับน้ำหนักปลอดภัย 20 ตัน/ต้น</t>
  </si>
  <si>
    <t>สกัดหัวเสา SPUN Ø 0.25 ม.</t>
  </si>
  <si>
    <t>ค่าทดสอบเสาเข็ม DYNAMIC LOADTEST</t>
  </si>
  <si>
    <t>งานรางระบายน้ำ</t>
  </si>
  <si>
    <t>คอนกรีตโครงสร้างสำหรับงานรางระบายน้ำ</t>
  </si>
  <si>
    <t>ไม้แบบสำหรับงานรางระบายน้ำ</t>
  </si>
  <si>
    <t>เหล็กเสริมสำหรับงานรางระบายน้ำ</t>
  </si>
  <si>
    <t>ชิ้น</t>
  </si>
  <si>
    <t>สกัดหัวเสาเข็ม SPUN Ø 0.25 ม.</t>
  </si>
  <si>
    <t>แผ่นพื้น HOLLOW CORE 1200 X 120 มม. เหล็กอัดแรง 14 Ø 5 มม.</t>
  </si>
  <si>
    <t>Water Stop 6"</t>
  </si>
  <si>
    <t>Water Proofinng Mambrane แบบแผ่นสำเร็จรูป</t>
  </si>
  <si>
    <t>คอนกรีตโครงสร้างสำหรับงานผนังถังเก็บน้ำใต้ดิน</t>
  </si>
  <si>
    <t>ไม้แบบสำหรับงานผนังถังเก็บน้ำใต้ดิน</t>
  </si>
  <si>
    <t>เหล็กเสริมสำหรับงานผนังถังเก็บน้ำใต้ดิน</t>
  </si>
  <si>
    <t>งานพื้นถังเก็บน้ำใต้ดิน</t>
  </si>
  <si>
    <t>คอนกรีตโครงสร้างสำหรับงานพื้นถังเก็บน้ำใต้ดิน</t>
  </si>
  <si>
    <t>ไม้แบบสำหรับงานพื้นถังเก็บน้ำใต้ดิน</t>
  </si>
  <si>
    <t>เหล็กเสริมสำหรับงานพื้นถังเก็บน้ำใต้ดิน</t>
  </si>
  <si>
    <t>ST-7</t>
  </si>
  <si>
    <t>ST-8</t>
  </si>
  <si>
    <t>บันได ST-5 และ ST-6</t>
  </si>
  <si>
    <t>คอนกรีตโครงสร้างสำหรับงานบันได ST-5 และ ST-6</t>
  </si>
  <si>
    <t>ไม้แบบสำหรับงานบันได ST-5 และ ST-6</t>
  </si>
  <si>
    <t>เหล็กเสริมสำหรับงานบันได ST-5 และ ST-6</t>
  </si>
  <si>
    <t>บันได ST-7</t>
  </si>
  <si>
    <t>คอนกรีตโครงสร้างสำหรับงานบันได ST-7</t>
  </si>
  <si>
    <t>ไม้แบบสำหรับงานบันได ST-7</t>
  </si>
  <si>
    <t>เหล็กเสริมสำหรับงานบันได ST-7</t>
  </si>
  <si>
    <t>บันได ST-8</t>
  </si>
  <si>
    <t>คอนกรีตโครงสร้างสำหรับงานบันได ST-8</t>
  </si>
  <si>
    <t>ไม้แบบสำหรับงานบันได ST-8</t>
  </si>
  <si>
    <t>เหล็กเสริมสำหรับงานบันได ST-8</t>
  </si>
  <si>
    <t>คอนกรีตโครงสร้างสำหรับงาน RAMP</t>
  </si>
  <si>
    <t>ไม้แบบสำหรับงาน RAMP</t>
  </si>
  <si>
    <t>เหล็กเสริมสำหรับงาน RAMP</t>
  </si>
  <si>
    <t>งาน RAMP</t>
  </si>
  <si>
    <t>ท่อขนาด ø 0.60 m. (ชั้น 2)</t>
  </si>
  <si>
    <t>ปูนยาแนวท่อ (124 m.)</t>
  </si>
  <si>
    <t>ปูนมอร์ตาร์ สำเร็จรูป</t>
  </si>
  <si>
    <t xml:space="preserve">บ่อ MH </t>
  </si>
  <si>
    <t>งานขุดดิน</t>
  </si>
  <si>
    <t>งานถมทรายกลับ</t>
  </si>
  <si>
    <t>ไม้แบบสำหรับโครงสร้าง</t>
  </si>
  <si>
    <t>ไม้คร่าวยึดไม้แบบ 30% ของไม้แบบ</t>
  </si>
  <si>
    <t>เหล็กเสริม</t>
  </si>
  <si>
    <t>DB 12 mm. (SD 40)</t>
  </si>
  <si>
    <t>ลวดผูกเหล็ก</t>
  </si>
  <si>
    <t>เหล็กฉาก 50x50 หนา 6 มม.</t>
  </si>
  <si>
    <t>8.4.1</t>
  </si>
  <si>
    <t>8.4.2</t>
  </si>
  <si>
    <t>8.4.3</t>
  </si>
  <si>
    <t>ช่องเปิดฝ้าเพดาน 0.60x0.60</t>
  </si>
  <si>
    <t>ฝาบ่อ Heavy Duty 0.80x0.80</t>
  </si>
  <si>
    <t xml:space="preserve">ป้ายตัวเลขบอกชั้น (บริเวณหน้าโถงบันได) </t>
  </si>
  <si>
    <t>พื้น คอนกรีตสแตมป์ลาย (ลาย GRANITE SETS)</t>
  </si>
  <si>
    <t>งานฝาตะแกรงเหล็ก GUTTER 0.40x1.00 เหล็กหนา 6 มม.</t>
  </si>
  <si>
    <t>Metal Sheet Louver 100x240 mm.</t>
  </si>
  <si>
    <t>โครงคร่าว เหล็กกล่อง 50x50 หนา 2.3 มม. รับ Metal Sheet Louver</t>
  </si>
  <si>
    <t>แผ่นตาข่ายกันนก</t>
  </si>
  <si>
    <t>Steel Plate 400x800x20 mm. (51.89 kg.)</t>
  </si>
  <si>
    <t>Steel Plate 400x400x10 mm. (12.3 kg.)</t>
  </si>
  <si>
    <t>Anchor Bolt m12 - 230มม.</t>
  </si>
  <si>
    <t>โต๊ะเขียนแบบ ขนาด A2 1.20x0.80x0.80 ม. ตามรูปแบบรายการ (สีเลือกภายหลัง)</t>
  </si>
  <si>
    <t>โต๊ะ 6 0.50x1.10x0.70 ม. ตามรูปแบบรายการ (สีเลือกภายหลัง)</t>
  </si>
  <si>
    <t>โต๊ะ 7 0.50x1.02x0.70 ม. ตามรูปแบบรายการ (สีเลือกภายหลัง)</t>
  </si>
  <si>
    <t>งาน เคานเตอร์ Pantry ขนาด 0.60x1.35x0.80 ม. ตามรูปแบบรายการ (สีเลือกภายหลัง)</t>
  </si>
  <si>
    <t>งาน ตู้โชว์ ขนาด 0.30x2.90x3.00 ม. ตามรูปแบบรายการ (สีเลือกภายหลัง)</t>
  </si>
  <si>
    <t>งาน ตู้โชว์ ขนาด 0.30x2.81x3.00 ม. ตามรูปแบบรายการ (สีเลือกภายหลัง)</t>
  </si>
  <si>
    <t>งาน ผนังตกแต่งอะคูสติก ขนาด 0.10x5.57x3.20 ม. ตามรูปแบบรายการ (สีเลือกภายหลัง)</t>
  </si>
  <si>
    <t>งานกรุผนัง Glass Board ขนาด 0.30x4.00x3.20 ม. ตามรูปแบบรายการ (สีเลือกภายหลัง)</t>
  </si>
  <si>
    <t>งานกรุผนัง Glass Board ขนาด 0.30x4.00x2.75 ม. ตามรูปแบบรายการ (สีเลือกภายหลัง)</t>
  </si>
  <si>
    <t>งานกรุผนังตกแต่ง+ตู้เก็บของ 0.60x2.60x0.80 ม. ตามรูปแบบรายการ (สีเลือกภายหลัง)</t>
  </si>
  <si>
    <t>งาน เคาน์เตอร์ Reception 0.80x2.60x0.80 ม. ตามรูปแบบรายการ (สีเลือกภายหลัง)</t>
  </si>
  <si>
    <t>งาน เคาน์เตอร์บาร์ 0.40x3.00x1.20  ม. ตามรูปแบบรายการ (สีเลือกภายหลัง)</t>
  </si>
  <si>
    <t>งาน ผนังกั้นห้องประชุม 0.10x3.50x3.20 ม. ตามรูปแบบรายการ (สีเลือกภายหลัง)</t>
  </si>
  <si>
    <t>งาน ผนังติดบอร์ดไม้ก๊อก 0.07x2.40x3.20 ม. ตามรูปแบบรายการ (สีเลือกภายหลัง)</t>
  </si>
  <si>
    <t>จมูกบันได SPC (ลายไม้ สีเดียวกับ SPC)</t>
  </si>
  <si>
    <t>งานระบบภาพและเสียง ห้องประชุมใหญ่ ชั้น 9</t>
  </si>
  <si>
    <t>หลังคามุงด้วย METAL SHEET เหล็กรีดลอน เคลือบ Zincalume</t>
  </si>
  <si>
    <t>ครอบสัน+ครอบข้าง เคลือบ Zincalume</t>
  </si>
  <si>
    <t>ขา Conector สำหรับติดตั้ง</t>
  </si>
  <si>
    <t>สัญญา</t>
  </si>
  <si>
    <t>TOWER CRANE 1 ชุด (ใช้กับอาคาร 6 ชั้นขึ้นไป) 1 ตัวทุกความยาว/กว้าง อาคาร 40 ม.</t>
  </si>
  <si>
    <t>ค่าใช้จ่ายค่าขนส่งและหรืออุปกรณ์ก่อสร้าง กรณีมีความจำเป็นต้องคิดค่าขนส่ง</t>
  </si>
  <si>
    <t>ค่าขนย้ายดินระยะทางไม่เกิน 25 กม. จากหน่วยงานก่อสร้างไปยังที่ทิ้งดินที่ราชการกำหนด</t>
  </si>
  <si>
    <t xml:space="preserve">คอนกรีตโครงสร้าง (fc' cylinder =320 ksc.) </t>
  </si>
  <si>
    <t>เหล็กฉาก 50x50 หนา 5 มม.</t>
  </si>
  <si>
    <t xml:space="preserve">ฝ้าเพดานยิบซั่มบอร์ดหนา 9 มม. ชนิดกันชื้น ฉาบรอยต่อเรียบ โครง C-Line </t>
  </si>
  <si>
    <t xml:space="preserve">ฝ้าเพดานยิบซั่มบอร์ดหนา 9 มม. ฉาบรอยต่อเรียบ โครง C-Line </t>
  </si>
  <si>
    <t xml:space="preserve"> ราวบันไดเหล็กกลม</t>
  </si>
  <si>
    <t>ฝ้าเพดานยิบซั่มบอร์ดหนา 9 มม. ฉาบรอยต่อเรียบ โครง C-Line</t>
  </si>
  <si>
    <t xml:space="preserve">ราวบันไดเหล็กกลม  </t>
  </si>
  <si>
    <t>ค่าวัสดุ</t>
  </si>
  <si>
    <t>ผนังก่ออิฐมวลเบา หนา 7.5 ซม.</t>
  </si>
  <si>
    <t>พื้น ผิวปูกระเบื้องพอร์ซเลน ขนาด 0.60x0.60ม. (ผิวกันลื่น)</t>
  </si>
  <si>
    <t>งานระบบสุขาภิบาลและระบบป้องกันอัคคีภัย</t>
  </si>
  <si>
    <t>งานระบบน้ำดี</t>
  </si>
  <si>
    <t>ปั๊มน้ำดี</t>
  </si>
  <si>
    <t>WITH CONTROL PANEL AND ACCESSORIES ปั๊มสลับกันทำงาน</t>
  </si>
  <si>
    <t>Q = 90 GPM, TDH = 40 M.</t>
  </si>
  <si>
    <t>Q = 32 GPM, TDH = 30 M.</t>
  </si>
  <si>
    <t>PRESSURE TANK 200 LITRES</t>
  </si>
  <si>
    <t xml:space="preserve"> ขนาด Ø 40 มม.</t>
  </si>
  <si>
    <t xml:space="preserve"> Dia. 1-1/4" </t>
  </si>
  <si>
    <t>งานอื่นๆ (เบ็ดเตล็ด)</t>
  </si>
  <si>
    <t xml:space="preserve">Dia. 1" </t>
  </si>
  <si>
    <t>Water Hammer Arrestor</t>
  </si>
  <si>
    <t>3.1.14</t>
  </si>
  <si>
    <t>3.1.15</t>
  </si>
  <si>
    <t>3.1.16</t>
  </si>
  <si>
    <t>Service Panel</t>
  </si>
  <si>
    <t>ขนาด 30 x 30 มม.</t>
  </si>
  <si>
    <t>3.1.17</t>
  </si>
  <si>
    <t>งานฐานถังน้ำดี</t>
  </si>
  <si>
    <t>งานฐานปั๊มน้ำดี</t>
  </si>
  <si>
    <t>งานระบบน้ำเสีย</t>
  </si>
  <si>
    <t>ถังบำบัดน้ำเสียไฟเบอร์กลาสชนิดเติมอากาศ ขนาด 60 ลบ.ม./วัน</t>
  </si>
  <si>
    <t>ถังบำบัดน้ำเสียไฟเบอร์กลาส ขนาด 0.6 ลบ.ม./วัน</t>
  </si>
  <si>
    <t>บ่อดักกลิ่น</t>
  </si>
  <si>
    <t>ถังดักไขมันบนดิน ขนาด 20 ลิตร</t>
  </si>
  <si>
    <t>งานระบบน้ำฝนในอาคาร</t>
  </si>
  <si>
    <t>งานท่อระบบน้ำฝน</t>
  </si>
  <si>
    <t>งานระบบป้องกันอัคคีภัย</t>
  </si>
  <si>
    <t>งานปั๊มน้ำระบบป้องกันอัคคีภัย</t>
  </si>
  <si>
    <t>งานท่อน้ำระบบป้องกันอัคคีภัย</t>
  </si>
  <si>
    <t>3.5.2</t>
  </si>
  <si>
    <t>งานวาล์วระบบป้องกันอัคคีภัย</t>
  </si>
  <si>
    <t>งานอุปกรณ์ระบบป้องกันอัคคีภัย</t>
  </si>
  <si>
    <t>งานอุปกรณ์ SPRINKLER HEAD ( GLASS BULB TYPE )</t>
  </si>
  <si>
    <t>งานอุปกรณ์ระบบดับเพลิง อื่นๆ</t>
  </si>
  <si>
    <t xml:space="preserve"> - FIRE HOSE CABINET</t>
  </si>
  <si>
    <t xml:space="preserve"> - FIRE DEPARTMENT CONNECTION 6" x 2-1/2" x 2-1/2"</t>
  </si>
  <si>
    <t xml:space="preserve"> - วัสดุพันรอบท่อ (Wrap Strip) ชนิด BSP ขนาด 4"</t>
  </si>
  <si>
    <t xml:space="preserve"> - วัสดุพันรอบท่อ (Wrap Strip) ชนิด BSP ขนาด 6"</t>
  </si>
  <si>
    <t>งานเครื่องปรับอากาศ แบบรวมศูนย์</t>
  </si>
  <si>
    <t>แผงควบคุมอุณหภูมิ เครื่องปรับอากาศ ย่อย (ชนิดมีสาย)</t>
  </si>
  <si>
    <t>แผงควบคุมอุณหภูมิ เครื่องปรับอากาศ ย่อย (ชนิดไร้สาย)</t>
  </si>
  <si>
    <t>ชุดข้อต่อท่อน้ำยา ชนิดพิเศษ สำหรับระบบรวมศูนย์ (ภายใน)</t>
  </si>
  <si>
    <t>ชุดข้อต่อท่อน้ำยา ชนิดพิเศษ สำหรับระบบรวมศูนย์ (ภายนอก)</t>
  </si>
  <si>
    <t>ฐาน คสล. เครื่องคอยล์ร้อน</t>
  </si>
  <si>
    <t>งานแขวน เครื่องคอยล์เย็น (FCU)</t>
  </si>
  <si>
    <t>งานแขวน เครื่องคอยล์เย็น เป่าลม (AHU) และ เติมอากาศ (OAU)</t>
  </si>
  <si>
    <t>อุปกรณ์ลดแรงสั่นสะเทือน เป่าลม (AHU) และ เติมอากาศ (OAU)</t>
  </si>
  <si>
    <t>น้ำยาทำความเย็น R410A</t>
  </si>
  <si>
    <t>งานทดสอบระบบด้วยแก๊สไนโตรเจน เครื่องคอยล์เย็น (FCU)</t>
  </si>
  <si>
    <t>งานทดสอบระบบด้วยแก๊สไนโตรเจน เครื่องคอยล์เย็น เป่าลม (AHU) และ เติมอากาศ (OAU)</t>
  </si>
  <si>
    <t>แผงควบคุมอุณหภูมิ เครื่องปรับอากาศ (ชนิดมีสาย)</t>
  </si>
  <si>
    <t>5.2.3</t>
  </si>
  <si>
    <t>งานแขวน เครื่องคอยล์เย็น</t>
  </si>
  <si>
    <t>งานแขวน เครื่องคอยล์ร้อน</t>
  </si>
  <si>
    <t>5.3.1</t>
  </si>
  <si>
    <t>เครื่องพัดลมระบายอากาศ</t>
  </si>
  <si>
    <t>พัดลมระบายอากาศติดผนัง ขนาด 50 CFM</t>
  </si>
  <si>
    <t>พัดลมระบายอากาศติดผนัง ขนาด 200 CFM</t>
  </si>
  <si>
    <t>พัดลมระบายอากาศติดผนัง ขนาด 400 CFM</t>
  </si>
  <si>
    <t>พัดลมระบายอากาศซ่อนฝ้า ขนาด 150 CFM</t>
  </si>
  <si>
    <t>พัดลมระบายอากาศซ่อนฝ้าอุตสาหกรรม ขนาด 600 CFM</t>
  </si>
  <si>
    <t>พัดลมระบายอากาศซ่อนฝ้าอุตสาหกรรม ขนาด 750 CFM</t>
  </si>
  <si>
    <t>พัดลมระบายอากาศติดผนังอุตสาหกรรมแรงดันสูง ขนาด 750 CFM</t>
  </si>
  <si>
    <t>พัดลมระบายอากาศติดผนังอุตสาหกรรมแรงดันสูง ขนาด 800 CFM</t>
  </si>
  <si>
    <t>พัดลมระบายอากาศติดผนังอุตสาหกรรมแรงดันสูง ขนาด 1,000 CFM</t>
  </si>
  <si>
    <t>พัดลมระบายอากาศติดผนังอุตสาหกรรมแรงดันสูง ขนาด 1,200 CFM</t>
  </si>
  <si>
    <t>พัดลมระบายอากาศติดผนังอุตสาหกรรมแรงดันสูง ขนาด 1,500 CFM</t>
  </si>
  <si>
    <t>พัดลมระบายควันเพลิง ขนาด 17,000 CFM</t>
  </si>
  <si>
    <t>5.3.2</t>
  </si>
  <si>
    <t>พัดลมอัดอากาศ ขนาด 17,000 CFM</t>
  </si>
  <si>
    <t>5.3.3</t>
  </si>
  <si>
    <t>วงกบและโครงเครื่องพัดลมติดผนัง</t>
  </si>
  <si>
    <t>วงกบและโครงเครื่องพัดลมติดผนังอุตสาหกรรม</t>
  </si>
  <si>
    <t>Duct Smoke Detector (สำหรับพัดลมอัดอากาศ)</t>
  </si>
  <si>
    <t>งานแขวน เครื่องคอยล์เย็น พัดลมอัดอากาศ และ พัดลมระบายควันเพลิง</t>
  </si>
  <si>
    <t>อุปกรณ์ลดแรงสั่นสะเทือน พัดลมอัดอากาศ และ พัดลมระบายควันเพลิง</t>
  </si>
  <si>
    <t>งานท่อทองแดง และฉนวนหุ้มท่อ</t>
  </si>
  <si>
    <t>งานท่อน้ำทิ้งระบบปรับอากาศ</t>
  </si>
  <si>
    <t>5.5.1</t>
  </si>
  <si>
    <t>ท่อน้ำทิ้งระบบปรับอากาศ</t>
  </si>
  <si>
    <t>ขนาด  Ø 2 นิ้ว</t>
  </si>
  <si>
    <t>งานท่อน้ำทิ้ง ภายในอาคาร PVC Class 8.5</t>
  </si>
  <si>
    <t>ขนาด  Ø 3/4 นิ้ว</t>
  </si>
  <si>
    <t>ขนาด  Ø 1 นิ้ว</t>
  </si>
  <si>
    <t>ขนาด  Ø 1-1/4 นิ้ว</t>
  </si>
  <si>
    <t>ขนาด  Ø 1-1/2 นิ้ว</t>
  </si>
  <si>
    <t>งานฉนวนหุ้มท่อ PVC</t>
  </si>
  <si>
    <t xml:space="preserve">ฉนวนท่อ PVC หนา 13 มม. ขนาด  Ø 1-1/8 นิ้ว (Ø 3/4 นิ้ว IPS) </t>
  </si>
  <si>
    <t xml:space="preserve">ฉนวนท่อ PVC หนา 13 มม. ขนาด  Ø 1-3/8 นิ้ว (Ø 1 นิ้ว IPS) </t>
  </si>
  <si>
    <t xml:space="preserve">ฉนวนท่อ PVC หนา 13 มม. ขนาด  Ø 1-5/8 นิ้ว (Ø 1-1/4 นิ้ว IPS) </t>
  </si>
  <si>
    <t xml:space="preserve">ฉนวนท่อ PVC หนา 13 มม. ขนาด  Ø 1-7/8 นิ้ว (Ø 1-1/2 นิ้ว IPS) </t>
  </si>
  <si>
    <t>5.5.2</t>
  </si>
  <si>
    <t>5.5.3</t>
  </si>
  <si>
    <t>แผ่นสังกะสีเบอร์ 22</t>
  </si>
  <si>
    <t>ฉนวนใยแก้ว</t>
  </si>
  <si>
    <t>ฉนวนใยแก้ว ความหนาแน่น 24 กก./ลบ.ม. หนา 25 มม.</t>
  </si>
  <si>
    <t>ท่อลมอ่อนพร้อมฉนวน</t>
  </si>
  <si>
    <t>ขนาด  Ø 12 นิ้ว</t>
  </si>
  <si>
    <t>5.6.4</t>
  </si>
  <si>
    <t>กริลจ่ายลมดี ขนาด 3 slot  ยาว 1.5 ม. W/VD</t>
  </si>
  <si>
    <t>กริลดูดลมกลับ ขนาด 3 slot  ยาว 4.0 ม. W/VD</t>
  </si>
  <si>
    <t>กริลเติมอากาศ ขนาด 30"x18" (FAL) W/ISC</t>
  </si>
  <si>
    <t>5.6.5</t>
  </si>
  <si>
    <t>กริลระบายอากาศ EAG 18"x16"W/INS</t>
  </si>
  <si>
    <t>กริลระบายอากาศ EAG 20"x18"W/INS</t>
  </si>
  <si>
    <t>กริลระบายอากาศ EAG 90"x40"W/INS</t>
  </si>
  <si>
    <t>5.6.6</t>
  </si>
  <si>
    <t>กริลอัดอากาศ</t>
  </si>
  <si>
    <t>กริลอัดอากาศ PAG 40"x20"W/Volume Damper</t>
  </si>
  <si>
    <t>กริลอัดอากาศ PAG 86"x80" (2.15 x 2.00 ม.) W/ISC</t>
  </si>
  <si>
    <t>Volume Damper 45"x45"</t>
  </si>
  <si>
    <t>Gravity Relief Damper 20"x20"</t>
  </si>
  <si>
    <t>5.6.7</t>
  </si>
  <si>
    <t>วงกบและโครงกริลระบายอากาศ</t>
  </si>
  <si>
    <t>วงกบและโครงกริลอัดอากาศ</t>
  </si>
  <si>
    <t>งานท่อและสายควบคุมระบบปรับอากาศ</t>
  </si>
  <si>
    <t>5.7.1</t>
  </si>
  <si>
    <t>งานท่อร้อยสายไฟฟ้า</t>
  </si>
  <si>
    <t>5.7.2</t>
  </si>
  <si>
    <t>สายไฟและสายสัญญาณ</t>
  </si>
  <si>
    <t>สายไฟฟ้าชนิด IEC-01 (THW) ขนาด 2.5 ตร.มม.</t>
  </si>
  <si>
    <t>สายสัญญาณ Twisted Pair Shield ขนาด 2x18 AWG</t>
  </si>
  <si>
    <t>5.7.3</t>
  </si>
  <si>
    <t>MCCB 3P 500AT / 630AF</t>
  </si>
  <si>
    <t>MCCB 3P 630AT / 630AF</t>
  </si>
  <si>
    <t>งานตู้ควบคุมไฟฟ้า ( LOAD PANEL )</t>
  </si>
  <si>
    <t>GCP</t>
  </si>
  <si>
    <t>หม้อแปลงไฟฟ้าชนิดฉนวนน้ำมัน ขนาด 1,000 kVA แรงดัน 24kV/416/240V</t>
  </si>
  <si>
    <t>งานฉนวนกันเสียงห้องเครื่องกำเนิดไฟฟ้าสำรอง</t>
  </si>
  <si>
    <t>งานย้ายหม้อแปลงเดิม และนั่งร้านเดิม ไปพื้นที่ข้างเคียง</t>
  </si>
  <si>
    <t>อุปกรณ์งานไฟฟ้าแรงดันสูง ตามมาตรฐาน กฟน.</t>
  </si>
  <si>
    <t>ชุดนั่งร้านหม้อแปลงไฟฟ้า ตามมาตรฐาน กฟน.</t>
  </si>
  <si>
    <t>สายไฟ SAC 25kV ขนาด 70 ตร.มม.</t>
  </si>
  <si>
    <t>ค่าธรรมเนียมขอการใช้ไฟฟ้า แรงดันปานกลาง กฟน.</t>
  </si>
  <si>
    <t>MCCB 3P 60AT / 100AF</t>
  </si>
  <si>
    <t>EMDB</t>
  </si>
  <si>
    <t>MDB</t>
  </si>
  <si>
    <t>ฐาน คสล. ตู้ MDB</t>
  </si>
  <si>
    <t>4.2.6</t>
  </si>
  <si>
    <t>MCCB 3P - 250AT/250AF</t>
  </si>
  <si>
    <t>ฐาน คสล. ตู้ EMDB</t>
  </si>
  <si>
    <t>ฐาน คสล. ตู้ CAP</t>
  </si>
  <si>
    <t>1LP1</t>
  </si>
  <si>
    <t>Load Panel รุ่น Main Breaker ขนาด 100A จำนวน 30 ช่อง</t>
  </si>
  <si>
    <t>MCB 3P 32AT / 63AF</t>
  </si>
  <si>
    <t>MCB 1P 16AT / 63AF</t>
  </si>
  <si>
    <t>MCB 1P 20AT / 63AF</t>
  </si>
  <si>
    <t>4.3.2</t>
  </si>
  <si>
    <t>2LP1</t>
  </si>
  <si>
    <t>RCBO 1P 20AT / 63AF</t>
  </si>
  <si>
    <t>Load Panel รุ่น Main Breaker ขนาด 100A จำนวน 42 ช่อง</t>
  </si>
  <si>
    <t>4.3.3</t>
  </si>
  <si>
    <t>2LP2</t>
  </si>
  <si>
    <t>Load Panel รุ่น Main Lug ขนาด 100A จำนวน 30 ช่อง</t>
  </si>
  <si>
    <t>MCB 3P 20AT / 63AF</t>
  </si>
  <si>
    <t>4.3.4</t>
  </si>
  <si>
    <t>3LP1</t>
  </si>
  <si>
    <t>Load Panel รุ่น Main Breaker ขนาด 100A จำนวน 36 ช่อง</t>
  </si>
  <si>
    <t>4.3.5</t>
  </si>
  <si>
    <t>3LP2</t>
  </si>
  <si>
    <t>Load Panel รุ่น Main Lug ขนาด 100A จำนวน 36 ช่อง</t>
  </si>
  <si>
    <t>4.3.6</t>
  </si>
  <si>
    <t>4LP1</t>
  </si>
  <si>
    <t>4LP2</t>
  </si>
  <si>
    <t>Load Panel รุ่น Main Lug ขนาด 100A จำนวน 24 ช่อง</t>
  </si>
  <si>
    <t>4.3.7</t>
  </si>
  <si>
    <t>4.3.8</t>
  </si>
  <si>
    <t>5LP1</t>
  </si>
  <si>
    <t>4.3.9</t>
  </si>
  <si>
    <t>5LP2</t>
  </si>
  <si>
    <t>4.3.10</t>
  </si>
  <si>
    <t>6LP1</t>
  </si>
  <si>
    <t>4.3.11</t>
  </si>
  <si>
    <t>6LP2</t>
  </si>
  <si>
    <t>7LP1</t>
  </si>
  <si>
    <t>4.3.12</t>
  </si>
  <si>
    <t>4.3.13</t>
  </si>
  <si>
    <t>7LP2</t>
  </si>
  <si>
    <t>4.3.14</t>
  </si>
  <si>
    <t>8LP1</t>
  </si>
  <si>
    <t>4.3.15</t>
  </si>
  <si>
    <t>8LP2</t>
  </si>
  <si>
    <t>9LP1</t>
  </si>
  <si>
    <t>Load Panel รุ่น Main Breaker ขนาด 100A จำนวน 12 ช่อง</t>
  </si>
  <si>
    <t>4.3.16</t>
  </si>
  <si>
    <t>9LP-C</t>
  </si>
  <si>
    <t>Load Panel รุ่น Main Breaker ขนาด 250A จำนวน 42 ช่อง</t>
  </si>
  <si>
    <t>MCB 3P 16AT / 63AF</t>
  </si>
  <si>
    <t>MCB 3P 40AT / 63AF</t>
  </si>
  <si>
    <t>MCB 3P 50AT / 63AF</t>
  </si>
  <si>
    <t>4.3.17</t>
  </si>
  <si>
    <t>1ELP1</t>
  </si>
  <si>
    <t>Load Panel รุ่น Main Breaker ขนาด 100A จำนวน 18 ช่อง</t>
  </si>
  <si>
    <t>4.3.18</t>
  </si>
  <si>
    <t>2ELP1</t>
  </si>
  <si>
    <t>4.3.19</t>
  </si>
  <si>
    <t>3ELP1</t>
  </si>
  <si>
    <t>4.3.20</t>
  </si>
  <si>
    <t>4ELP1</t>
  </si>
  <si>
    <t>4.3.21</t>
  </si>
  <si>
    <t>5ELP1</t>
  </si>
  <si>
    <t>4.3.22</t>
  </si>
  <si>
    <t>6ELP1</t>
  </si>
  <si>
    <t>4.3.23</t>
  </si>
  <si>
    <t>7ELP1</t>
  </si>
  <si>
    <t>4.3.24</t>
  </si>
  <si>
    <t>8ELP1</t>
  </si>
  <si>
    <t>4.3.25</t>
  </si>
  <si>
    <t>9ELP1</t>
  </si>
  <si>
    <t>RELP</t>
  </si>
  <si>
    <t>4.3.26</t>
  </si>
  <si>
    <t>RDB</t>
  </si>
  <si>
    <t>ATS MCCB 3P - 200AT with ATS CONTROLLER</t>
  </si>
  <si>
    <t>งานท่อร้อยสายไฟ และสายไฟฟ้า</t>
  </si>
  <si>
    <t>ท่อ HDPE Ø 3 นิ้ว</t>
  </si>
  <si>
    <t>ท่อ IMC Ø 3 นิ้ว</t>
  </si>
  <si>
    <t>Pull Box (HDG)</t>
  </si>
  <si>
    <t>สายไฟฟ้าชนิด CV ขนาด 1C-185 ตร.มม.</t>
  </si>
  <si>
    <t>งานท่อระบายน้ำเสีย</t>
  </si>
  <si>
    <t>ท่อระบายน้ำเสีย ฝังดิน  HDPE. PN 6</t>
  </si>
  <si>
    <t>ท่อระบายน้ำเสีย ภายในอาคาร PVC. CLASS 8.5</t>
  </si>
  <si>
    <t>ท่อร้อยสายเมนไฟฟ้า  เครืองกำเนิดไฟฟ้าสำรอง</t>
  </si>
  <si>
    <t>ท่อ IMC Ø 2-1/2 นิ้ว</t>
  </si>
  <si>
    <t>อื่นๆ (เบ็ดเตล็ด) ท่อร้อยสายเมนไฟฟ้า เครืองกำเนิดไฟฟ้าสำรอง</t>
  </si>
  <si>
    <t>สายเมนไฟฟ้า เครืองกำเนิดไฟฟ้าสำรอง</t>
  </si>
  <si>
    <t>อื่นๆ (เบ็ดเตล็ด) สายเมนไฟฟ้า เครืองกำเนิดไฟฟ้าสำรอง</t>
  </si>
  <si>
    <t>สายไฟฟ้าชนิด FRC ขนาด 1C-120 ตร.มม.</t>
  </si>
  <si>
    <t>สายไฟฟ้าชนิด FRC ขนาด 1C-16 ตร.มม.</t>
  </si>
  <si>
    <t>สายไฟฟ้าชนิด CV ขนาด 1C-35 ตร.มม.</t>
  </si>
  <si>
    <t>สายไฟฟ้าชนิด IEC-01 (THW) ขนาด 70 ตร.มม.</t>
  </si>
  <si>
    <t>สายไฟฟ้าชนิด IEC-01 (THW) ขนาด 16 ตร.มม.</t>
  </si>
  <si>
    <t>ท่อ EMT Ø 2 นิ้ว</t>
  </si>
  <si>
    <t>ท่อร้อยสายเมนไฟฟ้า ตู้ควบคุมไฟฟ้า Load Panel</t>
  </si>
  <si>
    <t>อื่นๆ (เบ็ดเตล็ด) ท่อร้อยสายเมนไฟฟ้า ตู้ควบคุมไฟฟ้า Load Panel</t>
  </si>
  <si>
    <t>สายเมนไฟฟ้า ตู้ควบคุมไฟฟ้า Load Panel</t>
  </si>
  <si>
    <t>อื่นๆ (เบ็ดเตล็ด) สายเมนไฟฟ้า ตู้ควบคุมไฟฟ้า Load Panel</t>
  </si>
  <si>
    <t>สายไฟฟ้าชนิด IEC-01 (THW) ขนาด 50 ตร.มม.</t>
  </si>
  <si>
    <t>สายไฟฟ้าชนิด IEC-01 (THW) ขนาด 10 ตร.มม.</t>
  </si>
  <si>
    <t>สายไฟฟ้าชนิด IEC-01 (THW) ขนาด 6 ตร.มม.</t>
  </si>
  <si>
    <t>สายไฟฟ้าชนิด IEC-01 (THW) ขนาด 25 ตร.มม.</t>
  </si>
  <si>
    <t>ท่อ EMT Ø 1-1/2 นิ้ว</t>
  </si>
  <si>
    <t>ท่อ EMT Ø 3/4 นิ้ว</t>
  </si>
  <si>
    <t>รางร้อยสายไฟ Wireway หนา 1.6 มม. ขนาด 200 x 100 มม.</t>
  </si>
  <si>
    <t>ท่อร้อยสายเมนไฟฟ้า ตู้เมนไฟฟ้า DB-AC, 9LP-C และ RDB</t>
  </si>
  <si>
    <t>อื่นๆ (เบ็ดเตล็ด) ท่อร้อยสายเมนไฟฟ้า ตู้เมนไฟฟ้า DB-AC, 9LP-C และ RDB</t>
  </si>
  <si>
    <t>สายเมนไฟฟ้า ตู้เมนไฟฟ้า DB-AC, 9LP-C และ RDB</t>
  </si>
  <si>
    <t>อื่นๆ (เบ็ดเตล็ด) สายเมนไฟฟ้า ตู้เมนไฟฟ้า DB-AC, 9LP-C และ RDB</t>
  </si>
  <si>
    <t>สายไฟฟ้าชนิด IEC-01 (THW) ขนาด 95 ตร.มม.</t>
  </si>
  <si>
    <t>สายไฟฟ้าชนิด IEC-01 (THW) ขนาด 4 ตร.มม.</t>
  </si>
  <si>
    <t>รางร้อยสายไฟ Wireway หนา 1.6 มม. ขนาด 250 x 100 มม. (ชุบกัลวาไนซ์)</t>
  </si>
  <si>
    <t>ท่อร้อยสายเมนไฟฟ้า เครื่องปรับอากาศ CDU ชั้นหลังคา</t>
  </si>
  <si>
    <t>อื่นๆ (เบ็ดเตล็ด) ท่อร้อยสายเมนไฟฟ้า เครื่องปรับอากาศ CDU ชั้นหลังคา</t>
  </si>
  <si>
    <t>สายเมนไฟฟ้า เครื่องปรับอากาศ CDU ชั้นหลังคา</t>
  </si>
  <si>
    <t>อื่นๆ (เบ็ดเตล็ด) สายเมนไฟฟ้า เครื่องปรับอากาศ CDU ชั้นหลังคา</t>
  </si>
  <si>
    <t>ท่อ IMC Ø 2 นิ้ว</t>
  </si>
  <si>
    <t>ท่อ IMC Ø 1-1/2 นิ้ว</t>
  </si>
  <si>
    <t>ท่อ IMC Ø 1-1/4 นิ้ว</t>
  </si>
  <si>
    <t>ท่อ IMC Ø 1 นิ้ว</t>
  </si>
  <si>
    <t>งานท่อร้อยสายเมนไฟฟ้า และสายไฟฟ้า ตู้ MDB</t>
  </si>
  <si>
    <t>ท่อร้อยสายเมนไฟฟ้า ตู้ MDB</t>
  </si>
  <si>
    <t>อื่นๆ (เบ็ดเตล็ด) ท่อร้อยสายเมนไฟฟ้า ตู้ MDB</t>
  </si>
  <si>
    <t>สายเมนไฟฟ้า ตู้ MDB</t>
  </si>
  <si>
    <t>อื่นๆ (เบ็ดเตล็ด) สายเมนไฟฟ้า ตู้ MDB</t>
  </si>
  <si>
    <t>รางร้อยสายไฟ Cable Ladder หนา 2.0 มม. ขนาด 400 มม. (ชุบกัลวาไนซ์)</t>
  </si>
  <si>
    <t>5.6.8</t>
  </si>
  <si>
    <t>Return Air Chamber สำหรับ AHU (ห้องควบคุม ห้องประชุมใหญ่)</t>
  </si>
  <si>
    <t>ท่อเหล็กอ่อนกันน้ำ 1-1/2 นิ้ว</t>
  </si>
  <si>
    <t>ท่อเหล็กอ่อนกันน้ำ 1-1/4 นิ้ว</t>
  </si>
  <si>
    <t>ท่อร้อยสายเมนไฟฟ้า ลิฟต์ ปั๊มน้ำ และพัดลมอัดอากาศ</t>
  </si>
  <si>
    <t>อื่นๆ (เบ็ดเตล็ด) ท่อร้อยสายเมนไฟฟ้า ลิฟต์ ปั๊มน้ำ และพัดลมอัดอากาศ</t>
  </si>
  <si>
    <t>สายเมนไฟฟ้า ลิฟต์ ปั๊มน้ำ และพัดลมอัดอากาศ</t>
  </si>
  <si>
    <t>อื่นๆ (เบ็ดเตล็ด) สายเมนไฟฟ้า ลิฟต์ ปั๊มน้ำ และพัดลมอัดอากาศ</t>
  </si>
  <si>
    <t>ท่อ EMT Ø 1-1/4 นิ้ว</t>
  </si>
  <si>
    <t>สายไฟฟ้าชนิด FRC ขนาด 1C-25 ตร.มม.</t>
  </si>
  <si>
    <t>สายไฟฟ้าชนิด FRC ขนาด 1C-10 ตร.มม.</t>
  </si>
  <si>
    <t>สายไฟฟ้าชนิด FRC ขนาด 1C-6 ตร.มม.</t>
  </si>
  <si>
    <t>สายไฟฟ้าชนิด FRC ขนาด 1C-4 ตร.มม.</t>
  </si>
  <si>
    <t>ท่อ IMC Ø 3/4 นิ้ว</t>
  </si>
  <si>
    <t>สายไฟฟ้าชนิด IEC-01 (THW) ขนาด 1.5 ตร.มม.</t>
  </si>
  <si>
    <t>ท่อ HDPE Ø 1 นิ้ว</t>
  </si>
  <si>
    <t>ท่อ EMT Ø 1/2 นิ้ว</t>
  </si>
  <si>
    <t>สายไฟฟ้าชนิด IEC-10 (NYY) ขนาด 3C-2.5 ตร.มม.</t>
  </si>
  <si>
    <t>ท่อ EMT Ø 1 นิ้ว</t>
  </si>
  <si>
    <t>รางร้อยสายไฟ Wireway หนา 1.0 มม. ขนาด 100 x 100 มม.</t>
  </si>
  <si>
    <t>ท่อ IMC Ø 1/2 นิ้ว</t>
  </si>
  <si>
    <t>ท่อร้อยสายไฟฟ้าย่อย แสงสว่าง,เต้ารับไฟฟ้า และอื่นๆ</t>
  </si>
  <si>
    <t>อื่นๆ (เบ็ดเตล็ด) ท่อร้อยสายไฟฟ้าย่อย แสงสว่าง,เต้ารับไฟฟ้า และอื่นๆ</t>
  </si>
  <si>
    <t>สายไฟฟ้าย่อย แสงสว่าง,เต้ารับไฟฟ้า และอื่นๆ</t>
  </si>
  <si>
    <t>อื่นๆ (เบ็ดเตล็ด) สายไฟฟ้าย่อย แสงสว่าง,เต้ารับไฟฟ้า และอื่นๆ</t>
  </si>
  <si>
    <t>โคมส่องลงติดลอย หลอด LED 1x12 วัตต์ ขั้ว E27</t>
  </si>
  <si>
    <t>โคมส่องลงติดลอย หลอด LED 2x12 วัตต์ ขั้ว E27</t>
  </si>
  <si>
    <t xml:space="preserve">โคมส่องลงติดลอยปรับมุมได้ หลอด LED 9 วัตต์ </t>
  </si>
  <si>
    <t>โคมส่องลงติดลอย หลอด LED 2x12 วัตต์ ขั้ว E27 ชนิดหรี่แสงได้</t>
  </si>
  <si>
    <t>โคมไฟติดลอย หลอด LED T8 1x16 วัตต์ พร้อมอะคริลิค</t>
  </si>
  <si>
    <t>โคมไฟติดลอย หลอด LED T8 1x16 วัตต์ พร้อมอะคริลิค ชนิดกันน้ำ</t>
  </si>
  <si>
    <t>โคมไฟตะแกรงอะลูมิเนียมติดลอย หลอด LED T8 2x16 วัตต์</t>
  </si>
  <si>
    <t>โคมไฟโครงอะลูมิเนียมปีกนกติดลอย หลอด LED T8 2x16 วัตต์</t>
  </si>
  <si>
    <t>โคมไฟติดแขวน หลอด LED T8 2x16 วัตต์</t>
  </si>
  <si>
    <t>โคมติดแขวนทรงระฆัง หลอด LED 9 วัตต์ ขั้ว E27</t>
  </si>
  <si>
    <t>โคมไฟแขวน หลอด LED ขนาด 12 วัตต์ ขั้ว E27</t>
  </si>
  <si>
    <t>โคมติดแขวน หลอด LED 3x12 วัตต์</t>
  </si>
  <si>
    <t>โคมไฟแขวนโลเบย์ หลอด LED ขนาด 50 วัตต์</t>
  </si>
  <si>
    <t>โคมติดผนังส่องลงภายในอาคาร หลอด LED 9 วัตต์ ขั้ว E27</t>
  </si>
  <si>
    <t>โคมไฟติดผนังภายนอกส่องขึ้น-ลง หลอด LED 2x12 วัตต์ ขั้ว E27</t>
  </si>
  <si>
    <t>โคมติดผนังตกแต่งภายนอกอาคาร หลอด LED 9 วัตต์</t>
  </si>
  <si>
    <t>รางสำหรับโคมไฟแทรคไลท์ ยาว 1.50 ม.</t>
  </si>
  <si>
    <t>โคมไฟแทรคไลท์ หลอด LED 12 วัตต์</t>
  </si>
  <si>
    <t>โคมไฟ LED Strip Light ขนาด 14.4 วัตต์ ต่อ เมตร พร้อมรางอะลูมิเนียม</t>
  </si>
  <si>
    <t>โคมไฟขั้นบันได หลอด LED ขนาด 6 วัตต์</t>
  </si>
  <si>
    <t>โคมไฟสาดผนัง หลอด LED ขนาด 12 วัตต์</t>
  </si>
  <si>
    <t>โคมไฟฉุกเฉินติดผนัง พร้อมแบตเตอร์รี่ สำรอง 2 ชม. หลอด LED 2x6 วัตต์</t>
  </si>
  <si>
    <t>โคมไฟฉุกเฉินส่องลง พร้อมแบตเตอร์รี่ สำรอง 2 ชม. หลอด LED 6 วัตต์</t>
  </si>
  <si>
    <t>ป้ายทางออกฉุกเฉิน พร้อมแบตเตอร์รี่ สำรอง 2 ชม. หลอด LED</t>
  </si>
  <si>
    <t>งานโคมไฟส่องสว่าง</t>
  </si>
  <si>
    <t>งานหม้อแปลงไฟฟ้าและเครืองกำเนิดไฟฟ้าสำรอง</t>
  </si>
  <si>
    <t>เต้ารับ USB คู่</t>
  </si>
  <si>
    <t>LOAD BREAK SWITCH 1P 30A (WP)</t>
  </si>
  <si>
    <t>LOAD BREAK SWITCH 3P 60A (WP)</t>
  </si>
  <si>
    <t>LOAD BREAK SWITCH 3P 80A (WP)</t>
  </si>
  <si>
    <t>4.3.27</t>
  </si>
  <si>
    <t>LP-CDU-21</t>
  </si>
  <si>
    <t>MCB 3P 70AT / 100AF</t>
  </si>
  <si>
    <t>ตู้ไซร์กันน้ำมีหลังคา เบอร์ 3 พร้อมฐาน</t>
  </si>
  <si>
    <t>ฐานโครงเหล็กสำหรับ ตู้</t>
  </si>
  <si>
    <t>Load Panel รุ่น Main Lug ขนาด 100A จำนวน 12 ช่อง</t>
  </si>
  <si>
    <t>Load Panel รุ่น Main Lug ขนาด 250A จำนวน 12 ช่อง</t>
  </si>
  <si>
    <t>4.3.28</t>
  </si>
  <si>
    <t>LP-CDU-32</t>
  </si>
  <si>
    <t>4.3.29</t>
  </si>
  <si>
    <t>LP-CDU-41</t>
  </si>
  <si>
    <t>4.3.30</t>
  </si>
  <si>
    <t>LP-CDU-51</t>
  </si>
  <si>
    <t>4.3.31</t>
  </si>
  <si>
    <t>LP-CDU-61</t>
  </si>
  <si>
    <t>4.3.32</t>
  </si>
  <si>
    <t>LP-CDU-71</t>
  </si>
  <si>
    <t>4.3.33</t>
  </si>
  <si>
    <t>LP-CDU-81</t>
  </si>
  <si>
    <t>EV Charger 22 kw พร้อมตู้ป้องกันระบบ</t>
  </si>
  <si>
    <t>งานท่อร้อยสายเมนไฟฟ้า และสายไฟฟ้า เครืองกำเนิดไฟฟ้าสำรอง</t>
  </si>
  <si>
    <t>งานท่อร้อยสายเมนไฟฟ้า และสายไฟฟ้า ตู้เมนไฟฟ้า DB-AC, 9LP-C และ RDB</t>
  </si>
  <si>
    <t>งานท่อร้อยสายเมนไฟฟ้า และสายไฟฟ้า ตู้ควบคุมไฟฟ้า Load Panel</t>
  </si>
  <si>
    <t>งานท่อร้อยสายเมนไฟฟ้า และสายไฟฟ้า เครื่องปรับอากาศ CDU ชั้นหลังคา</t>
  </si>
  <si>
    <t>งานท่อร้อยสายเมนไฟฟ้า และสายไฟฟ้า ลิฟต์ ปั๊มน้ำ และพัดลมอัดอากาศ</t>
  </si>
  <si>
    <t>งานท่อร้อยสายไฟฟ้าย่อย และสายไฟฟ้า แสงสว่าง,เต้ารับไฟฟ้า และอื่นๆ</t>
  </si>
  <si>
    <t>งานท่อร้อยสาย และสายสัญญาณ ระบบโทรศัพท์</t>
  </si>
  <si>
    <t>ท่อร้อยสาย ระบบโทรศัพท์</t>
  </si>
  <si>
    <t>รางร้อยสายไฟ Wireway หนา 1.0 มม. ขนาด 50 x 100 มม.</t>
  </si>
  <si>
    <t>ตู้ PABX 6 สายใน 48 สายนอก</t>
  </si>
  <si>
    <t>ตู้โทรศัพท์ สาขา (TC) ขนาด 10/30 ช่อง</t>
  </si>
  <si>
    <t>ตู้โทรศัพท์ สาขา (TC) ขนาด 20/30 ช่อง</t>
  </si>
  <si>
    <t>อื่นๆ (เบ็ดเตล็ด) ท่อร้อยสาย ระบบโทรศัพท์</t>
  </si>
  <si>
    <t>สายสัญญาณ ระบบโทรศัพท์</t>
  </si>
  <si>
    <t>สายสัญญาณ AP-FSF 10P-0.65 mm.</t>
  </si>
  <si>
    <t>ท่อ HDPE Ø 2 นิ้ว</t>
  </si>
  <si>
    <t>งานตั้งค่าระบบ พร้อมทดสอบและส่งมอบงาน</t>
  </si>
  <si>
    <t>งานระบบเครือข่ายอินเตอร์เนท</t>
  </si>
  <si>
    <t>งานท่อร้อยสาย และสายตัวนำทองแดง ระบบป้องกันฟ้าผ่า</t>
  </si>
  <si>
    <t>ท่อร้อยสาย ระบบป้องกันฟ้าผ่า</t>
  </si>
  <si>
    <t>อื่นๆ (เบ็ดเตล็ด) ท่อร้อยสาย ระบบป้องกันฟ้าผ่า</t>
  </si>
  <si>
    <t>ONE-TIME</t>
  </si>
  <si>
    <t>ท่อร้อยสายไฟฟ้าชนิด PVC 1-1/4 นิ้ว</t>
  </si>
  <si>
    <t>สายตัวนำทองแดง ระบบป้องกันฟ้าผ่า</t>
  </si>
  <si>
    <t>ตัวนำทองแดงชนิดเทป ขนาด 25x3 มม.</t>
  </si>
  <si>
    <t>ชุดยึดจับทองแดงชนิดเทป</t>
  </si>
  <si>
    <t>ตัวนำทองแดงเปลือย ขนาด 70 ตร.มม.</t>
  </si>
  <si>
    <t>ตัวนำทองแดงเปลือย ขนาด 95 ตร.มม.</t>
  </si>
  <si>
    <t>FIRE ALARM CONTROL PANEL (Multiplex)</t>
  </si>
  <si>
    <t>งานอุปกรณ์หลัก ระบบแจ้งเหตุเพลิงไหม้</t>
  </si>
  <si>
    <t>งานอุปกรณ์ตรวจจับและแจ้งเหตุ ระบบแจ้งเหตุเพลิงไหม้</t>
  </si>
  <si>
    <t>งานท่อร้อยสาย และสายสัญญาณ ระบบแจ้งเหตุเพลิงไหม้</t>
  </si>
  <si>
    <t xml:space="preserve">REFLECTED BEAM SMOKE DETECTOR  </t>
  </si>
  <si>
    <t>HORN AND STROBE LIGHT</t>
  </si>
  <si>
    <t>ท่อร้อยสาย ระบบแจ้งเหตุเพลิงไหม้</t>
  </si>
  <si>
    <t>อื่นๆ (เบ็ดเตล็ด) ท่อร้อยสาย ระบบแจ้งเหตุเพลิงไหม้</t>
  </si>
  <si>
    <t>สายสัญญาณ ระบบแจ้งเหตุเพลิงไหม้</t>
  </si>
  <si>
    <t>อื่นๆ (เบ็ดเตล็ด) สายสัญญาณ ระบบแจ้งเหตุเพลิงไหม้</t>
  </si>
  <si>
    <t>สายสัญญาณ IEC-01 (THW) ขนาด 1.5 ตร.มม.</t>
  </si>
  <si>
    <t>สายสัญญาณ FRC ขนาด 2C-1.5 ตร.มม.</t>
  </si>
  <si>
    <t>สายสัญญาณ FRC ขนาด 2C-2.5 ตร.มม.</t>
  </si>
  <si>
    <t>สายสัญญาณ FRC TWPS ขนาด 18 AWG</t>
  </si>
  <si>
    <t>สายสัญญาณ TIEV 4C-0.65 มม.</t>
  </si>
  <si>
    <t>งานระบบควบคุมทางเข้า-ออก (รักษาความปลอดภัย)</t>
  </si>
  <si>
    <t>งานอุปกรณ์หลัก ระบบควบคุมทางเข้า-ออก (รักษาความปลอดภัย)</t>
  </si>
  <si>
    <t>งานท่อร้อยสาย และสายสัญญาณ ระบบควบคุมทางเข้า-ออก (รักษาความปลอดภัย)</t>
  </si>
  <si>
    <t>ท่อร้อยสาย ระบบควบคุมทางเข้า-ออก (รักษาความปลอดภัย)</t>
  </si>
  <si>
    <t>อื่นๆ (เบ็ดเตล็ด) ท่อร้อยสาย ระบบควบคุมทางเข้า-ออก (รักษาความปลอดภัย)</t>
  </si>
  <si>
    <t>สายสัญญาณ ระบบควบคุมทางเข้า-ออก (รักษาความปลอดภัย)</t>
  </si>
  <si>
    <t>อื่นๆ (เบ็ดเตล็ด) สายสัญญาณ ระบบควบคุมทางเข้า-ออก (รักษาความปลอดภัย)</t>
  </si>
  <si>
    <t>งานระบบกล้องวงจรปิด (รักษาความปลอดภัย)</t>
  </si>
  <si>
    <t>งานอุปกรณ์หลัก ระบบกล้องวงจรปิด (รักษาความปลอดภัย)</t>
  </si>
  <si>
    <t>NVR 32 CH</t>
  </si>
  <si>
    <t>รางร้อยสายไฟ Wireway หนา 1.2 มม. ขนาด 150 x 100 มม.</t>
  </si>
  <si>
    <t>งานท่อร้อยสาย และสายสัญญาณ ระบบกล้องวงจรปิด (รักษาความปลอดภัย)</t>
  </si>
  <si>
    <t>ท่อร้อยสาย ระบบกล้องวงจรปิด (รักษาความปลอดภัย)</t>
  </si>
  <si>
    <t>อื่นๆ (เบ็ดเตล็ด) ท่อร้อยสาย ระบบกล้องวงจรปิด (รักษาความปลอดภัย)</t>
  </si>
  <si>
    <t>สายสัญญาณ ระบบกล้องวงจรปิด (รักษาความปลอดภัย)</t>
  </si>
  <si>
    <t>อื่นๆ (เบ็ดเตล็ด) สายสัญญาณ ระบบกล้องวงจรปิด (รักษาความปลอดภัย)</t>
  </si>
  <si>
    <t>อื่นๆ (เบ็ดเตล็ด) สายสัญญาณ ระบบโทรศัพท์</t>
  </si>
  <si>
    <t>สายสัญญาณ  FIBER OPTIC SM. 6C</t>
  </si>
  <si>
    <t>15W HORN LOUD SPEAKER</t>
  </si>
  <si>
    <t>15W CIELING LOUD SPEAKER</t>
  </si>
  <si>
    <t>อุปกรณ์หลัก ระบบเสียงประกาศ</t>
  </si>
  <si>
    <t>งานระบบเสียงประกาศ</t>
  </si>
  <si>
    <t>งานท่อร้อยสาย และสายสัญญาณ ระบบเสียงประกาศ</t>
  </si>
  <si>
    <t>ท่อร้อยสาย ระบบเสียงประกาศ</t>
  </si>
  <si>
    <t>อื่นๆ (เบ็ดเตล็ด) ระบบเสียงประกาศ</t>
  </si>
  <si>
    <t>สายสัญญาณ ระบบเสียงประกาศ</t>
  </si>
  <si>
    <t>สายสัญญาณ IEC-02 ขนาด 2.5 ตร.มม.</t>
  </si>
  <si>
    <t>สายสัญญาณ IEC-02 ขนาด 4 ตร.มม.</t>
  </si>
  <si>
    <t>งานระบบควบคุมปิด-เปิดแสงสว่าง อัตโนมัติ</t>
  </si>
  <si>
    <t>อุปกรณ์หลัก ระบบควบคุมปิด-เปิดไฟฟ้าแสงสว่าง อัตโนมัติ</t>
  </si>
  <si>
    <t>ตู้ Relay Panel ชั้น 1</t>
  </si>
  <si>
    <t>ตู้ Relay Panel ชั้น 2</t>
  </si>
  <si>
    <t>ตู้ Relay Panel ชั้น 3</t>
  </si>
  <si>
    <t>ตู้ Relay Panel ชั้น 4</t>
  </si>
  <si>
    <t>ตู้ Relay Panel ชั้น 5</t>
  </si>
  <si>
    <t>ตู้ Relay Panel ชั้น 6</t>
  </si>
  <si>
    <t>ตู้ Relay Panel ชั้น 7</t>
  </si>
  <si>
    <t>ตู้ Relay Panel ชั้น 8</t>
  </si>
  <si>
    <t>ตู้ Relay Panel ชั้น 9</t>
  </si>
  <si>
    <t>ตู้ Relay Panel ชั้น 9 ห้องประชุม</t>
  </si>
  <si>
    <t>ตู้ Relay Panel ชั้น หลังคา</t>
  </si>
  <si>
    <t>งานท่อร้อยสาย และสายสัญญาณ ระบบควบคุมปิด-เปิดไฟฟ้าแสงสว่าง อัตโนมัติ</t>
  </si>
  <si>
    <t>ท่อร้อยสาย ระบบควบคุมปิด-เปิดไฟฟ้าแสงสว่าง อัตโนมัติ</t>
  </si>
  <si>
    <t>อื่นๆ (เบ็ดเตล็ด) ระบบควบคุมปิด-เปิดไฟฟ้าแสงสว่าง อัตโนมัติ</t>
  </si>
  <si>
    <t>สายสัญญาณ ระบบควบคุมปิด-เปิดไฟฟ้าแสงสว่าง อัตโนมัติ</t>
  </si>
  <si>
    <t>งานกั้นผนังและพื้นทนควันไฟ (Fire Barrier)</t>
  </si>
  <si>
    <t>กั้นพื้น และผนัง ช่องเปิดระบบไฟฟ้า (Mortar Seal)</t>
  </si>
  <si>
    <t>อุปกรณ์หลัก ระบบภาพและเสียง ห้องเรียน / ห้องประชุม / ห้องปฎิบัติการเขียนแบบ</t>
  </si>
  <si>
    <t>Floor Rack AV 19U w/Accessories</t>
  </si>
  <si>
    <t>Projector 7000 Lumens (Wireless)</t>
  </si>
  <si>
    <t>4.13.4</t>
  </si>
  <si>
    <t>4.13.4.1</t>
  </si>
  <si>
    <t>งานระบบภาพและเสียง โถง AUDITORIUM</t>
  </si>
  <si>
    <t>Projector 4000 Lumens (Wireless) ตามรูปแบบรายการ</t>
  </si>
  <si>
    <t>Projector 5000 Lumens (Wireless) ตามรูปแบบรายการ</t>
  </si>
  <si>
    <t>AV-1</t>
  </si>
  <si>
    <t>AV-2</t>
  </si>
  <si>
    <t>AV-3</t>
  </si>
  <si>
    <t>AV-4</t>
  </si>
  <si>
    <t>AV-5</t>
  </si>
  <si>
    <t>AV-6</t>
  </si>
  <si>
    <t>AV-7</t>
  </si>
  <si>
    <t xml:space="preserve">ทีวี ขนาด 55 นิ้ว Smart TV  รวมขายึดติดตั้ง ตามรูปแบบรายการ </t>
  </si>
  <si>
    <t xml:space="preserve">ทีวี ขนาด 75 นิ้ว Smart TV  รวมขายึดติดตั้ง ตามรูปแบบรายการ </t>
  </si>
  <si>
    <t>งานระบบภาพและเสียง ห้องสมุด / ห้องเรียน / ห้องประชุม / ห้องปฎิบัติการเขียนแบบ</t>
  </si>
  <si>
    <t>อุปกรณ์หลัก ระบบภาพและเสียง ห้องสมุด / ห้องเรียน / ห้องประชุม / ห้องปฎิบัติการเขียนแบบ</t>
  </si>
  <si>
    <t>จอมอนิเตอร์ LED ขนาด 48 นิ้ว พร้อมที่แขวนผนัง ตามรูปแบบรายการ</t>
  </si>
  <si>
    <t>CT-1</t>
  </si>
  <si>
    <t>9.3.1</t>
  </si>
  <si>
    <t>9.3.2</t>
  </si>
  <si>
    <t>HDMI Extender</t>
  </si>
  <si>
    <t>พาวเวอร์แอมป์ 120 วัตต์</t>
  </si>
  <si>
    <t>AV-8</t>
  </si>
  <si>
    <t>Cabinet Speaker 30 วัตต์</t>
  </si>
  <si>
    <t>ท่อร้อยสาย ระบบภาพและเสียง ห้องสมุด / ห้องเรียน / ห้องประชุม / ห้องปฎิบัติการเขียนแบบ</t>
  </si>
  <si>
    <t>งานท่อร้อยสาย และสายสัญญาณ ระบบภาพและเสียง ห้องสมุด / ห้องเรียน / ห้องประชุม / ห้องปฎิบัติการเขียนแบบ</t>
  </si>
  <si>
    <t>อื่นๆ (เบ็ดเตล็ด) ระบบภาพและเสียง ห้องสมุด / ห้องเรียน / ห้องประชุม / ห้องปฎิบัติการเขียนแบบ</t>
  </si>
  <si>
    <t>สายสัญญาณ ระบบภาพและเสียง ห้องสมุด / ห้องเรียน / ห้องประชุม / ห้องปฎิบัติการเขียนแบบ</t>
  </si>
  <si>
    <t>สายสัญญาณ ลำโพงทองแดงฝอย(105เส้น)  ฉนวน 2 ชั้น ขนาด 2C-2.5 ตร.มม. (14AWG)</t>
  </si>
  <si>
    <t>สายไฟฟ้าชนิด IEC-01 (THW) ขนาด 2.5 ตร.มม. (ไฟฟ้าจอมอเตอร์)</t>
  </si>
  <si>
    <t>จอ PROJECTOR พร้อมมอเตอร์ไฟฟ้า (เนื้อจอ High Contrast) 16:9 ขนาด 150" ตามรูปแบบรายการ</t>
  </si>
  <si>
    <t>AV-9</t>
  </si>
  <si>
    <t>AV-10</t>
  </si>
  <si>
    <t>AV-11</t>
  </si>
  <si>
    <t>งานท่อร้อยสาย และสายสัญญาณ ระบบภาพและเสียง โถง AUDITORIUM</t>
  </si>
  <si>
    <t>ท่อร้อยสาย ระบบภาพและเสียง โถง AUDITORIUM</t>
  </si>
  <si>
    <t>อื่นๆ (เบ็ดเตล็ด) ระบบภาพและเสียง โถง AUDITORIUM</t>
  </si>
  <si>
    <t>สายสัญญาณ ระบบภาพและเสียง โถง AUDITORIUM</t>
  </si>
  <si>
    <t>9.3.3</t>
  </si>
  <si>
    <t>จอ PROJECTOR พร้อมมอเตอร์ไฟฟ้า 16:9 ขนาด 100" ตามรูปแบบรายการ</t>
  </si>
  <si>
    <t>จอ PROJECTOR พร้อมมอเตอร์ไฟฟ้า 16:9 ขนาด 120" ตามรูปแบบรายการ</t>
  </si>
  <si>
    <t>AV-12</t>
  </si>
  <si>
    <t>อุปกรณ์หลัก ระบบภาพและเสียง ห้องประชุมใหญ่ ชั้น 9</t>
  </si>
  <si>
    <t>จอ LED ไร้รอยต่อ ห้องประชุมใหญ่ ชั้น 9</t>
  </si>
  <si>
    <t>AV-13</t>
  </si>
  <si>
    <t>ชุดสวิทช์เชือก ห้องน้ำคนพิการ พร้อมเสียงไซเรน</t>
  </si>
  <si>
    <t>งานท่อร้อยสาย และสายสัญญาณ ระบบภาพและเสียง ห้องประชุมใหญ่ ชั้น 9</t>
  </si>
  <si>
    <t>ท่อร้อยสาย ระบบภาพและเสียง ห้องประชุมใหญ่ ชั้น 9</t>
  </si>
  <si>
    <t>อื่นๆ (เบ็ดเตล็ด) ระบบภาพและเสียง ห้องประชุมใหญ่ ชั้น 9</t>
  </si>
  <si>
    <t>สายสัญญาณ ระบบภาพและเสียง ห้องประชุมใหญ่ ชั้น 9</t>
  </si>
  <si>
    <t>ตู้ควบคุมไฟฟ้า สำหรับชุดจอภาพ LED</t>
  </si>
  <si>
    <t>จอมอนิเตอร์ LED ขนาด 24 นิ้ว</t>
  </si>
  <si>
    <t>AV-14</t>
  </si>
  <si>
    <t>เครื่องปรับแต่งเสียงแบบดิจิตอล</t>
  </si>
  <si>
    <t>4.13.4.2</t>
  </si>
  <si>
    <t>พาวเวอร์แอมป์ 240 วัตต์</t>
  </si>
  <si>
    <t>พาวเวอร์แอมป์ 60 วัตต์</t>
  </si>
  <si>
    <t xml:space="preserve">งานอุปกรณ์หลัก ระบบโทรศัพท์ </t>
  </si>
  <si>
    <t>SOUND RACK 42U w/ Accessories</t>
  </si>
  <si>
    <t>NVR RACK 42U w/ Accessories</t>
  </si>
  <si>
    <t>Patch Panel UTP CAT6</t>
  </si>
  <si>
    <t>Patch Panel UTP CAT6A</t>
  </si>
  <si>
    <t>Patch Cord UTP CAT6</t>
  </si>
  <si>
    <t>Patch Cord UTP CAT6A</t>
  </si>
  <si>
    <t>อุปกรณ์หลัก ระบบเครือข่ายอินเตอร์เนท</t>
  </si>
  <si>
    <t>งานเต้ารับ ระบบเครือข่ายอินเตอร์เนท</t>
  </si>
  <si>
    <t xml:space="preserve">งานเต้ารับ ระบบโทรศัพท์ </t>
  </si>
  <si>
    <t>งานท่อร้อยสาย และสายสัญญาณ ระบบเครือข่ายอินเตอร์เนท</t>
  </si>
  <si>
    <t>ท่อร้อยสาย ระบบเครือข่ายอินเตอร์เนท</t>
  </si>
  <si>
    <t>อื่นๆ (เบ็ดเตล็ด) ท่อร้อยสาย ระบบเครือข่ายอินเตอร์เนท</t>
  </si>
  <si>
    <t>สายสัญญาณ UTP CAT.6A</t>
  </si>
  <si>
    <t xml:space="preserve">ผิวผนัง ฉาบปูนเรียบ </t>
  </si>
  <si>
    <t>ผิวผนัง ฉาบปูนเรียบ</t>
  </si>
  <si>
    <t>REACTOR 15 kVAR</t>
  </si>
  <si>
    <t>อุปกรณ์สำรองไฟฟ้า UPS 2kVA ชนิดติดตั้งใน NVR Rack</t>
  </si>
  <si>
    <t>CCTV Box for Lift</t>
  </si>
  <si>
    <t>เครื่องผสมสัญญาณเสียงแบบดีจิตอล ขนาด 16 ช่อง</t>
  </si>
  <si>
    <t>เครื่องขยายเสียงแบบโวลท์ไลน์และลำโพงเสียงต่ำ</t>
  </si>
  <si>
    <t>ลำโพงไลน์อาเรย์</t>
  </si>
  <si>
    <t>ลำโพงเสียงต่ำ</t>
  </si>
  <si>
    <t>งาน เคาน์เตอร์ Pantry ขนาด 0.60x1.35x0.80 ม. ตามรูปแบบรายการ (สีเลือกภายหลัง)</t>
  </si>
  <si>
    <t>DATA RACK 42U w/ Accessories</t>
  </si>
  <si>
    <t>Comm. RACK 27U w/ Accessories</t>
  </si>
  <si>
    <t>อุปกรณ์กระจายสัญญาณ L3 ,24SFP 10Gbe</t>
  </si>
  <si>
    <t>อุปกรณ์กระจายสัญญาณ L2 ,48P Gbe,2 SFP 10Gbe</t>
  </si>
  <si>
    <t>อุปกรณ์กระจายสัญญาณ L2 ,PoE 24P Gbe,2 SFP 10Gbe</t>
  </si>
  <si>
    <t>อุปกรณ์แปลงสัญญาณแสงแบบ SFP+ 10G SM</t>
  </si>
  <si>
    <t>อุปกรณ์สำรองไฟฟ้า UPS 1kVA ชนิดติดตั้งใน Rack สำหรับตู้ 27U</t>
  </si>
  <si>
    <t>อุปกรณ์สำรองไฟฟ้า UPS 2kVA ชนิดติดตั้งใน Rack สำหรับตู้ 42U</t>
  </si>
  <si>
    <t>อุปกรณ์ควบคุมและบริหารจัดการ Access Point พร้อม license</t>
  </si>
  <si>
    <t>อุปกรณ์กระจายสัญญาณไร้สายสำหรับภายในอาคาร (Wifi6) พร้อม License</t>
  </si>
  <si>
    <t>ผิวผนัง ฉาบปูนเรียบ กรุกระเบื้องพอร์ซเลน ขนาด 0.30X0.60 ม. (ผิวเรียบด้าน)</t>
  </si>
  <si>
    <t>ผนังก่ออิฐมวลเบา หนา 20 ซม.</t>
  </si>
  <si>
    <t xml:space="preserve">ลงชื่อ ....................................................................... ประธานกรรมการ   </t>
  </si>
  <si>
    <t>เงินล่วงหน้าจ่าย ..................0 %</t>
  </si>
  <si>
    <t>ภาษีมูลค่าเพิ่ม .....................7 %</t>
  </si>
  <si>
    <t>ราคาต่อหน่วย (บาท)</t>
  </si>
  <si>
    <t>งานทาสีอะคริลิคชนิดทาภายใน (ทารองพื้น 1 เที่ยว และทาสีจริง 2 เที่ยว)</t>
  </si>
  <si>
    <t>งานทาสีอะคริลิคชนิดทาภายนอก (ทารองพื้น 1 เที่ยว และทาสีจริง 2 เที่ยว)</t>
  </si>
  <si>
    <t>งานทาสีอะคริลิค ชนิดกันชื้น ฝ้าเพดาน ยิปซั่มบอร์ดหนา 9 มม. ฉาบเรียบ (ทารองพื้น 1 เที่ยว และทาสีจริง 2 เที่ยว)</t>
  </si>
  <si>
    <t>งานทาสีอะคริลิคฝ้าเพดาน ท้องพื้นฉาบเรียบ (ทารองพื้น 1 เที่ยว และทาสีจริง 2 เที่ยว)</t>
  </si>
  <si>
    <t>งานทาสีน้ำมัน (ทารองพื้น 1 เที่ยว และทาสีจริง 2 เที่ยว)</t>
  </si>
  <si>
    <t>งานท๊อปเคาน์เตอร์</t>
  </si>
  <si>
    <t>ราวบันไดเหล็กกลม Dia. 2"</t>
  </si>
  <si>
    <t>ราวบันไดเหล็กกลม</t>
  </si>
  <si>
    <t>ตะปู (คิด 25% ของไม้แบบทั้งหมด)</t>
  </si>
  <si>
    <t>ไม้คร่าวยึดไม้แบบ (คิด 30% ของไม้แบบ)</t>
  </si>
  <si>
    <t>ค่าแรงแบบหล่อคอนกรีต (คิด 100% )</t>
  </si>
  <si>
    <t>ค่าแรงแบบหล่อคอนกรีต (คิด 100%)</t>
  </si>
  <si>
    <t>ค่าแรงแบบหล่อคอนกรีต (คิด100%)</t>
  </si>
  <si>
    <t>โครงคร่าวกัลวาไนซ์ 74x34x4mm.thk (@=600x600mm.)</t>
  </si>
  <si>
    <t>งานสถาปัตยกรรม ชั้น (ดาดฟ้า)</t>
  </si>
  <si>
    <t>5.6.9</t>
  </si>
  <si>
    <t>ท่อ ค.ส.ล. (ชั้น 2)</t>
  </si>
  <si>
    <t>งานปลูกต้นไม้, ปูหญ้า และปรับแต่งสวน ชั้น 3</t>
  </si>
  <si>
    <t>งานปลูกต้นไม้, ปูหญ้า และปรับแต่งสวน ชั้น 4</t>
  </si>
  <si>
    <t>งานปลูกต้นไม้, ปูหญ้า และปรับแต่งสวน ชั้น 5</t>
  </si>
  <si>
    <t>งานปลูกต้นไม้, ปูหญ้า และปรับแต่งสวน ชั้น 2</t>
  </si>
  <si>
    <t>งานปลูกต้นไม้, ปูหญ้า และปรับแต่งสวน ชั้น 1</t>
  </si>
  <si>
    <t>งานปลูกต้นไม้, ปูหญ้า และปรับแต่งสวน</t>
  </si>
  <si>
    <t>งานปลูกต้นไม้, ปูหญ้า และปรับแต่งสวน ชั้น 6</t>
  </si>
  <si>
    <t>งานปลูกต้นไม้, ปูหญ้า และปรับแต่งสวน ชั้น 8</t>
  </si>
  <si>
    <t>งานปลูกต้นไม้, ปูหญ้า และปรับแต่งสวน ชั้น 9</t>
  </si>
  <si>
    <t>งานปลูกต้นไม้, ปูหญ้า และปรับแต่งสวน ชั้นดาดฟ้า</t>
  </si>
  <si>
    <t xml:space="preserve"> -  ขนาด 3.00 x 6.00 ม. ประกอบด้วย</t>
  </si>
  <si>
    <t xml:space="preserve"> -  ห้องทำงาน ห้องน้ำ พร้อมเครื่องปรับอากาศ</t>
  </si>
  <si>
    <t xml:space="preserve"> -  ค่าขนส่งและติดตั้ง/รื้อถอน</t>
  </si>
  <si>
    <t xml:space="preserve"> -  ตามอายุสัญญาก่อสร้างหักออก 2 เดือน</t>
  </si>
  <si>
    <t xml:space="preserve"> -  ค่าเช่ารวมพนักงานบังคับและพนักงานสัญญาณ</t>
  </si>
  <si>
    <t>ลิฟท์โดยสารชั่วคราว 1 ชุด (ใช้กับอาคาร 6 ชั้นขึ้นไป) 1 ตัวทุกความยาว/กว้าง อาคาร 40 ม.</t>
  </si>
  <si>
    <t>ยกเลิก</t>
  </si>
  <si>
    <t>แผงบังแดดอลูมิเนียม รูปทรงปีกเครื่องบิน (3.20 ม./แผ่น)</t>
  </si>
  <si>
    <t>จอ LED IPS อัตราส่วน 16:9 ขนาด 55" ชนิดขอบบาง</t>
  </si>
  <si>
    <t>พร้อมโฟมเส้น และซิลิโคนไร้กรด</t>
  </si>
  <si>
    <t>งานระแนงกล่องอลูมิเนียม 2"x4" (6.00 ม./เส้น)</t>
  </si>
  <si>
    <t>งานติดตั้งลิฟต์โดยสาร น้ำหนักบรรทุก 1,600 กก. สำหรับผู้โดยสาร 21 คน  PL-1</t>
  </si>
  <si>
    <t>งานติดตั้งลิฟต์โดยสาร น้ำหนักบรรทุก 1,600 กก. สำหรับผู้โดยสาร 21 คน  PL-2</t>
  </si>
  <si>
    <t>งานติดตั้งลิฟต์ดับเพลิง น้ำหนักบรรทุก 1,600 กก .สำหรับผู้โดยสาร 21 คน  FL-1</t>
  </si>
  <si>
    <t>ISOLATION JOINT</t>
  </si>
  <si>
    <t>เครื่องปรับอากาศคอยล์เย็น (FCU) ชนิดแขวนเพดานทิศทางเดียว ขนาด 9,950 BTU</t>
  </si>
  <si>
    <t>จากราคาสืบ 3 ราย และ ค่าแรงกรมบัญชีกลาง 2564</t>
  </si>
  <si>
    <t>เครื่องปรับอากาศคอยล์เย็น (FCU) ชนิดแขวนเพดานทิศทางเดียว ขนาด 12,700 BTU</t>
  </si>
  <si>
    <t>เครื่องปรับอากาศคอยล์เย็น (FCU) ชนิดแขวนเพดานสี่ทิศทางเล็ก ขนาด 21,500 BTU</t>
  </si>
  <si>
    <t>เครื่องปรับอากาศคอยล์เย็น (FCU) ชนิดแขวนเพดานสี่ทิศทาง ขนาด 24,950 BTU</t>
  </si>
  <si>
    <t>เครื่องปรับอากาศคอยล์เย็น (FCU) ชนิดแขวนเพดานสี่ทิศทาง ขนาด 32,000 BTU</t>
  </si>
  <si>
    <t>เครื่องปรับอากาศคอยล์เย็น (FCU) ชนิดแขวนเพดานสี่ทิศทาง ขนาด 37,600 BTU</t>
  </si>
  <si>
    <t>เครื่องปรับอากาศคอยล์เย็น (FCU) ชนิดแขวนเพดานสี่ทิศทาง ขนาด 48,000 BTU</t>
  </si>
  <si>
    <t>เครื่องปรับอากาศและเติมอากาศคอยล์เย็น (OAU) ขนาด 76,432 BTU</t>
  </si>
  <si>
    <t>เครื่องปรับอากาศเป่าลมคอยล์เย็น (AHU) ชนิดเปลือย ขนาด 160,000 BTU</t>
  </si>
  <si>
    <t>เครื่องปรับอากาศคอยล์ร้อน CDU-2-01 ขนาด 513,000 BTU</t>
  </si>
  <si>
    <t>เครื่องปรับอากาศคอยล์ร้อน CDU-3-01 ขนาด 276,400 BTU</t>
  </si>
  <si>
    <t>เครื่องปรับอากาศคอยล์ร้อน CDU-3-01 ขนาด 572,000 BTU</t>
  </si>
  <si>
    <t>เครื่องปรับอากาศคอยล์ร้อน CDU-4-01 ขนาด 513,000 BTU</t>
  </si>
  <si>
    <t>เครื่องปรับอากาศคอยล์ร้อน CDU-5-01 ขนาด 513,000 BTU</t>
  </si>
  <si>
    <t>เครื่องปรับอากาศคอยล์ร้อน CDU-6-01 ขนาด 513,000 BTU</t>
  </si>
  <si>
    <t>เครื่องปรับอากาศคอยล์ร้อน CDU-7-01 ขนาด 453,600 BTU</t>
  </si>
  <si>
    <t>เครื่องปรับอากาศคอยล์ร้อน CDU-8-01 ขนาด 433,900 BTU</t>
  </si>
  <si>
    <t>เครื่องปรับอากาศคอยล์ร้อน CDU-9-01 ขนาด 335,400 BTU</t>
  </si>
  <si>
    <t>เครื่องปรับอากาศคอยล์ร้อน CDU-OAU-01 ขนาด 197,200 BTU</t>
  </si>
  <si>
    <t>เครื่องปรับอากาศแบบแยกส่วน ชนิดแขวนเพดาน ขนาด 25,000 BTU</t>
  </si>
  <si>
    <t>จากราคาสืบ 3 ราย</t>
  </si>
  <si>
    <t>อุปกรณ์ข้อต่อทองแดงที่ใช้ในการติดตั้ง (ร้อยละ 30ของราคาท่อ และค่าแรง ร้อยละ30 ของราคาวัสดุ)</t>
  </si>
  <si>
    <t>งานกาวและเทปฉนวนยางดำ (ร้อยละ 15 ของราคาฉนวนหุ้มท่อ และค่าแรงร้อยละ 30 ของราคาวัสดุ)</t>
  </si>
  <si>
    <t>อุปกรณ์ข้อต่อ, ข้องอต่างๆ  (ร้อยละ40 ของราคาท่อและค่าแรง ร้อยละ30 ของราคาวัสดุ)</t>
  </si>
  <si>
    <t>งานทดสอบ,ทำความสะอาด,ทาสีและทำสัญลักษณ์ (ร้อยละ5ของราคาท่อและค่าแรง ร้อยละ30 ของราคาวัสดุ)</t>
  </si>
  <si>
    <t>อุปกรณ์ที่ใช้ในการติดตั้งแผ่นสังกะสี (ร้อยละ30ของราคาท่อ และค่าแรง ร้อยละ30 ของราคาวัสดุ)</t>
  </si>
  <si>
    <t>งานเบ็ดเตล็ด อุปกรณ์ที่ใช้ในการติดตั้งสายไฟ (ร้อยละ 5 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</si>
  <si>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</si>
  <si>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 xml:space="preserve">AUTOMATIC  AND MANUAL OPERATED WITH CONTROL </t>
  </si>
  <si>
    <t>PANEL AND ACCESSORIES</t>
  </si>
  <si>
    <t>ข้อต่อ ,ข้องอต่างๆ ท่อพีวีชี(PVC) ,ท่อพีบี (PB),ท่อพีพี(PP) ,ท่อเอชดีพีอี (HDPE) ค่าวัสดุ  ร้อยละ 40 ของราคาท่อ และ ค่าแรง ร้อยละ 30 ของราคาวัสดุ)</t>
  </si>
  <si>
    <t>อุปกรณ์ยึดและรองรับท่อ  (ร้อยละ 20 ของราคาท่อ และค่าแรง ร้อยละ 30 ของราคาวัสดุ)</t>
  </si>
  <si>
    <t>ค่าทดสอบ,ทำความสะอาด,ทาสีและทำสัญลักษณ์ (ร้อยละ 5ของราคาท่อ และค่าแรง ร้อยละ 30 ของราคาวัสดุ)</t>
  </si>
  <si>
    <t>งานอุปกรณ์หลักระบบ สุขาภิบาล</t>
  </si>
  <si>
    <t>ข้อต่อ, ข้องอต่างๆ ท่อพีวีชี (PVC) ,ท่อพีบี (PB),ท่อพีพี (PP) ,ท่อเอชดีพีอี (HDPE) ค่าวัสดุ  ร้อยละ 40 ของราคาท่อ และค่าแรง ร้อยละ 30 ของราคาวัสดุ)</t>
  </si>
  <si>
    <t>อุปกรณ์ยึดและรองรับท่อ  (ร้อยละ20 ของราคาท่อและค่าแรง ร้อยละ30 ของราคาวัสดุ)</t>
  </si>
  <si>
    <t>ค่าทดสอบ,ทำความสะอาด,ทาสีและทำสัญลักษณ์ (ร้อยละ5 ของราคาท่อ และค่าแรง ร้อยละ 30 ของราคาวัสดุ)</t>
  </si>
  <si>
    <t>ดอกเบี้ยเงินกู้ ......................7 %</t>
  </si>
  <si>
    <t>ส่วนงานที่ 3 ค่าใช้จ่ายพิเศษตามข้อกำหนด</t>
  </si>
  <si>
    <t>ป้องกันอาคารและพื้นที่โดยรอบ</t>
  </si>
  <si>
    <t>ตามข้อบังคับ</t>
  </si>
  <si>
    <t>สำนักงานสนาม</t>
  </si>
  <si>
    <t>ใช้ตู้คอนเทนเนอร์ จำนวน 2 หลัง จำนวน 28 เดือน</t>
  </si>
  <si>
    <t xml:space="preserve">คำนวนจากคนงานที่ต้องใช้ 60 คน </t>
  </si>
  <si>
    <t>ใช้รถบรรทุก 4 ล้อใหญ่ในการรับส่งคนงาน บรรทุกได้ 20 คน/เที่ยว</t>
  </si>
  <si>
    <t>เครื่องส่งคอนกรีตขณะเท (ปั๊มคอนกรีต) ให้ใช้เฉพาะงานโครงสร้างพื้น</t>
  </si>
  <si>
    <t>โครงเหล็ก 75x75x3.2 มม.</t>
  </si>
  <si>
    <t>โครงเหล็ก 100x100x3.2 มม.</t>
  </si>
  <si>
    <t>งานเหล็กพื้นที่ SERVICE ระบบ AHU</t>
  </si>
  <si>
    <t>งานเหล็กบันไดลิง</t>
  </si>
  <si>
    <t>โครงท่อเหล็ก 2"หนา 2.3 mm.</t>
  </si>
  <si>
    <t>โครงท่อเหล็ก 3"หนา 2.3 mm.</t>
  </si>
  <si>
    <t>Steel Plate 100x100x6 mm.</t>
  </si>
  <si>
    <t>Chemical Bolt M10x113 mm.</t>
  </si>
  <si>
    <t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t>
  </si>
  <si>
    <t>จากค่าวัสดุ ราคาสืบรวมค่าแรง cpac</t>
  </si>
  <si>
    <t>ค่าวัสดุ+ค่าแรงกรมบัญชีกลาง 2567</t>
  </si>
  <si>
    <t>งานปรับปรุงและก่อสร้าง</t>
  </si>
  <si>
    <t>(บาท)</t>
  </si>
  <si>
    <t>จากค่าวัสดุ+ค่าแรงกรมบัญชีกลาง 2566</t>
  </si>
  <si>
    <t>ค่าวัสดุ+ค่าแรงกรมบัญชีกลาง 2566</t>
  </si>
  <si>
    <t>ค่าวัสดุ+และค่าแรงกรมบัญชีกลาง 2566</t>
  </si>
  <si>
    <t>จากค่าวัสดุ+วัค่าแรงกรมบัญชีกลาง 2566</t>
  </si>
  <si>
    <t>วัสดุ+ค่าแรงกรมบัญชีกลาง 2566</t>
  </si>
  <si>
    <t>ค่าวัสดุ+ค่าแรงกรมบัญชีกลาง 2568</t>
  </si>
  <si>
    <t>ค่าวัสดุ+ค่าแรงกรมบัญชีกลาง 2569</t>
  </si>
  <si>
    <t>ค่าวัสดุ+ค่าแรงกรมบัญชีกลาง 2570</t>
  </si>
  <si>
    <t>ค่าวัสดุ+ค่าแรงกรมบัญชีกลาง 2571</t>
  </si>
  <si>
    <t>เดอะ คิง ศูนย์รวมวัสดุก่อสร้าง</t>
  </si>
  <si>
    <t>บ.เวลคราฟท์ โปรดัคส์</t>
  </si>
  <si>
    <t>ป้ายหน้าห้องงานระบบต่างๆ ขนาด 0.15 x 0.40 m. (บริเวณหน้าห้อง)</t>
  </si>
  <si>
    <t>ป้ายหน้าห้องงานระบบต่างๆ ขนาด 0.15 x 0.50 m. (บริเวณหน้าห้อง)</t>
  </si>
  <si>
    <t>ป้ายห้องคณบดี ขนาด 0.30 x 0.60 m.</t>
  </si>
  <si>
    <t>ป้ายห้องคณบดี ขนาด 0.20 x 0.60 m.</t>
  </si>
  <si>
    <t>ปช.รุ่งเรืองการโยธา จำกัด</t>
  </si>
  <si>
    <t>บริษัท ลัคกี้ อินเตอร์เนชั่นแนล (ประเทศไทย) จำกัด</t>
  </si>
  <si>
    <t>สยาม เอ็นจิเนียร์ ฟอรั่ม จำกัด</t>
  </si>
  <si>
    <t>บริษัท ปูนซีเมนต์ไทย (ท่าหลวง) จำกัด</t>
  </si>
  <si>
    <t>ป้ายห้องทฤษฎี , ห้องปฎิบัติการฯ และ ห้องคอมฯ ขนาด 0.30 x 0.25 m.</t>
  </si>
  <si>
    <t xml:space="preserve">ป้ายหน้าห้องงานระบบต่างๆ ขนาด 0.15 x 0.40 m. (บริเวณหน้าห้อง) </t>
  </si>
  <si>
    <t>ป้ายห้องทฤษฎี , ห้องปฎิบัติการฯ และ ห้องคอมฯ ขนาด 0.20 x 0.25 m.</t>
  </si>
  <si>
    <t>กระจกเงา M2 (1.35x3.20 ม.)</t>
  </si>
  <si>
    <t>ราคาสืบ+ค่าแรงกรมบัญชีกลาง 2566</t>
  </si>
  <si>
    <t>บ.เอสซีจี เซรามิกส์</t>
  </si>
  <si>
    <t>บริษัท เอ็ม.วี.พี.โฟร์สตาร์ส จำกัด</t>
  </si>
  <si>
    <t>ดินปลูก ถุงละ 15 กก.</t>
  </si>
  <si>
    <t>กระจกเงา M2 (1.35x4.50 ม.)</t>
  </si>
  <si>
    <t>กระจกเงา M2 (1.35x1.45 ม.)</t>
  </si>
  <si>
    <t>กระจกเงา M2 (1.35x2.70 ม.)</t>
  </si>
  <si>
    <t>จากค่าวัสดุและค่าแรงกรมบัญชีกลาง 2566</t>
  </si>
  <si>
    <t>บ.TYK</t>
  </si>
  <si>
    <t xml:space="preserve"> ราคาสืบ+ค่าแรงกรมบัญชีกลาง 2566</t>
  </si>
  <si>
    <t xml:space="preserve"> จากราคาสืบ+ของและแรง 3 ราย</t>
  </si>
  <si>
    <t>บริษัท วิสแพค จำกัด</t>
  </si>
  <si>
    <t>บริษัท เฟมไลน์ โปรดักส์ จำกัด</t>
  </si>
  <si>
    <t>บริษัท ไตรสิทธิ์ เทรดดิ้ง จำกัด</t>
  </si>
  <si>
    <t>บริษัท ไมโครไฟเบอร์อ ุตสาหกรรม จ ากัด</t>
  </si>
  <si>
    <t>จากราคาสืบ+ค่าแรงกรมบัญชีกลาง 2566</t>
  </si>
  <si>
    <t>บ.เซ็นเตอร์รุ่งเรือง จำกัด</t>
  </si>
  <si>
    <t>ลูกนอน+ลูกตั้ง ชานพักของบันได พื้นปูกระเบื้องพอร์ซเลน ขนาด 0.60x0.60 ม. (ผิวกันลื่น)</t>
  </si>
  <si>
    <t>บริษัท สโตนบิลด์จํากัด</t>
  </si>
  <si>
    <t>บ.กราเวียร์เทค จำกัด</t>
  </si>
  <si>
    <t>Sika (Thailand) Limited</t>
  </si>
  <si>
    <t>บริษัท ซีเอ็น จีดีไซน์แอนด์บิวด์ จำกัด</t>
  </si>
  <si>
    <t>โครงคร่าว ขนาด 1 1/4 x 1 1/4 หนา 1.5 มม. รองรับแผ่น</t>
  </si>
  <si>
    <t>ค่าแรงติดตั้ง เซาะพับและเชื่อมโครงเหล็ก(ไม่รวมติดโค้ง)</t>
  </si>
  <si>
    <t>บ.ซิกม่า แกรนิต แอนด์ แกรนิตโต้ จำกัด</t>
  </si>
  <si>
    <t>บริษัท แมทธ่า จำกัด</t>
  </si>
  <si>
    <t xml:space="preserve">จากค่าวัสดุสืบราคา </t>
  </si>
  <si>
    <t>บ.ซิมโฟร์ซอฟท์ จำกัด</t>
  </si>
  <si>
    <t>ค่าวัสดุและอุปกรณ์จากราคาสืบ+วัสดุมวลรวมและค่าแรง</t>
  </si>
  <si>
    <t>ราคาสืบวัสดุ+ค่าแรง 3 ราย</t>
  </si>
  <si>
    <t>ราคาสืบวัสดุ+ค่าแรงกรมบัญชีกลาง 2566</t>
  </si>
  <si>
    <t>ลูกนอน+ลูกตั้ง ของบันได พื้นปูกระเบื้องพอร์ซเลน ขนาด 0.60x0.60ม. (ผิวกันลื่น)</t>
  </si>
  <si>
    <t>ค่าแรงกรมบัญชีกลาง</t>
  </si>
  <si>
    <t>ลูกนอน บันไดไม้จริง หนา 1 นิ้ว</t>
  </si>
  <si>
    <t>ลูกตั้ง บันไดไม้จริง หนา 1 นิ้ว</t>
  </si>
  <si>
    <t>ขั้น</t>
  </si>
  <si>
    <t>จากค่าวัสดุราคาสืบ+ค่าแรงกรมบัญชีกลาง 2566</t>
  </si>
  <si>
    <t>บ.สยามอินเตอร์โปรดักส์ จำกัด</t>
  </si>
  <si>
    <t>กรุแผ่นซีเมนต์บอร์ดบนโครงเหล็ก ปิดผิวแผ่นพรมอะคูสติก ขนาด  0.50x0.50ม.(ไม่รวมโครงเหล็ก)</t>
  </si>
  <si>
    <t>บริษัท เฟิร์ส คอนซัลติ้ง จำกัด</t>
  </si>
  <si>
    <t>บ.ซูซูกะ อินเตอร์เนชั่นแนล</t>
  </si>
  <si>
    <t>บ.เวสเทิร์น เดคอร์ คอร์ปอเรชั่น จำกัด</t>
  </si>
  <si>
    <t>บ.โซลูแมท</t>
  </si>
  <si>
    <t>บ.เวลคราฟท์ โปรดัคส์ จำกัด</t>
  </si>
  <si>
    <t>ราคาสืบ+ของและค่าแรง 3 ราย</t>
  </si>
  <si>
    <t>บ.Panelesmatic</t>
  </si>
  <si>
    <t>บานเลื่อนกั้นห้อง (ภายใน)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</si>
  <si>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</si>
  <si>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</si>
  <si>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</si>
  <si>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</si>
  <si>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</si>
  <si>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</si>
  <si>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</si>
  <si>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</si>
  <si>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</si>
  <si>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บริษัท โปรปัมส์ เกรท คอนฟีเกอร์ จำกัด</t>
  </si>
  <si>
    <t>บริษัท โชคอุดม เทรดดิ้ง แอนด์ เซอร์วิส จำกัด</t>
  </si>
  <si>
    <t>บริษัท ประชา สยามภัณฑ์ จากัด</t>
  </si>
  <si>
    <t>บ.ซีเอสวีเอนเนอร์จี จำกัด</t>
  </si>
  <si>
    <t>บ.เกทเวย์</t>
  </si>
  <si>
    <t>โชคอุดม</t>
  </si>
  <si>
    <t xml:space="preserve">จากราคาสืบ 3 ราย </t>
  </si>
  <si>
    <t>บ.ไทศิลป์ อินทีเรีย จำกัด</t>
  </si>
  <si>
    <t>บ.เวอร์ค่อน (ประเทศไทย) จำกัด</t>
  </si>
  <si>
    <t xml:space="preserve">    กรมบัญชีกลาง กระทรวงกลางคลัง ใช้เผยแพร่ ฉบับปรับปรุง เดือน มีนาคม 2566</t>
  </si>
  <si>
    <t xml:space="preserve">    และสอดคล้องกับลักษณะงาน</t>
  </si>
  <si>
    <t>เมื่อเทียบกับมูลค่าวัสดุก่อสร้างรวมทั้งโครงการ ใช้ราคาต่ำสุดที่ได้จากข้อ 1, 2 และ3</t>
  </si>
  <si>
    <t>BTSS GROUP</t>
  </si>
  <si>
    <t>บ.พี เอฟ ทราฟฟิค จำกัด</t>
  </si>
  <si>
    <t>บ.วันชัยซัพพลาย จำกัด</t>
  </si>
  <si>
    <t>ST-5/ST-6</t>
  </si>
  <si>
    <t xml:space="preserve">              ( นายกรณ์พงศ์ ทองศรี)</t>
  </si>
  <si>
    <t xml:space="preserve">              ( ผศ.ดร.บูชิต มาโห้)</t>
  </si>
  <si>
    <t xml:space="preserve">              (นางสาวพิมพวรรณ ภักดีสุวรรณ)</t>
  </si>
  <si>
    <t>ตามสำนักงานนโยบายและยุทธศาสตร์การค้า กระทรวงพาณิชย์ เผยแพร่ เดือน พฤษภาคม พ.ศ. 2567</t>
  </si>
  <si>
    <t>รายการที่ข้อ1 ไม่มีเผยแพร่ ใช้ราคาวัสดุตามสำนักงานพาณิชย์จังหวัดใกล้เคียง เผยแพร่ เดือน พฤษภาคม พ.ศ. 2567</t>
  </si>
  <si>
    <t>ส่วนงานที่ 2 ค่างานครุภัณฑ์ สั่งซื้อ( จัดซื้อ )</t>
  </si>
  <si>
    <t>กลุ่มงานที่ 2 ครุภัณฑ์จัดจ้าง (สั่งทำ)</t>
  </si>
  <si>
    <t>งานภูมิสถาปัตยกรรม</t>
  </si>
  <si>
    <t>กลุ่มงานที่ 1 งานปรับปรุงและก่อสร้าง</t>
  </si>
  <si>
    <t>รวมราคาค่างาน ส่วนงานที่ 1 ค่างานต้นทุน (คำนวณในราคาทุน)</t>
  </si>
  <si>
    <t xml:space="preserve">โครงการก่อสร้างอาคารเรียนและปฏิบัติการคณะสถาปัตยกรรมศาสตร์และการออกแบบ ศูนย์พระนครเหนือ </t>
  </si>
  <si>
    <t>แขวงวงศ์สว่าง เขตบางซื่อ กรุงเทพมหานคร 1 หลัง</t>
  </si>
  <si>
    <t>กริลอากาศพร้อมฉนวนกันเสียง (เข้าและออก)</t>
  </si>
  <si>
    <t xml:space="preserve">เครื่องกำเนิดไฟฟ้าสำรองขนาด 125KVA พร้อมอุปกรณ์มาตรฐาน และฐาน คสล. </t>
  </si>
  <si>
    <t xml:space="preserve">              (นายพัฒน์กฤษติ์ ตระกูลฉวี)</t>
  </si>
  <si>
    <t xml:space="preserve">              (นางสาวสุดารัตน์ ทิพย์ทวีชัย)</t>
  </si>
  <si>
    <t>บริษัท เบญจมาศแลนด์สเคป จำกัด</t>
  </si>
  <si>
    <t>งานระบบป้องกันดินพัง ใช้ SHEET PILE Type 3 ขนาด 16 ม.คิดรวม Bracing ค้ำยัน และค่าบริการติดตั้ง</t>
  </si>
  <si>
    <t>Hirose</t>
  </si>
  <si>
    <t>บริษัท ดับบลิว ซอยล์เทสติ้ง จำกัด</t>
  </si>
  <si>
    <t>จากค่าวัสดุกระทรวงพาณิชย์กรมบัญชีกลาง 2566</t>
  </si>
  <si>
    <t>จากราคาสืบ+ค่าแรง</t>
  </si>
  <si>
    <t>งานครุภัณฑ์งานระบบปรับอากาศและระบายอากาศ</t>
  </si>
  <si>
    <t>วัสดุอยู่ในครุภัณฑ์</t>
  </si>
  <si>
    <t>เครื่องปรับอากาศแบบรวมศูนย์</t>
  </si>
  <si>
    <t>เครื่องปรับอากาศแบบแยกส่วน</t>
  </si>
  <si>
    <t>ส่วนงานที่ 2 ค่างานครุภัณฑ์สั่งซื้อ (จัดซื้อ)</t>
  </si>
  <si>
    <t>งานครุภัณฑ์สำนักงาน</t>
  </si>
  <si>
    <t>งานครุภัณฑ์สำนักงาน ชั้น 2</t>
  </si>
  <si>
    <t>งานครุภัณฑ์สำนักงาน ชั้น 3</t>
  </si>
  <si>
    <t>งานครุภัณฑ์สำนักงาน ชั้น 4</t>
  </si>
  <si>
    <t>งานครุภัณฑ์สำนักงาน ชั้น 5</t>
  </si>
  <si>
    <t>งานครุภัณฑ์สำนักงาน ชั้น 6</t>
  </si>
  <si>
    <t>งานครุภัณฑ์สำนักงาน ชั้น 7</t>
  </si>
  <si>
    <t>งานครุภัณฑ์สำนักงาน ชั้น 8</t>
  </si>
  <si>
    <t>งานครุภัณฑ์สำนักงาน ชั้น 9</t>
  </si>
  <si>
    <t>งานครุภัณฑ์ระบบภาพและเสียง</t>
  </si>
  <si>
    <t>งานครุภัณฑ์ระบบกล้องวงจรปิด (รักษาความปลอดภัย)</t>
  </si>
  <si>
    <t>งานครุภัณฑ์จัดจ้างหรือสั่งทำ (เฟอร์นิเจอร์บิ้วอิน)</t>
  </si>
  <si>
    <t>งานครุภัณฑ์จัดจ้างหรือสั่งทำ (เฟอร์นิเจอร์บิ้วอิน) ชั้น 1</t>
  </si>
  <si>
    <t>งานครุภัณฑ์จัดจ้างหรือสั่งทำ (เฟอร์นิเจอร์บิ้วอิน) ชั้น 2</t>
  </si>
  <si>
    <t>งานครุภัณฑ์จัดจ้างหรือสั่งทำ (เฟอร์นิเจอร์บิ้วอิน) ชั้น 3</t>
  </si>
  <si>
    <t>งานครุภัณฑ์จัดจ้างหรือสั่งทำ (เฟอร์นิเจอร์บิ้วอิน) ชั้น 4</t>
  </si>
  <si>
    <t>งานครุภัณฑ์จัดจ้างหรือสั่งทำ (เฟอร์นิเจอร์บิ้วอิน) ชั้น 5</t>
  </si>
  <si>
    <t>งานครุภัณฑ์จัดจ้างหรือสั่งทำ (เฟอร์นิเจอร์บิ้วอิน) ชั้น 6</t>
  </si>
  <si>
    <t>งานครุภัณฑ์จัดจ้างหรือสั่งทำ (เฟอร์นิเจอร์บิ้วอิน) ชั้น 7</t>
  </si>
  <si>
    <t>งานครุภัณฑ์จัดจ้างหรือสั่งทำ (เฟอร์นิเจอร์บิ้วอิน) ชั้น 8</t>
  </si>
  <si>
    <t>งานครุภัณฑ์จัดจ้างหรือสั่งทำ (เฟอร์นิเจอร์บิ้วอิน) ชั้น 9</t>
  </si>
  <si>
    <t>งานม่าน</t>
  </si>
  <si>
    <t>7.2.2</t>
  </si>
  <si>
    <t>7.2.3</t>
  </si>
  <si>
    <t>7.2.4</t>
  </si>
  <si>
    <t>7.2.5</t>
  </si>
  <si>
    <t>7.2.6</t>
  </si>
  <si>
    <t>7.2.7</t>
  </si>
  <si>
    <t>7.2.8</t>
  </si>
  <si>
    <t xml:space="preserve">งานป้ายอาคาร </t>
  </si>
  <si>
    <t>ส่วนงานที่ 2 ค่างานครุภัณฑ์สั่งซื้อ ( จัดซื้อ )</t>
  </si>
  <si>
    <t>งานครุภัณฑ์ระบบลิฟต์</t>
  </si>
  <si>
    <t>เพิ่มใน TOR เพื่อกำหนดให้ผู้รับจ้างรับผิดชอบค่าขนย้าย</t>
  </si>
  <si>
    <t>เงินประกันผลงานหัก ..........0 %</t>
  </si>
  <si>
    <t>ลงชื่อ ..................................................................... กรรมการ</t>
  </si>
  <si>
    <t xml:space="preserve"> -  ตลอดอายุสัญญา 30 เดือน</t>
  </si>
  <si>
    <t xml:space="preserve">เดิม 800 บาท </t>
  </si>
  <si>
    <t>https://captainmove.com/rate-price/</t>
  </si>
  <si>
    <t xml:space="preserve">ลงชื่อ ..................................................................... กรรมการ </t>
  </si>
  <si>
    <t>เดิม 7920 เผื่ออีก 0.25</t>
  </si>
  <si>
    <t xml:space="preserve">ลงชื่อ ..................................................................... กรรมการร   </t>
  </si>
  <si>
    <t>คำนวณราคากลาง   เมื่อวันที่ 16  เดือน สิงหาคม พ.ศ. 2567</t>
  </si>
  <si>
    <t>-1518.53</t>
  </si>
  <si>
    <t>ปรับปรุงรายการวงเงิน (ปัดเศษ)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</si>
</sst>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8" formatCode="&quot;฿&quot;#,##0.00;[Red]\-&quot;฿&quot;#,##0.00"/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-* #,##0_-;\-* #,##0_-;_-* &quot;-&quot;??_-;_-@_-"/>
    <numFmt numFmtId="168" formatCode="[$-107041E]d\ mmm\ yy;@"/>
    <numFmt numFmtId="169" formatCode="_(* #,##0.0000_);_(* \(#,##0.0000\);_(* &quot;-&quot;??_);_(@_)"/>
    <numFmt numFmtId="170" formatCode="General_)"/>
    <numFmt numFmtId="171" formatCode="#,##0.000000&quot; &quot;"/>
    <numFmt numFmtId="172" formatCode="dd\-mm\-yy"/>
    <numFmt numFmtId="173" formatCode="#,###&quot;   &quot;"/>
    <numFmt numFmtId="174" formatCode="&quot;฿&quot;\t#,##0_);\(&quot;฿&quot;\t#,##0\)"/>
    <numFmt numFmtId="175" formatCode="\t0.00E+00"/>
    <numFmt numFmtId="176" formatCode="#,##0.0_);\(#,##0.0\)"/>
    <numFmt numFmtId="177" formatCode="_(&quot;$&quot;* #,##0.000_);_(&quot;$&quot;* \(#,##0.000\);_(&quot;$&quot;* &quot;-&quot;??_);_(@_)"/>
    <numFmt numFmtId="178" formatCode="0.0&quot;  &quot;"/>
    <numFmt numFmtId="179" formatCode="0.00_)"/>
    <numFmt numFmtId="180" formatCode="#,##0;\(#,##0\)"/>
    <numFmt numFmtId="181" formatCode="\$#,##0.00;\(\$#,##0.00\)"/>
    <numFmt numFmtId="182" formatCode="\$#,##0;\(\$#,##0\)"/>
    <numFmt numFmtId="183" formatCode="_-* #,##0.00000_-;\-* #,##0.00000_-;_-* &quot;-&quot;?????_-;_-@_-"/>
    <numFmt numFmtId="184" formatCode="m/d/yy\ hh:mm"/>
    <numFmt numFmtId="185" formatCode="_(&quot;$&quot;* #,##0.0000_);_(&quot;$&quot;* \(#,##0.0000\);_(&quot;$&quot;* &quot;-&quot;??_);_(@_)"/>
    <numFmt numFmtId="186" formatCode="_ * #,##0_ ;_ * \-#,##0_ ;_ * \-_ ;_ @_ "/>
    <numFmt numFmtId="187" formatCode="_ * #,##0.00_ ;_ * \-#,##0.00_ ;_ * \-??_ ;_ @_ "/>
    <numFmt numFmtId="188" formatCode="_ &quot;F &quot;* #,##0_ ;_ &quot;F &quot;* \-#,##0_ ;_ &quot;F &quot;* \-_ ;_ @_ "/>
    <numFmt numFmtId="189" formatCode="_ &quot;F &quot;* #,##0.00_ ;_ &quot;F &quot;* \-#,##0.00_ ;_ &quot;F &quot;* \-??_ ;_ @_ "/>
    <numFmt numFmtId="190" formatCode="_(* #,##0.0_);_(* \(#,##0.0\);_(* &quot;-&quot;??_);_(@_)"/>
    <numFmt numFmtId="191" formatCode="&quot; &quot;#,##0.0&quot; &quot;;&quot;-&quot;#,##0.0&quot; &quot;;&quot; -&quot;00&quot; &quot;;&quot; &quot;@&quot; &quot;"/>
    <numFmt numFmtId="192" formatCode="_-* #,##0.0_-;\-* #,##0.0_-;_-* &quot;-&quot;??_-;_-@_-"/>
    <numFmt numFmtId="193" formatCode="_-* #,##0.0_-;\-* #,##0.0_-;_-* &quot;-&quot;?_-;_-@_-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4"/>
      <name val="Cordia New"/>
      <family val="2"/>
    </font>
    <font>
      <b/>
      <sz val="14"/>
      <name val="Cordia New"/>
      <family val="2"/>
    </font>
    <font>
      <b/>
      <sz val="18"/>
      <name val="Cordia New"/>
      <family val="2"/>
    </font>
    <font>
      <b/>
      <u/>
      <sz val="14"/>
      <name val="Cordia New"/>
      <family val="2"/>
    </font>
    <font>
      <b/>
      <u/>
      <sz val="16"/>
      <name val="Cordia New"/>
      <family val="2"/>
    </font>
    <font>
      <sz val="16"/>
      <name val="Cordia New"/>
      <family val="2"/>
    </font>
    <font>
      <b/>
      <sz val="16"/>
      <name val="Cordia New"/>
      <family val="2"/>
    </font>
    <font>
      <sz val="14"/>
      <color indexed="10"/>
      <name val="Cordia New"/>
      <family val="2"/>
    </font>
    <font>
      <sz val="20"/>
      <name val="Cordia New"/>
      <family val="2"/>
    </font>
    <font>
      <b/>
      <sz val="20"/>
      <name val="Cordia New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8"/>
      <name val="Arial"/>
      <family val="2"/>
    </font>
    <font>
      <sz val="16"/>
      <name val="CordiaUPC"/>
      <family val="2"/>
    </font>
    <font>
      <sz val="16"/>
      <name val="AngsanaUPC"/>
      <family val="1"/>
    </font>
    <font>
      <sz val="14"/>
      <name val="AngsanaUPC"/>
      <family val="1"/>
      <charset val="222"/>
    </font>
    <font>
      <sz val="16"/>
      <name val="AngsanaUPC"/>
      <family val="1"/>
      <charset val="222"/>
    </font>
    <font>
      <sz val="14"/>
      <name val="SV Rojchana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b/>
      <sz val="14"/>
      <name val="Angsana New"/>
      <family val="1"/>
      <charset val="22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2"/>
      <name val="Helv"/>
    </font>
    <font>
      <sz val="12"/>
      <name val="EucrosiaUPC"/>
      <family val="1"/>
      <charset val="222"/>
    </font>
    <font>
      <sz val="16"/>
      <name val="CordiaUPC"/>
      <family val="2"/>
      <charset val="222"/>
    </font>
    <font>
      <sz val="10"/>
      <name val="Times New Roman"/>
      <family val="1"/>
    </font>
    <font>
      <sz val="12"/>
      <name val="Arial"/>
      <family val="2"/>
    </font>
    <font>
      <sz val="10"/>
      <color indexed="8"/>
      <name val="Arial"/>
      <family val="2"/>
    </font>
    <font>
      <b/>
      <sz val="14"/>
      <name val="AngsanaUPC"/>
      <family val="1"/>
      <charset val="22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  <charset val="222"/>
    </font>
    <font>
      <sz val="7"/>
      <name val="Small Fonts"/>
      <family val="2"/>
    </font>
    <font>
      <b/>
      <sz val="12"/>
      <name val="Tms Rmn"/>
      <family val="1"/>
    </font>
    <font>
      <sz val="14"/>
      <name val="Cordia New"/>
      <family val="3"/>
    </font>
    <font>
      <i/>
      <sz val="10"/>
      <color indexed="10"/>
      <name val="Futura Bk BT"/>
      <family val="2"/>
    </font>
    <font>
      <sz val="10"/>
      <name val="Futura Bk BT"/>
      <family val="2"/>
    </font>
    <font>
      <b/>
      <i/>
      <sz val="18"/>
      <color indexed="28"/>
      <name val="AngsanaUPC"/>
      <family val="1"/>
    </font>
    <font>
      <u/>
      <sz val="14"/>
      <color indexed="12"/>
      <name val="Cordia New"/>
      <family val="2"/>
      <charset val="222"/>
    </font>
    <font>
      <u/>
      <sz val="14"/>
      <color indexed="36"/>
      <name val="Cordia New"/>
      <family val="2"/>
      <charset val="222"/>
    </font>
    <font>
      <sz val="12"/>
      <name val="Tms Rmn"/>
      <family val="1"/>
    </font>
    <font>
      <sz val="16"/>
      <color indexed="8"/>
      <name val="AngsanaUPC"/>
      <family val="2"/>
      <charset val="22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sz val="16"/>
      <color theme="1"/>
      <name val="AngsanaUPC"/>
      <family val="2"/>
      <charset val="222"/>
    </font>
    <font>
      <sz val="11"/>
      <color theme="1"/>
      <name val="Calibri"/>
      <family val="2"/>
      <scheme val="minor"/>
    </font>
    <font>
      <sz val="16"/>
      <name val="TH SarabunPSK"/>
      <family val="2"/>
    </font>
    <font>
      <b/>
      <sz val="16"/>
      <name val="TH SarabunPSK"/>
      <family val="2"/>
    </font>
    <font>
      <sz val="8"/>
      <name val="Arial"/>
      <family val="2"/>
    </font>
    <font>
      <b/>
      <sz val="18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sz val="18"/>
      <name val="TH Sarabun New"/>
      <family val="2"/>
    </font>
    <font>
      <b/>
      <u/>
      <sz val="16"/>
      <name val="TH Sarabun New"/>
      <family val="2"/>
    </font>
    <font>
      <b/>
      <sz val="20"/>
      <name val="TH Sarabun New"/>
      <family val="2"/>
    </font>
    <font>
      <b/>
      <u val="singleAccounting"/>
      <sz val="16"/>
      <name val="TH Sarabun New"/>
      <family val="2"/>
    </font>
    <font>
      <sz val="16"/>
      <color indexed="10"/>
      <name val="TH Sarabun New"/>
      <family val="2"/>
    </font>
    <font>
      <u/>
      <sz val="16"/>
      <name val="TH Sarabun New"/>
      <family val="2"/>
    </font>
    <font>
      <sz val="16"/>
      <color rgb="FFFFFF00"/>
      <name val="TH Sarabun New"/>
      <family val="2"/>
    </font>
    <font>
      <u/>
      <sz val="16"/>
      <color rgb="FFFFFF00"/>
      <name val="TH Sarabun New"/>
      <family val="2"/>
    </font>
    <font>
      <b/>
      <sz val="16"/>
      <color rgb="FFFFFF00"/>
      <name val="TH Sarabun New"/>
      <family val="2"/>
    </font>
    <font>
      <b/>
      <sz val="16"/>
      <color rgb="FFFF0000"/>
      <name val="TH Sarabun New"/>
      <family val="2"/>
    </font>
    <font>
      <sz val="16"/>
      <color indexed="30"/>
      <name val="TH Sarabun New"/>
      <family val="2"/>
    </font>
    <font>
      <b/>
      <sz val="24"/>
      <name val="TH Sarabun New"/>
      <family val="2"/>
    </font>
    <font>
      <b/>
      <sz val="26"/>
      <name val="TH Sarabun New"/>
      <family val="2"/>
    </font>
    <font>
      <b/>
      <sz val="16"/>
      <name val="TH Sarabun New"/>
      <family val="2"/>
      <charset val="222"/>
    </font>
    <font>
      <sz val="16"/>
      <name val="TH Sarabun New"/>
      <family val="2"/>
      <charset val="222"/>
    </font>
    <font>
      <sz val="16"/>
      <color rgb="FFFF0000"/>
      <name val="TH Sarabun New"/>
      <family val="2"/>
    </font>
    <font>
      <b/>
      <sz val="18"/>
      <name val="TH Sarabun New"/>
      <family val="2"/>
      <charset val="222"/>
    </font>
    <font>
      <sz val="16"/>
      <color rgb="FFFF0000"/>
      <name val="TH Sarabun New"/>
      <family val="2"/>
      <charset val="222"/>
    </font>
    <font>
      <b/>
      <sz val="18"/>
      <color theme="1"/>
      <name val="TH Sarabun New"/>
      <family val="2"/>
    </font>
    <font>
      <sz val="16"/>
      <color theme="1"/>
      <name val="TH Sarabun New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 New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8"/>
      <name val="TH SarabunPSK"/>
      <family val="2"/>
    </font>
    <font>
      <sz val="16"/>
      <color rgb="FFFF0000"/>
      <name val="TH SarabunPSK"/>
      <family val="2"/>
    </font>
    <font>
      <sz val="16"/>
      <color indexed="10"/>
      <name val="TH SarabunPSK"/>
      <family val="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b/>
      <u/>
      <sz val="16"/>
      <color rgb="FFFF0000"/>
      <name val="TH Sarabun New"/>
      <family val="2"/>
    </font>
    <font>
      <b/>
      <sz val="16"/>
      <color rgb="FFFF0000"/>
      <name val="TH Sarabun New"/>
      <family val="2"/>
      <charset val="222"/>
    </font>
    <font>
      <sz val="14"/>
      <name val="TH Sarabun New"/>
      <family val="2"/>
    </font>
    <font>
      <sz val="18"/>
      <name val="TH Sarabun New"/>
      <family val="2"/>
      <charset val="22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727">
    <xf numFmtId="0" fontId="0" fillId="0" borderId="0"/>
    <xf numFmtId="0" fontId="22" fillId="0" borderId="0">
      <alignment vertical="center"/>
    </xf>
    <xf numFmtId="17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" fontId="23" fillId="0" borderId="0" applyFont="0" applyFill="0" applyBorder="0" applyAlignment="0" applyProtection="0"/>
    <xf numFmtId="17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3" fontId="20" fillId="0" borderId="0" applyFont="0" applyFill="0" applyBorder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0" fontId="26" fillId="0" borderId="0"/>
    <xf numFmtId="0" fontId="27" fillId="0" borderId="0"/>
    <xf numFmtId="9" fontId="4" fillId="2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8" fillId="0" borderId="1" applyNumberFormat="0" applyFont="0" applyBorder="0" applyAlignment="0" applyProtection="0"/>
    <xf numFmtId="0" fontId="29" fillId="3" borderId="2">
      <alignment horizontal="centerContinuous" vertical="top"/>
    </xf>
    <xf numFmtId="0" fontId="4" fillId="0" borderId="0" applyFill="0" applyBorder="0" applyAlignment="0"/>
    <xf numFmtId="176" fontId="23" fillId="0" borderId="0" applyFill="0" applyBorder="0" applyAlignment="0"/>
    <xf numFmtId="0" fontId="30" fillId="0" borderId="0" applyFill="0" applyBorder="0" applyAlignment="0"/>
    <xf numFmtId="0" fontId="31" fillId="0" borderId="0" applyFill="0" applyBorder="0" applyAlignment="0"/>
    <xf numFmtId="0" fontId="31" fillId="0" borderId="0" applyFill="0" applyBorder="0" applyAlignment="0"/>
    <xf numFmtId="177" fontId="20" fillId="0" borderId="0" applyFill="0" applyBorder="0" applyAlignment="0"/>
    <xf numFmtId="178" fontId="24" fillId="0" borderId="0" applyFill="0" applyBorder="0" applyAlignment="0"/>
    <xf numFmtId="176" fontId="23" fillId="0" borderId="0" applyFill="0" applyBorder="0" applyAlignment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179" fontId="32" fillId="0" borderId="0"/>
    <xf numFmtId="38" fontId="3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35" fillId="0" borderId="0"/>
    <xf numFmtId="0" fontId="29" fillId="3" borderId="2">
      <alignment horizontal="centerContinuous" vertical="top"/>
    </xf>
    <xf numFmtId="176" fontId="2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35" fillId="0" borderId="0"/>
    <xf numFmtId="0" fontId="36" fillId="0" borderId="0" applyProtection="0"/>
    <xf numFmtId="14" fontId="37" fillId="0" borderId="0" applyFill="0" applyBorder="0" applyAlignment="0"/>
    <xf numFmtId="15" fontId="38" fillId="4" borderId="0">
      <alignment horizontal="centerContinuous"/>
    </xf>
    <xf numFmtId="182" fontId="35" fillId="0" borderId="0"/>
    <xf numFmtId="177" fontId="20" fillId="0" borderId="0" applyFill="0" applyBorder="0" applyAlignment="0"/>
    <xf numFmtId="176" fontId="23" fillId="0" borderId="0" applyFill="0" applyBorder="0" applyAlignment="0"/>
    <xf numFmtId="177" fontId="20" fillId="0" borderId="0" applyFill="0" applyBorder="0" applyAlignment="0"/>
    <xf numFmtId="178" fontId="24" fillId="0" borderId="0" applyFill="0" applyBorder="0" applyAlignment="0"/>
    <xf numFmtId="176" fontId="23" fillId="0" borderId="0" applyFill="0" applyBorder="0" applyAlignment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3" fontId="41" fillId="0" borderId="0" applyFont="0" applyFill="0" applyBorder="0" applyAlignment="0" applyProtection="0"/>
    <xf numFmtId="2" fontId="36" fillId="0" borderId="0" applyProtection="0"/>
    <xf numFmtId="38" fontId="17" fillId="3" borderId="0" applyNumberFormat="0" applyBorder="0" applyAlignment="0" applyProtection="0"/>
    <xf numFmtId="0" fontId="42" fillId="0" borderId="3" applyNumberFormat="0" applyAlignment="0" applyProtection="0">
      <alignment horizontal="left" vertical="center"/>
    </xf>
    <xf numFmtId="0" fontId="42" fillId="0" borderId="4">
      <alignment horizontal="left" vertical="center"/>
    </xf>
    <xf numFmtId="0" fontId="43" fillId="0" borderId="0" applyProtection="0"/>
    <xf numFmtId="0" fontId="42" fillId="0" borderId="0" applyProtection="0"/>
    <xf numFmtId="0" fontId="3" fillId="0" borderId="0" applyNumberFormat="0" applyFill="0" applyBorder="0" applyAlignment="0" applyProtection="0">
      <alignment vertical="top"/>
      <protection locked="0"/>
    </xf>
    <xf numFmtId="10" fontId="17" fillId="5" borderId="5" applyNumberFormat="0" applyBorder="0" applyAlignment="0" applyProtection="0"/>
    <xf numFmtId="177" fontId="20" fillId="0" borderId="0" applyFill="0" applyBorder="0" applyAlignment="0"/>
    <xf numFmtId="176" fontId="23" fillId="0" borderId="0" applyFill="0" applyBorder="0" applyAlignment="0"/>
    <xf numFmtId="177" fontId="20" fillId="0" borderId="0" applyFill="0" applyBorder="0" applyAlignment="0"/>
    <xf numFmtId="178" fontId="24" fillId="0" borderId="0" applyFill="0" applyBorder="0" applyAlignment="0"/>
    <xf numFmtId="176" fontId="23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1" fillId="0" borderId="0" applyFont="0" applyFill="0" applyBorder="0" applyAlignment="0" applyProtection="0"/>
    <xf numFmtId="37" fontId="45" fillId="0" borderId="0"/>
    <xf numFmtId="183" fontId="20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3" fillId="0" borderId="0"/>
    <xf numFmtId="0" fontId="63" fillId="0" borderId="0"/>
    <xf numFmtId="0" fontId="4" fillId="0" borderId="0"/>
    <xf numFmtId="0" fontId="62" fillId="0" borderId="0"/>
    <xf numFmtId="0" fontId="5" fillId="0" borderId="0"/>
    <xf numFmtId="0" fontId="62" fillId="0" borderId="0"/>
    <xf numFmtId="0" fontId="4" fillId="0" borderId="0"/>
    <xf numFmtId="0" fontId="5" fillId="0" borderId="0"/>
    <xf numFmtId="0" fontId="64" fillId="0" borderId="0"/>
    <xf numFmtId="0" fontId="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4" fillId="0" borderId="0"/>
    <xf numFmtId="0" fontId="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63" fillId="0" borderId="0"/>
    <xf numFmtId="0" fontId="63" fillId="0" borderId="0"/>
    <xf numFmtId="0" fontId="4" fillId="0" borderId="0"/>
    <xf numFmtId="0" fontId="19" fillId="0" borderId="0"/>
    <xf numFmtId="0" fontId="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7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1" fillId="0" borderId="0" applyFont="0" applyFill="0" applyBorder="0" applyAlignment="0" applyProtection="0"/>
    <xf numFmtId="177" fontId="20" fillId="0" borderId="0" applyFill="0" applyBorder="0" applyAlignment="0"/>
    <xf numFmtId="176" fontId="23" fillId="0" borderId="0" applyFill="0" applyBorder="0" applyAlignment="0"/>
    <xf numFmtId="177" fontId="20" fillId="0" borderId="0" applyFill="0" applyBorder="0" applyAlignment="0"/>
    <xf numFmtId="178" fontId="24" fillId="0" borderId="0" applyFill="0" applyBorder="0" applyAlignment="0"/>
    <xf numFmtId="176" fontId="23" fillId="0" borderId="0" applyFill="0" applyBorder="0" applyAlignment="0"/>
    <xf numFmtId="0" fontId="48" fillId="0" borderId="5">
      <alignment horizontal="center" vertical="center"/>
    </xf>
    <xf numFmtId="0" fontId="49" fillId="0" borderId="6" applyBorder="0">
      <alignment vertical="top"/>
      <protection locked="0"/>
    </xf>
    <xf numFmtId="0" fontId="50" fillId="2" borderId="0"/>
    <xf numFmtId="0" fontId="2" fillId="0" borderId="0"/>
    <xf numFmtId="0" fontId="4" fillId="0" borderId="0"/>
    <xf numFmtId="0" fontId="57" fillId="0" borderId="0"/>
    <xf numFmtId="0" fontId="4" fillId="0" borderId="0"/>
    <xf numFmtId="0" fontId="58" fillId="0" borderId="0"/>
    <xf numFmtId="49" fontId="37" fillId="0" borderId="0" applyFill="0" applyBorder="0" applyAlignment="0"/>
    <xf numFmtId="0" fontId="31" fillId="0" borderId="0" applyFill="0" applyBorder="0" applyAlignment="0"/>
    <xf numFmtId="0" fontId="31" fillId="0" borderId="0" applyFill="0" applyBorder="0" applyAlignment="0"/>
    <xf numFmtId="0" fontId="46" fillId="0" borderId="0"/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2" fontId="4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8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18" fillId="0" borderId="0"/>
    <xf numFmtId="0" fontId="5" fillId="0" borderId="0"/>
    <xf numFmtId="0" fontId="4" fillId="0" borderId="0"/>
    <xf numFmtId="186" fontId="30" fillId="0" borderId="0" applyFill="0" applyBorder="0" applyAlignment="0" applyProtection="0"/>
    <xf numFmtId="187" fontId="30" fillId="0" borderId="0" applyFill="0" applyBorder="0" applyAlignment="0" applyProtection="0"/>
    <xf numFmtId="188" fontId="30" fillId="0" borderId="0" applyFill="0" applyBorder="0" applyAlignment="0" applyProtection="0"/>
    <xf numFmtId="189" fontId="30" fillId="0" borderId="0" applyFill="0" applyBorder="0" applyAlignment="0" applyProtection="0"/>
    <xf numFmtId="0" fontId="30" fillId="0" borderId="0"/>
    <xf numFmtId="0" fontId="35" fillId="0" borderId="0"/>
    <xf numFmtId="37" fontId="53" fillId="0" borderId="0"/>
    <xf numFmtId="0" fontId="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9" fontId="2" fillId="2" borderId="0"/>
    <xf numFmtId="0" fontId="2" fillId="0" borderId="0" applyFill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30">
    <xf numFmtId="0" fontId="0" fillId="0" borderId="0" xfId="0"/>
    <xf numFmtId="165" fontId="5" fillId="0" borderId="7" xfId="1446" applyNumberFormat="1" applyFont="1" applyBorder="1"/>
    <xf numFmtId="165" fontId="5" fillId="0" borderId="0" xfId="1446" applyNumberFormat="1" applyFont="1"/>
    <xf numFmtId="164" fontId="6" fillId="6" borderId="8" xfId="1446" applyFont="1" applyFill="1" applyBorder="1" applyAlignment="1">
      <alignment vertical="center"/>
    </xf>
    <xf numFmtId="164" fontId="6" fillId="0" borderId="9" xfId="1446" applyFont="1" applyBorder="1" applyAlignment="1">
      <alignment horizontal="center"/>
    </xf>
    <xf numFmtId="165" fontId="6" fillId="0" borderId="10" xfId="1446" applyNumberFormat="1" applyFont="1" applyBorder="1"/>
    <xf numFmtId="164" fontId="6" fillId="0" borderId="10" xfId="1446" applyFont="1" applyBorder="1"/>
    <xf numFmtId="164" fontId="6" fillId="0" borderId="11" xfId="1446" applyFont="1" applyBorder="1" applyAlignment="1">
      <alignment vertical="top"/>
    </xf>
    <xf numFmtId="3" fontId="5" fillId="0" borderId="11" xfId="955" applyNumberFormat="1" applyFont="1" applyBorder="1" applyAlignment="1">
      <alignment vertical="top" wrapText="1"/>
    </xf>
    <xf numFmtId="165" fontId="9" fillId="7" borderId="12" xfId="1446" applyNumberFormat="1" applyFont="1" applyFill="1" applyBorder="1"/>
    <xf numFmtId="164" fontId="5" fillId="0" borderId="0" xfId="1446" applyFont="1"/>
    <xf numFmtId="0" fontId="5" fillId="0" borderId="7" xfId="953" applyFont="1" applyBorder="1"/>
    <xf numFmtId="0" fontId="5" fillId="0" borderId="13" xfId="953" applyFont="1" applyBorder="1"/>
    <xf numFmtId="0" fontId="5" fillId="0" borderId="0" xfId="953" applyFont="1"/>
    <xf numFmtId="0" fontId="5" fillId="0" borderId="0" xfId="953" applyFont="1" applyAlignment="1">
      <alignment vertical="center"/>
    </xf>
    <xf numFmtId="168" fontId="6" fillId="6" borderId="14" xfId="953" applyNumberFormat="1" applyFont="1" applyFill="1" applyBorder="1" applyAlignment="1">
      <alignment vertical="top"/>
    </xf>
    <xf numFmtId="165" fontId="5" fillId="0" borderId="15" xfId="1446" applyNumberFormat="1" applyFont="1" applyBorder="1" applyAlignment="1">
      <alignment vertical="top"/>
    </xf>
    <xf numFmtId="0" fontId="5" fillId="0" borderId="15" xfId="953" applyFont="1" applyBorder="1" applyAlignment="1">
      <alignment vertical="top"/>
    </xf>
    <xf numFmtId="164" fontId="6" fillId="6" borderId="16" xfId="1446" applyFont="1" applyFill="1" applyBorder="1" applyAlignment="1">
      <alignment vertical="top"/>
    </xf>
    <xf numFmtId="0" fontId="5" fillId="0" borderId="0" xfId="953" applyFont="1" applyAlignment="1">
      <alignment vertical="top"/>
    </xf>
    <xf numFmtId="0" fontId="6" fillId="0" borderId="10" xfId="953" applyFont="1" applyBorder="1"/>
    <xf numFmtId="0" fontId="6" fillId="0" borderId="10" xfId="953" applyFont="1" applyBorder="1" applyAlignment="1">
      <alignment horizontal="center"/>
    </xf>
    <xf numFmtId="0" fontId="6" fillId="0" borderId="17" xfId="953" applyFont="1" applyBorder="1"/>
    <xf numFmtId="0" fontId="6" fillId="0" borderId="0" xfId="953" applyFont="1"/>
    <xf numFmtId="0" fontId="6" fillId="0" borderId="18" xfId="953" applyFont="1" applyBorder="1" applyAlignment="1">
      <alignment horizontal="center"/>
    </xf>
    <xf numFmtId="0" fontId="5" fillId="0" borderId="19" xfId="953" applyFont="1" applyBorder="1" applyAlignment="1">
      <alignment horizontal="center" vertical="top"/>
    </xf>
    <xf numFmtId="165" fontId="5" fillId="0" borderId="11" xfId="1446" applyNumberFormat="1" applyFont="1" applyBorder="1"/>
    <xf numFmtId="165" fontId="5" fillId="0" borderId="20" xfId="1446" applyNumberFormat="1" applyFont="1" applyBorder="1" applyAlignment="1">
      <alignment vertical="top"/>
    </xf>
    <xf numFmtId="0" fontId="5" fillId="0" borderId="20" xfId="953" applyFont="1" applyBorder="1" applyAlignment="1">
      <alignment horizontal="center" vertical="top"/>
    </xf>
    <xf numFmtId="164" fontId="5" fillId="0" borderId="20" xfId="1446" applyFont="1" applyBorder="1" applyAlignment="1">
      <alignment vertical="top"/>
    </xf>
    <xf numFmtId="0" fontId="9" fillId="7" borderId="21" xfId="953" applyFont="1" applyFill="1" applyBorder="1" applyAlignment="1">
      <alignment horizontal="center"/>
    </xf>
    <xf numFmtId="0" fontId="9" fillId="7" borderId="12" xfId="953" applyFont="1" applyFill="1" applyBorder="1" applyAlignment="1">
      <alignment horizontal="center"/>
    </xf>
    <xf numFmtId="164" fontId="9" fillId="7" borderId="12" xfId="953" applyNumberFormat="1" applyFont="1" applyFill="1" applyBorder="1"/>
    <xf numFmtId="164" fontId="9" fillId="7" borderId="22" xfId="953" applyNumberFormat="1" applyFont="1" applyFill="1" applyBorder="1"/>
    <xf numFmtId="0" fontId="5" fillId="0" borderId="0" xfId="953" applyFont="1" applyAlignment="1">
      <alignment horizontal="center"/>
    </xf>
    <xf numFmtId="3" fontId="5" fillId="0" borderId="20" xfId="955" applyNumberFormat="1" applyFont="1" applyBorder="1" applyAlignment="1">
      <alignment vertical="top" wrapText="1"/>
    </xf>
    <xf numFmtId="0" fontId="5" fillId="0" borderId="23" xfId="953" applyFont="1" applyBorder="1" applyAlignment="1">
      <alignment vertical="top"/>
    </xf>
    <xf numFmtId="0" fontId="11" fillId="0" borderId="24" xfId="953" applyFont="1" applyBorder="1"/>
    <xf numFmtId="0" fontId="11" fillId="6" borderId="25" xfId="953" applyFont="1" applyFill="1" applyBorder="1" applyAlignment="1">
      <alignment vertical="center"/>
    </xf>
    <xf numFmtId="0" fontId="7" fillId="0" borderId="8" xfId="953" applyFont="1" applyBorder="1"/>
    <xf numFmtId="164" fontId="6" fillId="6" borderId="13" xfId="1446" applyFont="1" applyFill="1" applyBorder="1" applyAlignment="1">
      <alignment vertical="center"/>
    </xf>
    <xf numFmtId="0" fontId="5" fillId="0" borderId="8" xfId="953" applyFont="1" applyBorder="1"/>
    <xf numFmtId="0" fontId="5" fillId="0" borderId="16" xfId="953" applyFont="1" applyBorder="1" applyAlignment="1">
      <alignment vertical="top"/>
    </xf>
    <xf numFmtId="0" fontId="5" fillId="0" borderId="11" xfId="953" applyFont="1" applyBorder="1" applyAlignment="1">
      <alignment horizontal="center"/>
    </xf>
    <xf numFmtId="164" fontId="5" fillId="0" borderId="11" xfId="1446" applyFont="1" applyBorder="1"/>
    <xf numFmtId="0" fontId="5" fillId="0" borderId="18" xfId="953" applyFont="1" applyBorder="1" applyAlignment="1">
      <alignment horizontal="center" vertical="top"/>
    </xf>
    <xf numFmtId="165" fontId="5" fillId="0" borderId="11" xfId="1446" applyNumberFormat="1" applyFont="1" applyBorder="1" applyAlignment="1">
      <alignment vertical="top"/>
    </xf>
    <xf numFmtId="0" fontId="5" fillId="0" borderId="11" xfId="953" applyFont="1" applyBorder="1" applyAlignment="1">
      <alignment horizontal="center" vertical="top"/>
    </xf>
    <xf numFmtId="164" fontId="5" fillId="0" borderId="11" xfId="1446" applyFont="1" applyBorder="1" applyAlignment="1">
      <alignment vertical="top"/>
    </xf>
    <xf numFmtId="0" fontId="5" fillId="0" borderId="26" xfId="953" applyFont="1" applyBorder="1" applyAlignment="1">
      <alignment vertical="top"/>
    </xf>
    <xf numFmtId="164" fontId="12" fillId="0" borderId="11" xfId="1446" applyFont="1" applyBorder="1" applyAlignment="1">
      <alignment vertical="top"/>
    </xf>
    <xf numFmtId="0" fontId="6" fillId="0" borderId="27" xfId="953" applyFont="1" applyBorder="1" applyAlignment="1">
      <alignment horizontal="center"/>
    </xf>
    <xf numFmtId="0" fontId="8" fillId="0" borderId="28" xfId="953" applyFont="1" applyBorder="1" applyAlignment="1">
      <alignment wrapText="1"/>
    </xf>
    <xf numFmtId="165" fontId="5" fillId="0" borderId="28" xfId="1446" applyNumberFormat="1" applyFont="1" applyBorder="1"/>
    <xf numFmtId="0" fontId="5" fillId="0" borderId="28" xfId="953" applyFont="1" applyBorder="1" applyAlignment="1">
      <alignment horizontal="center"/>
    </xf>
    <xf numFmtId="164" fontId="5" fillId="0" borderId="28" xfId="1446" applyFont="1" applyBorder="1"/>
    <xf numFmtId="164" fontId="5" fillId="0" borderId="28" xfId="1446" applyFont="1" applyBorder="1" applyAlignment="1">
      <alignment vertical="top"/>
    </xf>
    <xf numFmtId="164" fontId="6" fillId="0" borderId="28" xfId="1446" applyFont="1" applyBorder="1" applyAlignment="1">
      <alignment vertical="top"/>
    </xf>
    <xf numFmtId="0" fontId="5" fillId="0" borderId="29" xfId="953" applyFont="1" applyBorder="1" applyAlignment="1">
      <alignment vertical="top"/>
    </xf>
    <xf numFmtId="0" fontId="5" fillId="6" borderId="0" xfId="953" applyFont="1" applyFill="1"/>
    <xf numFmtId="0" fontId="5" fillId="6" borderId="0" xfId="953" applyFont="1" applyFill="1" applyAlignment="1">
      <alignment vertical="center"/>
    </xf>
    <xf numFmtId="0" fontId="5" fillId="6" borderId="0" xfId="953" applyFont="1" applyFill="1" applyAlignment="1">
      <alignment vertical="top"/>
    </xf>
    <xf numFmtId="0" fontId="6" fillId="6" borderId="0" xfId="953" applyFont="1" applyFill="1"/>
    <xf numFmtId="0" fontId="10" fillId="6" borderId="0" xfId="953" applyFont="1" applyFill="1"/>
    <xf numFmtId="0" fontId="5" fillId="0" borderId="30" xfId="953" applyFont="1" applyBorder="1" applyAlignment="1">
      <alignment horizontal="center"/>
    </xf>
    <xf numFmtId="164" fontId="5" fillId="0" borderId="10" xfId="1446" applyFont="1" applyBorder="1"/>
    <xf numFmtId="0" fontId="13" fillId="0" borderId="0" xfId="953" applyFont="1" applyAlignment="1">
      <alignment vertical="top"/>
    </xf>
    <xf numFmtId="168" fontId="14" fillId="6" borderId="31" xfId="953" applyNumberFormat="1" applyFont="1" applyFill="1" applyBorder="1" applyAlignment="1">
      <alignment horizontal="center"/>
    </xf>
    <xf numFmtId="168" fontId="14" fillId="6" borderId="0" xfId="953" applyNumberFormat="1" applyFont="1" applyFill="1" applyAlignment="1">
      <alignment vertical="top"/>
    </xf>
    <xf numFmtId="0" fontId="13" fillId="6" borderId="0" xfId="953" applyFont="1" applyFill="1" applyAlignment="1">
      <alignment vertical="top"/>
    </xf>
    <xf numFmtId="0" fontId="11" fillId="0" borderId="0" xfId="953" applyFont="1"/>
    <xf numFmtId="0" fontId="10" fillId="0" borderId="18" xfId="953" applyFont="1" applyBorder="1" applyAlignment="1">
      <alignment horizontal="center" vertical="top"/>
    </xf>
    <xf numFmtId="3" fontId="10" fillId="0" borderId="11" xfId="955" applyNumberFormat="1" applyFont="1" applyBorder="1" applyAlignment="1">
      <alignment vertical="top" wrapText="1"/>
    </xf>
    <xf numFmtId="165" fontId="11" fillId="0" borderId="11" xfId="1446" applyNumberFormat="1" applyFont="1" applyBorder="1" applyAlignment="1">
      <alignment vertical="top"/>
    </xf>
    <xf numFmtId="0" fontId="11" fillId="0" borderId="11" xfId="953" applyFont="1" applyBorder="1" applyAlignment="1">
      <alignment horizontal="center" vertical="top"/>
    </xf>
    <xf numFmtId="164" fontId="11" fillId="0" borderId="11" xfId="1446" applyFont="1" applyBorder="1" applyAlignment="1">
      <alignment vertical="top"/>
    </xf>
    <xf numFmtId="164" fontId="10" fillId="0" borderId="11" xfId="1446" applyFont="1" applyBorder="1" applyAlignment="1">
      <alignment vertical="top"/>
    </xf>
    <xf numFmtId="0" fontId="11" fillId="0" borderId="26" xfId="953" applyFont="1" applyBorder="1" applyAlignment="1">
      <alignment vertical="top"/>
    </xf>
    <xf numFmtId="0" fontId="11" fillId="6" borderId="0" xfId="953" applyFont="1" applyFill="1"/>
    <xf numFmtId="0" fontId="10" fillId="0" borderId="0" xfId="953" applyFont="1"/>
    <xf numFmtId="165" fontId="10" fillId="0" borderId="11" xfId="1446" applyNumberFormat="1" applyFont="1" applyBorder="1" applyAlignment="1">
      <alignment vertical="top"/>
    </xf>
    <xf numFmtId="0" fontId="10" fillId="0" borderId="11" xfId="953" applyFont="1" applyBorder="1" applyAlignment="1">
      <alignment horizontal="center" vertical="top"/>
    </xf>
    <xf numFmtId="0" fontId="10" fillId="0" borderId="26" xfId="953" applyFont="1" applyBorder="1" applyAlignment="1">
      <alignment vertical="top"/>
    </xf>
    <xf numFmtId="0" fontId="11" fillId="0" borderId="27" xfId="953" applyFont="1" applyBorder="1" applyAlignment="1">
      <alignment horizontal="center"/>
    </xf>
    <xf numFmtId="3" fontId="10" fillId="0" borderId="28" xfId="955" applyNumberFormat="1" applyFont="1" applyBorder="1" applyAlignment="1">
      <alignment vertical="top" wrapText="1"/>
    </xf>
    <xf numFmtId="165" fontId="10" fillId="0" borderId="28" xfId="1446" applyNumberFormat="1" applyFont="1" applyBorder="1" applyAlignment="1">
      <alignment vertical="top"/>
    </xf>
    <xf numFmtId="0" fontId="10" fillId="0" borderId="28" xfId="953" applyFont="1" applyBorder="1" applyAlignment="1">
      <alignment horizontal="center" vertical="top"/>
    </xf>
    <xf numFmtId="164" fontId="10" fillId="0" borderId="28" xfId="1446" applyFont="1" applyBorder="1" applyAlignment="1">
      <alignment vertical="top"/>
    </xf>
    <xf numFmtId="0" fontId="10" fillId="0" borderId="29" xfId="953" applyFont="1" applyBorder="1" applyAlignment="1">
      <alignment vertical="top"/>
    </xf>
    <xf numFmtId="0" fontId="11" fillId="0" borderId="32" xfId="953" applyFont="1" applyBorder="1" applyAlignment="1">
      <alignment horizontal="center"/>
    </xf>
    <xf numFmtId="3" fontId="10" fillId="0" borderId="33" xfId="955" applyNumberFormat="1" applyFont="1" applyBorder="1" applyAlignment="1">
      <alignment vertical="top" wrapText="1"/>
    </xf>
    <xf numFmtId="165" fontId="10" fillId="0" borderId="33" xfId="1446" applyNumberFormat="1" applyFont="1" applyBorder="1" applyAlignment="1">
      <alignment vertical="top"/>
    </xf>
    <xf numFmtId="0" fontId="10" fillId="0" borderId="33" xfId="953" applyFont="1" applyBorder="1" applyAlignment="1">
      <alignment horizontal="center" vertical="top"/>
    </xf>
    <xf numFmtId="164" fontId="10" fillId="0" borderId="33" xfId="1446" applyFont="1" applyBorder="1" applyAlignment="1">
      <alignment vertical="top"/>
    </xf>
    <xf numFmtId="164" fontId="11" fillId="0" borderId="33" xfId="1446" applyFont="1" applyBorder="1" applyAlignment="1">
      <alignment vertical="top"/>
    </xf>
    <xf numFmtId="0" fontId="10" fillId="0" borderId="34" xfId="953" applyFont="1" applyBorder="1" applyAlignment="1">
      <alignment vertical="top"/>
    </xf>
    <xf numFmtId="0" fontId="11" fillId="0" borderId="5" xfId="953" applyFont="1" applyBorder="1" applyAlignment="1">
      <alignment horizontal="center"/>
    </xf>
    <xf numFmtId="3" fontId="10" fillId="0" borderId="5" xfId="955" applyNumberFormat="1" applyFont="1" applyBorder="1" applyAlignment="1">
      <alignment vertical="top" wrapText="1"/>
    </xf>
    <xf numFmtId="165" fontId="10" fillId="0" borderId="5" xfId="1446" applyNumberFormat="1" applyFont="1" applyBorder="1" applyAlignment="1">
      <alignment vertical="top"/>
    </xf>
    <xf numFmtId="0" fontId="10" fillId="0" borderId="5" xfId="953" applyFont="1" applyBorder="1" applyAlignment="1">
      <alignment horizontal="center" vertical="top"/>
    </xf>
    <xf numFmtId="164" fontId="10" fillId="0" borderId="5" xfId="1446" applyFont="1" applyBorder="1" applyAlignment="1">
      <alignment vertical="top"/>
    </xf>
    <xf numFmtId="0" fontId="10" fillId="0" borderId="35" xfId="953" applyFont="1" applyBorder="1" applyAlignment="1">
      <alignment vertical="top"/>
    </xf>
    <xf numFmtId="0" fontId="10" fillId="0" borderId="5" xfId="953" applyFont="1" applyBorder="1" applyAlignment="1">
      <alignment vertical="top"/>
    </xf>
    <xf numFmtId="169" fontId="10" fillId="0" borderId="33" xfId="1446" applyNumberFormat="1" applyFont="1" applyBorder="1" applyAlignment="1">
      <alignment vertical="top"/>
    </xf>
    <xf numFmtId="164" fontId="9" fillId="7" borderId="12" xfId="953" applyNumberFormat="1" applyFont="1" applyFill="1" applyBorder="1" applyAlignment="1">
      <alignment shrinkToFit="1"/>
    </xf>
    <xf numFmtId="9" fontId="5" fillId="0" borderId="11" xfId="1439" applyFont="1" applyBorder="1"/>
    <xf numFmtId="164" fontId="10" fillId="0" borderId="11" xfId="1446" applyFont="1" applyBorder="1" applyAlignment="1">
      <alignment vertical="top" shrinkToFit="1"/>
    </xf>
    <xf numFmtId="164" fontId="10" fillId="0" borderId="28" xfId="1446" applyFont="1" applyBorder="1" applyAlignment="1">
      <alignment vertical="top" shrinkToFit="1"/>
    </xf>
    <xf numFmtId="164" fontId="10" fillId="0" borderId="5" xfId="1446" applyFont="1" applyBorder="1" applyAlignment="1">
      <alignment vertical="top" shrinkToFit="1"/>
    </xf>
    <xf numFmtId="164" fontId="11" fillId="0" borderId="33" xfId="1446" applyFont="1" applyBorder="1" applyAlignment="1">
      <alignment vertical="top" shrinkToFit="1"/>
    </xf>
    <xf numFmtId="164" fontId="6" fillId="0" borderId="11" xfId="1446" applyFont="1" applyBorder="1" applyAlignment="1">
      <alignment vertical="top" shrinkToFit="1"/>
    </xf>
    <xf numFmtId="10" fontId="10" fillId="0" borderId="33" xfId="1439" applyNumberFormat="1" applyFont="1" applyBorder="1" applyAlignment="1">
      <alignment vertical="top"/>
    </xf>
    <xf numFmtId="0" fontId="5" fillId="0" borderId="36" xfId="953" applyFont="1" applyBorder="1" applyAlignment="1">
      <alignment horizontal="center"/>
    </xf>
    <xf numFmtId="0" fontId="6" fillId="0" borderId="37" xfId="953" applyFont="1" applyBorder="1"/>
    <xf numFmtId="0" fontId="10" fillId="0" borderId="38" xfId="953" applyFont="1" applyBorder="1" applyAlignment="1">
      <alignment horizontal="center" vertical="top"/>
    </xf>
    <xf numFmtId="0" fontId="11" fillId="0" borderId="39" xfId="953" applyFont="1" applyBorder="1" applyAlignment="1">
      <alignment vertical="top"/>
    </xf>
    <xf numFmtId="0" fontId="10" fillId="0" borderId="39" xfId="953" applyFont="1" applyBorder="1" applyAlignment="1">
      <alignment vertical="top"/>
    </xf>
    <xf numFmtId="0" fontId="11" fillId="0" borderId="40" xfId="953" applyFont="1" applyBorder="1" applyAlignment="1">
      <alignment horizontal="center"/>
    </xf>
    <xf numFmtId="0" fontId="10" fillId="0" borderId="41" xfId="953" applyFont="1" applyBorder="1" applyAlignment="1">
      <alignment vertical="top"/>
    </xf>
    <xf numFmtId="0" fontId="11" fillId="0" borderId="42" xfId="953" applyFont="1" applyBorder="1" applyAlignment="1">
      <alignment horizontal="center"/>
    </xf>
    <xf numFmtId="0" fontId="10" fillId="0" borderId="43" xfId="953" applyFont="1" applyBorder="1" applyAlignment="1">
      <alignment vertical="top"/>
    </xf>
    <xf numFmtId="0" fontId="11" fillId="0" borderId="44" xfId="953" applyFont="1" applyBorder="1" applyAlignment="1">
      <alignment horizontal="center"/>
    </xf>
    <xf numFmtId="0" fontId="10" fillId="0" borderId="45" xfId="953" applyFont="1" applyBorder="1" applyAlignment="1">
      <alignment vertical="top"/>
    </xf>
    <xf numFmtId="0" fontId="5" fillId="0" borderId="38" xfId="953" applyFont="1" applyBorder="1" applyAlignment="1">
      <alignment horizontal="center" vertical="top"/>
    </xf>
    <xf numFmtId="0" fontId="5" fillId="0" borderId="39" xfId="953" applyFont="1" applyBorder="1" applyAlignment="1">
      <alignment vertical="top"/>
    </xf>
    <xf numFmtId="0" fontId="6" fillId="0" borderId="38" xfId="953" applyFont="1" applyBorder="1" applyAlignment="1">
      <alignment horizontal="center"/>
    </xf>
    <xf numFmtId="0" fontId="6" fillId="0" borderId="40" xfId="953" applyFont="1" applyBorder="1" applyAlignment="1">
      <alignment horizontal="center"/>
    </xf>
    <xf numFmtId="0" fontId="5" fillId="0" borderId="41" xfId="953" applyFont="1" applyBorder="1" applyAlignment="1">
      <alignment vertical="top"/>
    </xf>
    <xf numFmtId="0" fontId="5" fillId="0" borderId="46" xfId="953" applyFont="1" applyBorder="1" applyAlignment="1">
      <alignment horizontal="center" vertical="top"/>
    </xf>
    <xf numFmtId="0" fontId="5" fillId="0" borderId="47" xfId="953" applyFont="1" applyBorder="1" applyAlignment="1">
      <alignment vertical="top"/>
    </xf>
    <xf numFmtId="0" fontId="9" fillId="7" borderId="48" xfId="953" applyFont="1" applyFill="1" applyBorder="1" applyAlignment="1">
      <alignment horizontal="center"/>
    </xf>
    <xf numFmtId="164" fontId="9" fillId="7" borderId="49" xfId="953" applyNumberFormat="1" applyFont="1" applyFill="1" applyBorder="1"/>
    <xf numFmtId="0" fontId="66" fillId="0" borderId="0" xfId="0" applyFont="1"/>
    <xf numFmtId="0" fontId="66" fillId="0" borderId="0" xfId="954" applyFont="1" applyAlignment="1">
      <alignment vertical="center"/>
    </xf>
    <xf numFmtId="164" fontId="66" fillId="0" borderId="0" xfId="1446" applyFont="1" applyFill="1" applyAlignment="1">
      <alignment vertical="center"/>
    </xf>
    <xf numFmtId="0" fontId="66" fillId="0" borderId="0" xfId="954" applyFont="1" applyAlignment="1">
      <alignment horizontal="center" vertical="center"/>
    </xf>
    <xf numFmtId="164" fontId="66" fillId="0" borderId="0" xfId="1446" applyFont="1" applyFill="1"/>
    <xf numFmtId="0" fontId="70" fillId="0" borderId="0" xfId="954" applyFont="1" applyAlignment="1">
      <alignment vertical="center"/>
    </xf>
    <xf numFmtId="0" fontId="70" fillId="0" borderId="0" xfId="954" applyFont="1" applyAlignment="1">
      <alignment horizontal="left"/>
    </xf>
    <xf numFmtId="0" fontId="70" fillId="0" borderId="0" xfId="954" applyFont="1" applyAlignment="1">
      <alignment horizontal="center" vertical="center"/>
    </xf>
    <xf numFmtId="164" fontId="70" fillId="0" borderId="0" xfId="244" applyFont="1" applyFill="1" applyAlignment="1">
      <alignment vertical="center"/>
    </xf>
    <xf numFmtId="0" fontId="70" fillId="0" borderId="0" xfId="954" applyFont="1" applyAlignment="1">
      <alignment horizontal="left" vertical="center" indent="1"/>
    </xf>
    <xf numFmtId="0" fontId="70" fillId="0" borderId="0" xfId="954" applyFont="1" applyAlignment="1">
      <alignment horizontal="right" vertical="center"/>
    </xf>
    <xf numFmtId="0" fontId="70" fillId="0" borderId="0" xfId="954" applyFont="1" applyAlignment="1">
      <alignment horizontal="left" vertical="center"/>
    </xf>
    <xf numFmtId="0" fontId="70" fillId="0" borderId="0" xfId="954" applyFont="1" applyAlignment="1">
      <alignment vertical="top"/>
    </xf>
    <xf numFmtId="0" fontId="70" fillId="0" borderId="0" xfId="954" applyFont="1" applyAlignment="1">
      <alignment horizontal="left" vertical="top"/>
    </xf>
    <xf numFmtId="168" fontId="70" fillId="0" borderId="0" xfId="954" applyNumberFormat="1" applyFont="1" applyAlignment="1">
      <alignment vertical="top"/>
    </xf>
    <xf numFmtId="168" fontId="70" fillId="0" borderId="0" xfId="954" applyNumberFormat="1" applyFont="1" applyAlignment="1">
      <alignment horizontal="right" vertical="top"/>
    </xf>
    <xf numFmtId="0" fontId="70" fillId="0" borderId="0" xfId="954" applyFont="1" applyAlignment="1">
      <alignment horizontal="left" vertical="top" indent="1"/>
    </xf>
    <xf numFmtId="168" fontId="70" fillId="0" borderId="0" xfId="954" applyNumberFormat="1" applyFont="1" applyAlignment="1">
      <alignment horizontal="left" vertical="top" indent="2"/>
    </xf>
    <xf numFmtId="0" fontId="70" fillId="0" borderId="0" xfId="954" applyFont="1" applyAlignment="1">
      <alignment horizontal="right" vertical="top"/>
    </xf>
    <xf numFmtId="0" fontId="70" fillId="0" borderId="0" xfId="873" applyFont="1"/>
    <xf numFmtId="0" fontId="71" fillId="0" borderId="0" xfId="873" applyFont="1" applyAlignment="1">
      <alignment vertical="center"/>
    </xf>
    <xf numFmtId="43" fontId="70" fillId="0" borderId="33" xfId="454" applyFont="1" applyFill="1" applyBorder="1" applyAlignment="1">
      <alignment horizontal="center" vertical="center"/>
    </xf>
    <xf numFmtId="43" fontId="70" fillId="0" borderId="33" xfId="454" applyFont="1" applyFill="1" applyBorder="1" applyAlignment="1">
      <alignment vertical="center"/>
    </xf>
    <xf numFmtId="0" fontId="71" fillId="0" borderId="0" xfId="954" applyFont="1" applyAlignment="1">
      <alignment horizontal="center" vertical="center"/>
    </xf>
    <xf numFmtId="0" fontId="70" fillId="0" borderId="0" xfId="873" applyFont="1" applyAlignment="1">
      <alignment vertical="center"/>
    </xf>
    <xf numFmtId="0" fontId="70" fillId="0" borderId="11" xfId="954" applyFont="1" applyBorder="1" applyAlignment="1">
      <alignment horizontal="center" vertical="center"/>
    </xf>
    <xf numFmtId="164" fontId="70" fillId="0" borderId="11" xfId="244" applyFont="1" applyFill="1" applyBorder="1" applyAlignment="1">
      <alignment vertical="center"/>
    </xf>
    <xf numFmtId="43" fontId="70" fillId="0" borderId="11" xfId="454" applyFont="1" applyFill="1" applyBorder="1" applyAlignment="1">
      <alignment vertical="center"/>
    </xf>
    <xf numFmtId="164" fontId="70" fillId="0" borderId="11" xfId="1446" applyFont="1" applyFill="1" applyBorder="1" applyAlignment="1">
      <alignment vertical="center"/>
    </xf>
    <xf numFmtId="164" fontId="70" fillId="0" borderId="33" xfId="1446" applyFont="1" applyFill="1" applyBorder="1" applyAlignment="1">
      <alignment vertical="center"/>
    </xf>
    <xf numFmtId="0" fontId="70" fillId="0" borderId="0" xfId="0" applyFont="1"/>
    <xf numFmtId="0" fontId="71" fillId="0" borderId="11" xfId="954" applyFont="1" applyBorder="1" applyAlignment="1">
      <alignment horizontal="center" vertical="center"/>
    </xf>
    <xf numFmtId="164" fontId="70" fillId="0" borderId="11" xfId="1446" applyFont="1" applyFill="1" applyBorder="1" applyAlignment="1">
      <alignment horizontal="center" vertical="center"/>
    </xf>
    <xf numFmtId="43" fontId="70" fillId="0" borderId="11" xfId="455" applyFont="1" applyFill="1" applyBorder="1" applyAlignment="1">
      <alignment vertical="center"/>
    </xf>
    <xf numFmtId="164" fontId="70" fillId="0" borderId="11" xfId="1446" applyFont="1" applyFill="1" applyBorder="1" applyAlignment="1">
      <alignment horizontal="center" vertical="top" wrapText="1"/>
    </xf>
    <xf numFmtId="0" fontId="70" fillId="0" borderId="28" xfId="954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0" fillId="0" borderId="33" xfId="954" applyFont="1" applyBorder="1" applyAlignment="1">
      <alignment horizontal="center" vertical="center"/>
    </xf>
    <xf numFmtId="0" fontId="70" fillId="0" borderId="28" xfId="954" applyFont="1" applyBorder="1" applyAlignment="1">
      <alignment horizontal="center"/>
    </xf>
    <xf numFmtId="43" fontId="70" fillId="0" borderId="28" xfId="454" applyFont="1" applyFill="1" applyBorder="1" applyAlignment="1">
      <alignment vertical="center"/>
    </xf>
    <xf numFmtId="164" fontId="70" fillId="0" borderId="0" xfId="244" applyFont="1" applyFill="1" applyBorder="1" applyAlignment="1">
      <alignment horizontal="center" vertical="center"/>
    </xf>
    <xf numFmtId="43" fontId="70" fillId="0" borderId="0" xfId="454" applyFont="1" applyFill="1" applyBorder="1" applyAlignment="1">
      <alignment vertical="center"/>
    </xf>
    <xf numFmtId="0" fontId="71" fillId="0" borderId="0" xfId="873" applyFont="1" applyAlignment="1">
      <alignment horizontal="left" vertical="center" wrapText="1"/>
    </xf>
    <xf numFmtId="43" fontId="70" fillId="0" borderId="0" xfId="454" applyFont="1" applyFill="1" applyBorder="1" applyAlignment="1"/>
    <xf numFmtId="164" fontId="70" fillId="0" borderId="0" xfId="1446" applyFont="1" applyFill="1"/>
    <xf numFmtId="164" fontId="70" fillId="0" borderId="0" xfId="1446" applyFont="1" applyFill="1" applyAlignment="1">
      <alignment vertical="center"/>
    </xf>
    <xf numFmtId="164" fontId="70" fillId="0" borderId="0" xfId="1446" applyFont="1" applyFill="1" applyBorder="1"/>
    <xf numFmtId="0" fontId="71" fillId="0" borderId="0" xfId="0" applyFont="1"/>
    <xf numFmtId="0" fontId="70" fillId="0" borderId="0" xfId="954" applyFont="1"/>
    <xf numFmtId="0" fontId="71" fillId="0" borderId="0" xfId="954" applyFont="1"/>
    <xf numFmtId="164" fontId="71" fillId="0" borderId="11" xfId="1446" applyFont="1" applyFill="1" applyBorder="1" applyAlignment="1">
      <alignment horizontal="center" vertical="center"/>
    </xf>
    <xf numFmtId="164" fontId="71" fillId="0" borderId="11" xfId="244" applyFont="1" applyFill="1" applyBorder="1" applyAlignment="1">
      <alignment horizontal="center" vertical="center"/>
    </xf>
    <xf numFmtId="164" fontId="71" fillId="0" borderId="11" xfId="1446" applyFont="1" applyFill="1" applyBorder="1" applyAlignment="1">
      <alignment vertical="center"/>
    </xf>
    <xf numFmtId="164" fontId="70" fillId="0" borderId="11" xfId="1446" applyFont="1" applyFill="1" applyBorder="1" applyAlignment="1">
      <alignment horizontal="center" vertical="center" wrapText="1"/>
    </xf>
    <xf numFmtId="164" fontId="70" fillId="0" borderId="0" xfId="1446" applyFont="1" applyFill="1" applyBorder="1" applyAlignment="1">
      <alignment vertical="center"/>
    </xf>
    <xf numFmtId="164" fontId="70" fillId="0" borderId="0" xfId="1446" applyFont="1" applyFill="1" applyAlignment="1">
      <alignment horizontal="right"/>
    </xf>
    <xf numFmtId="164" fontId="70" fillId="0" borderId="0" xfId="1446" applyFont="1" applyFill="1" applyAlignment="1">
      <alignment vertical="top"/>
    </xf>
    <xf numFmtId="0" fontId="70" fillId="0" borderId="0" xfId="953" applyFont="1"/>
    <xf numFmtId="164" fontId="70" fillId="0" borderId="0" xfId="1446" applyFont="1" applyFill="1" applyAlignment="1"/>
    <xf numFmtId="0" fontId="70" fillId="0" borderId="55" xfId="954" applyFont="1" applyBorder="1" applyAlignment="1">
      <alignment horizontal="center" vertical="center"/>
    </xf>
    <xf numFmtId="43" fontId="70" fillId="0" borderId="55" xfId="454" applyFont="1" applyFill="1" applyBorder="1" applyAlignment="1">
      <alignment vertical="center"/>
    </xf>
    <xf numFmtId="0" fontId="70" fillId="0" borderId="0" xfId="0" applyFont="1" applyAlignment="1">
      <alignment vertical="center"/>
    </xf>
    <xf numFmtId="43" fontId="70" fillId="0" borderId="0" xfId="454" applyFont="1" applyFill="1" applyBorder="1" applyAlignment="1">
      <alignment horizontal="center" vertical="center"/>
    </xf>
    <xf numFmtId="0" fontId="70" fillId="0" borderId="0" xfId="954" applyFont="1" applyAlignment="1">
      <alignment horizontal="center" vertical="top"/>
    </xf>
    <xf numFmtId="164" fontId="70" fillId="0" borderId="5" xfId="1446" applyFont="1" applyFill="1" applyBorder="1" applyAlignment="1">
      <alignment vertical="center" wrapText="1"/>
    </xf>
    <xf numFmtId="0" fontId="70" fillId="0" borderId="5" xfId="954" applyFont="1" applyBorder="1" applyAlignment="1">
      <alignment horizontal="center" vertical="center" wrapText="1"/>
    </xf>
    <xf numFmtId="164" fontId="70" fillId="0" borderId="5" xfId="1446" applyFont="1" applyFill="1" applyBorder="1" applyAlignment="1">
      <alignment vertical="center"/>
    </xf>
    <xf numFmtId="164" fontId="70" fillId="0" borderId="55" xfId="1446" applyFont="1" applyFill="1" applyBorder="1" applyAlignment="1">
      <alignment horizontal="center" vertical="center"/>
    </xf>
    <xf numFmtId="164" fontId="70" fillId="0" borderId="55" xfId="1446" applyFont="1" applyFill="1" applyBorder="1" applyAlignment="1">
      <alignment vertical="center"/>
    </xf>
    <xf numFmtId="0" fontId="70" fillId="0" borderId="0" xfId="954" applyFont="1" applyAlignment="1">
      <alignment horizontal="center"/>
    </xf>
    <xf numFmtId="164" fontId="70" fillId="0" borderId="0" xfId="244" applyFont="1" applyFill="1"/>
    <xf numFmtId="164" fontId="70" fillId="0" borderId="0" xfId="1446" applyFont="1" applyFill="1" applyAlignment="1">
      <alignment horizontal="left" vertical="center" wrapText="1"/>
    </xf>
    <xf numFmtId="43" fontId="70" fillId="0" borderId="0" xfId="454" applyFont="1" applyFill="1" applyAlignment="1"/>
    <xf numFmtId="0" fontId="71" fillId="0" borderId="0" xfId="954" applyFont="1" applyAlignment="1">
      <alignment vertical="center"/>
    </xf>
    <xf numFmtId="0" fontId="70" fillId="0" borderId="11" xfId="954" applyFont="1" applyBorder="1" applyAlignment="1">
      <alignment horizontal="center" vertical="top"/>
    </xf>
    <xf numFmtId="190" fontId="70" fillId="0" borderId="0" xfId="1446" applyNumberFormat="1" applyFont="1" applyFill="1" applyAlignment="1">
      <alignment vertical="center"/>
    </xf>
    <xf numFmtId="0" fontId="70" fillId="0" borderId="51" xfId="1466" applyFont="1" applyBorder="1" applyAlignment="1">
      <alignment horizontal="left" vertical="center"/>
    </xf>
    <xf numFmtId="0" fontId="70" fillId="0" borderId="0" xfId="1473" applyFont="1"/>
    <xf numFmtId="0" fontId="70" fillId="0" borderId="0" xfId="1473" applyFont="1" applyAlignment="1">
      <alignment vertical="center"/>
    </xf>
    <xf numFmtId="168" fontId="70" fillId="0" borderId="0" xfId="1473" applyNumberFormat="1" applyFont="1" applyAlignment="1">
      <alignment vertical="top"/>
    </xf>
    <xf numFmtId="0" fontId="70" fillId="0" borderId="0" xfId="1473" applyFont="1" applyAlignment="1">
      <alignment vertical="top"/>
    </xf>
    <xf numFmtId="0" fontId="71" fillId="0" borderId="11" xfId="1473" applyFont="1" applyBorder="1" applyAlignment="1">
      <alignment horizontal="center" vertical="center"/>
    </xf>
    <xf numFmtId="0" fontId="70" fillId="0" borderId="11" xfId="1473" applyFont="1" applyBorder="1" applyAlignment="1">
      <alignment horizontal="center" vertical="center"/>
    </xf>
    <xf numFmtId="0" fontId="70" fillId="0" borderId="56" xfId="1473" applyFont="1" applyBorder="1" applyAlignment="1">
      <alignment horizontal="center" vertical="center"/>
    </xf>
    <xf numFmtId="164" fontId="70" fillId="0" borderId="11" xfId="1474" applyFont="1" applyFill="1" applyBorder="1" applyAlignment="1">
      <alignment horizontal="center" vertical="center"/>
    </xf>
    <xf numFmtId="164" fontId="70" fillId="0" borderId="11" xfId="1474" applyFont="1" applyFill="1" applyBorder="1" applyAlignment="1">
      <alignment horizontal="center" vertical="top"/>
    </xf>
    <xf numFmtId="0" fontId="70" fillId="0" borderId="0" xfId="1473" applyFont="1" applyAlignment="1">
      <alignment horizontal="center"/>
    </xf>
    <xf numFmtId="0" fontId="70" fillId="0" borderId="0" xfId="1473" applyFont="1" applyAlignment="1">
      <alignment horizontal="left" vertical="center"/>
    </xf>
    <xf numFmtId="0" fontId="70" fillId="0" borderId="0" xfId="873" applyFont="1" applyAlignment="1">
      <alignment horizontal="right"/>
    </xf>
    <xf numFmtId="0" fontId="70" fillId="0" borderId="51" xfId="873" applyFont="1" applyBorder="1" applyAlignment="1">
      <alignment vertical="center" wrapText="1"/>
    </xf>
    <xf numFmtId="43" fontId="70" fillId="0" borderId="51" xfId="873" applyNumberFormat="1" applyFont="1" applyBorder="1" applyAlignment="1">
      <alignment horizontal="left" vertical="center" wrapText="1"/>
    </xf>
    <xf numFmtId="0" fontId="70" fillId="0" borderId="28" xfId="954" applyFont="1" applyBorder="1" applyAlignment="1">
      <alignment wrapText="1"/>
    </xf>
    <xf numFmtId="164" fontId="70" fillId="0" borderId="28" xfId="244" applyFont="1" applyFill="1" applyBorder="1" applyAlignment="1">
      <alignment shrinkToFit="1"/>
    </xf>
    <xf numFmtId="43" fontId="70" fillId="0" borderId="51" xfId="454" applyFont="1" applyFill="1" applyBorder="1" applyAlignment="1">
      <alignment vertical="center"/>
    </xf>
    <xf numFmtId="43" fontId="70" fillId="0" borderId="0" xfId="454" applyFont="1" applyFill="1" applyAlignment="1">
      <alignment vertical="center"/>
    </xf>
    <xf numFmtId="0" fontId="70" fillId="0" borderId="54" xfId="873" applyFont="1" applyBorder="1" applyAlignment="1">
      <alignment vertical="center" wrapText="1"/>
    </xf>
    <xf numFmtId="43" fontId="71" fillId="0" borderId="11" xfId="454" applyFont="1" applyFill="1" applyBorder="1" applyAlignment="1">
      <alignment vertical="center"/>
    </xf>
    <xf numFmtId="43" fontId="71" fillId="0" borderId="0" xfId="454" applyFont="1" applyFill="1" applyBorder="1" applyAlignment="1">
      <alignment vertical="center"/>
    </xf>
    <xf numFmtId="43" fontId="70" fillId="0" borderId="11" xfId="454" applyFont="1" applyFill="1" applyBorder="1" applyAlignment="1">
      <alignment vertical="top"/>
    </xf>
    <xf numFmtId="164" fontId="71" fillId="0" borderId="0" xfId="1446" applyFont="1" applyFill="1" applyBorder="1" applyAlignment="1">
      <alignment vertical="center"/>
    </xf>
    <xf numFmtId="0" fontId="74" fillId="0" borderId="0" xfId="954" applyFont="1" applyAlignment="1">
      <alignment vertical="center" wrapText="1"/>
    </xf>
    <xf numFmtId="0" fontId="74" fillId="0" borderId="0" xfId="873" applyFont="1"/>
    <xf numFmtId="164" fontId="70" fillId="0" borderId="0" xfId="1446" applyFont="1" applyFill="1" applyBorder="1" applyAlignment="1"/>
    <xf numFmtId="164" fontId="74" fillId="0" borderId="0" xfId="1446" applyFont="1" applyFill="1" applyBorder="1" applyAlignment="1">
      <alignment vertical="center"/>
    </xf>
    <xf numFmtId="0" fontId="74" fillId="0" borderId="0" xfId="873" applyFont="1" applyAlignment="1">
      <alignment vertical="center"/>
    </xf>
    <xf numFmtId="0" fontId="70" fillId="0" borderId="33" xfId="954" applyFont="1" applyBorder="1" applyAlignment="1">
      <alignment horizontal="center"/>
    </xf>
    <xf numFmtId="0" fontId="70" fillId="0" borderId="33" xfId="954" applyFont="1" applyBorder="1"/>
    <xf numFmtId="164" fontId="70" fillId="0" borderId="0" xfId="1446" applyFont="1" applyFill="1" applyAlignment="1">
      <alignment horizontal="left" vertical="center"/>
    </xf>
    <xf numFmtId="168" fontId="70" fillId="0" borderId="0" xfId="954" applyNumberFormat="1" applyFont="1" applyAlignment="1">
      <alignment horizontal="center" vertical="center"/>
    </xf>
    <xf numFmtId="43" fontId="70" fillId="0" borderId="0" xfId="100" applyFont="1" applyFill="1" applyAlignment="1">
      <alignment horizontal="left" vertical="center"/>
    </xf>
    <xf numFmtId="43" fontId="70" fillId="0" borderId="0" xfId="100" applyFont="1" applyFill="1" applyBorder="1" applyAlignment="1">
      <alignment horizontal="left" vertical="center"/>
    </xf>
    <xf numFmtId="0" fontId="69" fillId="0" borderId="0" xfId="873" applyFont="1"/>
    <xf numFmtId="0" fontId="76" fillId="0" borderId="0" xfId="954" applyFont="1" applyAlignment="1">
      <alignment vertical="center"/>
    </xf>
    <xf numFmtId="168" fontId="76" fillId="0" borderId="0" xfId="954" applyNumberFormat="1" applyFont="1" applyAlignment="1">
      <alignment vertical="top"/>
    </xf>
    <xf numFmtId="168" fontId="76" fillId="0" borderId="0" xfId="954" applyNumberFormat="1" applyFont="1" applyAlignment="1">
      <alignment horizontal="right" vertical="top"/>
    </xf>
    <xf numFmtId="0" fontId="76" fillId="0" borderId="0" xfId="954" applyFont="1" applyAlignment="1">
      <alignment vertical="top"/>
    </xf>
    <xf numFmtId="168" fontId="76" fillId="0" borderId="0" xfId="954" applyNumberFormat="1" applyFont="1" applyAlignment="1">
      <alignment horizontal="left" vertical="top" indent="2"/>
    </xf>
    <xf numFmtId="0" fontId="69" fillId="0" borderId="0" xfId="873" applyFont="1" applyAlignment="1">
      <alignment vertical="center"/>
    </xf>
    <xf numFmtId="0" fontId="70" fillId="0" borderId="11" xfId="1458" applyFont="1" applyBorder="1" applyAlignment="1">
      <alignment horizontal="center" vertical="center"/>
    </xf>
    <xf numFmtId="43" fontId="70" fillId="0" borderId="11" xfId="954" applyNumberFormat="1" applyFont="1" applyBorder="1" applyAlignment="1">
      <alignment horizontal="left" vertical="center" wrapText="1"/>
    </xf>
    <xf numFmtId="43" fontId="66" fillId="0" borderId="0" xfId="454" applyFont="1" applyFill="1" applyBorder="1" applyAlignment="1">
      <alignment horizontal="left" vertical="center"/>
    </xf>
    <xf numFmtId="0" fontId="70" fillId="0" borderId="28" xfId="954" applyFont="1" applyBorder="1" applyAlignment="1">
      <alignment horizontal="center" vertical="center" wrapText="1"/>
    </xf>
    <xf numFmtId="164" fontId="70" fillId="0" borderId="28" xfId="1446" applyFont="1" applyFill="1" applyBorder="1" applyAlignment="1">
      <alignment horizontal="center" vertical="center"/>
    </xf>
    <xf numFmtId="164" fontId="70" fillId="0" borderId="33" xfId="1446" applyFont="1" applyFill="1" applyBorder="1" applyAlignment="1">
      <alignment horizontal="center" vertical="center"/>
    </xf>
    <xf numFmtId="0" fontId="71" fillId="0" borderId="33" xfId="1473" applyFont="1" applyBorder="1" applyAlignment="1">
      <alignment horizontal="center" vertical="center"/>
    </xf>
    <xf numFmtId="0" fontId="70" fillId="0" borderId="33" xfId="1473" applyFont="1" applyBorder="1" applyAlignment="1">
      <alignment horizontal="center" vertical="center"/>
    </xf>
    <xf numFmtId="168" fontId="70" fillId="0" borderId="0" xfId="954" applyNumberFormat="1" applyFont="1" applyAlignment="1">
      <alignment horizontal="center" vertical="top"/>
    </xf>
    <xf numFmtId="165" fontId="70" fillId="0" borderId="0" xfId="244" applyNumberFormat="1" applyFont="1" applyFill="1"/>
    <xf numFmtId="43" fontId="70" fillId="0" borderId="0" xfId="454" applyFont="1" applyFill="1" applyBorder="1" applyAlignment="1">
      <alignment horizontal="left"/>
    </xf>
    <xf numFmtId="43" fontId="70" fillId="0" borderId="0" xfId="454" applyFont="1" applyFill="1" applyBorder="1" applyAlignment="1">
      <alignment horizontal="left" vertical="center"/>
    </xf>
    <xf numFmtId="0" fontId="70" fillId="0" borderId="55" xfId="954" applyFont="1" applyBorder="1" applyAlignment="1">
      <alignment horizontal="center"/>
    </xf>
    <xf numFmtId="0" fontId="70" fillId="0" borderId="55" xfId="954" applyFont="1" applyBorder="1"/>
    <xf numFmtId="0" fontId="71" fillId="0" borderId="0" xfId="873" applyFont="1" applyAlignment="1">
      <alignment vertical="center" wrapText="1"/>
    </xf>
    <xf numFmtId="0" fontId="70" fillId="0" borderId="33" xfId="1458" applyFont="1" applyBorder="1" applyAlignment="1">
      <alignment horizontal="center" vertical="center"/>
    </xf>
    <xf numFmtId="0" fontId="70" fillId="0" borderId="52" xfId="873" applyFont="1" applyBorder="1" applyAlignment="1">
      <alignment vertical="center" wrapText="1"/>
    </xf>
    <xf numFmtId="164" fontId="70" fillId="0" borderId="33" xfId="1446" applyFont="1" applyFill="1" applyBorder="1"/>
    <xf numFmtId="164" fontId="70" fillId="0" borderId="11" xfId="1446" applyFont="1" applyFill="1" applyBorder="1"/>
    <xf numFmtId="164" fontId="70" fillId="0" borderId="11" xfId="1446" applyFont="1" applyFill="1" applyBorder="1" applyAlignment="1">
      <alignment vertical="top"/>
    </xf>
    <xf numFmtId="43" fontId="70" fillId="0" borderId="0" xfId="100" applyFont="1" applyFill="1" applyBorder="1" applyAlignment="1">
      <alignment vertical="center"/>
    </xf>
    <xf numFmtId="0" fontId="70" fillId="0" borderId="28" xfId="1473" applyFont="1" applyBorder="1" applyAlignment="1">
      <alignment horizontal="center" vertical="center"/>
    </xf>
    <xf numFmtId="0" fontId="70" fillId="0" borderId="55" xfId="954" applyFont="1" applyBorder="1" applyAlignment="1">
      <alignment horizontal="left" vertical="center" wrapText="1"/>
    </xf>
    <xf numFmtId="0" fontId="76" fillId="0" borderId="0" xfId="0" applyFont="1"/>
    <xf numFmtId="0" fontId="70" fillId="0" borderId="0" xfId="954" applyFont="1" applyAlignment="1">
      <alignment horizontal="right" indent="1"/>
    </xf>
    <xf numFmtId="168" fontId="70" fillId="0" borderId="0" xfId="954" applyNumberFormat="1" applyFont="1" applyAlignment="1">
      <alignment horizontal="left" vertical="top" indent="1"/>
    </xf>
    <xf numFmtId="0" fontId="70" fillId="0" borderId="55" xfId="954" applyFont="1" applyBorder="1" applyAlignment="1">
      <alignment horizontal="left" vertical="center"/>
    </xf>
    <xf numFmtId="0" fontId="70" fillId="0" borderId="55" xfId="954" applyFont="1" applyBorder="1" applyAlignment="1">
      <alignment horizontal="center" vertical="center" wrapText="1"/>
    </xf>
    <xf numFmtId="0" fontId="70" fillId="0" borderId="28" xfId="954" applyFont="1" applyBorder="1" applyAlignment="1">
      <alignment horizontal="left" vertical="center"/>
    </xf>
    <xf numFmtId="0" fontId="78" fillId="0" borderId="0" xfId="0" applyFont="1"/>
    <xf numFmtId="0" fontId="78" fillId="0" borderId="0" xfId="954" applyFont="1" applyAlignment="1">
      <alignment vertical="center"/>
    </xf>
    <xf numFmtId="0" fontId="79" fillId="0" borderId="0" xfId="838" applyFont="1" applyAlignment="1" applyProtection="1">
      <alignment horizontal="right" vertical="center" wrapText="1" indent="1"/>
    </xf>
    <xf numFmtId="0" fontId="78" fillId="0" borderId="0" xfId="0" applyFont="1" applyAlignment="1">
      <alignment vertical="center" wrapText="1"/>
    </xf>
    <xf numFmtId="0" fontId="71" fillId="9" borderId="0" xfId="873" applyFont="1" applyFill="1" applyAlignment="1">
      <alignment vertical="center"/>
    </xf>
    <xf numFmtId="0" fontId="70" fillId="8" borderId="0" xfId="873" applyFont="1" applyFill="1" applyAlignment="1">
      <alignment vertical="center"/>
    </xf>
    <xf numFmtId="164" fontId="70" fillId="0" borderId="54" xfId="1446" applyFont="1" applyFill="1" applyBorder="1" applyAlignment="1">
      <alignment vertical="center" wrapText="1"/>
    </xf>
    <xf numFmtId="164" fontId="71" fillId="0" borderId="51" xfId="1446" applyFont="1" applyFill="1" applyBorder="1" applyAlignment="1">
      <alignment vertical="center" wrapText="1"/>
    </xf>
    <xf numFmtId="164" fontId="70" fillId="0" borderId="51" xfId="1446" applyFont="1" applyFill="1" applyBorder="1" applyAlignment="1">
      <alignment vertical="center" wrapText="1"/>
    </xf>
    <xf numFmtId="164" fontId="78" fillId="0" borderId="0" xfId="1446" applyFont="1" applyFill="1" applyAlignment="1">
      <alignment vertical="center"/>
    </xf>
    <xf numFmtId="164" fontId="70" fillId="0" borderId="52" xfId="1446" applyFont="1" applyFill="1" applyBorder="1" applyAlignment="1">
      <alignment vertical="center" wrapText="1"/>
    </xf>
    <xf numFmtId="164" fontId="80" fillId="0" borderId="0" xfId="1446" applyFont="1" applyFill="1" applyBorder="1" applyAlignment="1">
      <alignment vertical="center"/>
    </xf>
    <xf numFmtId="43" fontId="70" fillId="0" borderId="0" xfId="261" applyFont="1" applyFill="1" applyBorder="1" applyAlignment="1">
      <alignment vertical="center"/>
    </xf>
    <xf numFmtId="0" fontId="81" fillId="10" borderId="0" xfId="873" applyFont="1" applyFill="1" applyAlignment="1">
      <alignment vertical="center"/>
    </xf>
    <xf numFmtId="164" fontId="70" fillId="0" borderId="33" xfId="1446" applyFont="1" applyFill="1" applyBorder="1" applyAlignment="1">
      <alignment horizontal="center" vertical="center" wrapText="1"/>
    </xf>
    <xf numFmtId="164" fontId="70" fillId="0" borderId="0" xfId="1446" applyFont="1" applyAlignment="1">
      <alignment vertical="center"/>
    </xf>
    <xf numFmtId="164" fontId="70" fillId="0" borderId="11" xfId="1474" applyFont="1" applyFill="1" applyBorder="1" applyAlignment="1">
      <alignment horizontal="left" vertical="center"/>
    </xf>
    <xf numFmtId="165" fontId="66" fillId="0" borderId="0" xfId="1474" applyNumberFormat="1" applyFont="1" applyFill="1"/>
    <xf numFmtId="164" fontId="66" fillId="0" borderId="0" xfId="1474" applyFont="1" applyFill="1"/>
    <xf numFmtId="164" fontId="66" fillId="0" borderId="0" xfId="1474" applyFont="1" applyFill="1" applyAlignment="1">
      <alignment horizontal="right"/>
    </xf>
    <xf numFmtId="0" fontId="71" fillId="0" borderId="5" xfId="1473" applyFont="1" applyBorder="1" applyAlignment="1">
      <alignment horizontal="center" vertical="center"/>
    </xf>
    <xf numFmtId="0" fontId="71" fillId="0" borderId="85" xfId="1473" applyFont="1" applyBorder="1" applyAlignment="1">
      <alignment horizontal="center" vertical="center"/>
    </xf>
    <xf numFmtId="164" fontId="71" fillId="0" borderId="0" xfId="1446" applyFont="1" applyAlignment="1">
      <alignment vertical="center"/>
    </xf>
    <xf numFmtId="43" fontId="81" fillId="0" borderId="75" xfId="261" applyFont="1" applyBorder="1" applyAlignment="1">
      <alignment vertical="center"/>
    </xf>
    <xf numFmtId="43" fontId="81" fillId="0" borderId="76" xfId="455" applyFont="1" applyBorder="1" applyAlignment="1">
      <alignment vertical="center"/>
    </xf>
    <xf numFmtId="0" fontId="78" fillId="0" borderId="0" xfId="1473" applyFont="1" applyAlignment="1">
      <alignment horizontal="center" vertical="center"/>
    </xf>
    <xf numFmtId="0" fontId="70" fillId="0" borderId="0" xfId="1473" applyFont="1" applyAlignment="1">
      <alignment horizontal="left"/>
    </xf>
    <xf numFmtId="0" fontId="78" fillId="0" borderId="0" xfId="1473" applyFont="1" applyAlignment="1">
      <alignment horizontal="left" vertical="center"/>
    </xf>
    <xf numFmtId="0" fontId="70" fillId="0" borderId="0" xfId="1473" applyFont="1" applyAlignment="1">
      <alignment horizontal="left" vertical="center" indent="11"/>
    </xf>
    <xf numFmtId="0" fontId="78" fillId="0" borderId="0" xfId="1473" applyFont="1" applyAlignment="1">
      <alignment vertical="center"/>
    </xf>
    <xf numFmtId="168" fontId="70" fillId="0" borderId="0" xfId="1473" applyNumberFormat="1" applyFont="1" applyAlignment="1">
      <alignment horizontal="left" vertical="top" indent="11"/>
    </xf>
    <xf numFmtId="168" fontId="78" fillId="0" borderId="0" xfId="1473" applyNumberFormat="1" applyFont="1" applyAlignment="1">
      <alignment horizontal="right" vertical="top"/>
    </xf>
    <xf numFmtId="168" fontId="70" fillId="0" borderId="0" xfId="1473" applyNumberFormat="1" applyFont="1" applyAlignment="1">
      <alignment horizontal="center" vertical="top"/>
    </xf>
    <xf numFmtId="168" fontId="78" fillId="0" borderId="0" xfId="1473" applyNumberFormat="1" applyFont="1" applyAlignment="1">
      <alignment horizontal="left" vertical="top"/>
    </xf>
    <xf numFmtId="168" fontId="70" fillId="0" borderId="0" xfId="1473" applyNumberFormat="1" applyFont="1" applyAlignment="1">
      <alignment horizontal="right" vertical="top"/>
    </xf>
    <xf numFmtId="43" fontId="70" fillId="0" borderId="72" xfId="261" applyFont="1" applyBorder="1" applyAlignment="1">
      <alignment vertical="center"/>
    </xf>
    <xf numFmtId="43" fontId="70" fillId="0" borderId="73" xfId="261" applyFont="1" applyBorder="1" applyAlignment="1">
      <alignment vertical="center"/>
    </xf>
    <xf numFmtId="43" fontId="70" fillId="0" borderId="73" xfId="455" applyFont="1" applyBorder="1" applyAlignment="1">
      <alignment vertical="center"/>
    </xf>
    <xf numFmtId="43" fontId="70" fillId="0" borderId="74" xfId="455" applyFont="1" applyBorder="1" applyAlignment="1">
      <alignment vertical="center"/>
    </xf>
    <xf numFmtId="0" fontId="80" fillId="0" borderId="0" xfId="1481" applyFont="1" applyAlignment="1">
      <alignment horizontal="center" vertical="center" wrapText="1"/>
    </xf>
    <xf numFmtId="0" fontId="80" fillId="0" borderId="0" xfId="0" applyFont="1" applyAlignment="1">
      <alignment horizontal="left" vertical="center" wrapText="1"/>
    </xf>
    <xf numFmtId="43" fontId="71" fillId="0" borderId="75" xfId="261" applyFont="1" applyBorder="1" applyAlignment="1">
      <alignment vertical="center"/>
    </xf>
    <xf numFmtId="43" fontId="71" fillId="0" borderId="76" xfId="455" applyFont="1" applyBorder="1" applyAlignment="1">
      <alignment vertical="center"/>
    </xf>
    <xf numFmtId="0" fontId="71" fillId="0" borderId="0" xfId="1481" applyFont="1" applyAlignment="1">
      <alignment vertical="center"/>
    </xf>
    <xf numFmtId="43" fontId="70" fillId="0" borderId="75" xfId="261" applyFont="1" applyBorder="1" applyAlignment="1">
      <alignment vertical="center"/>
    </xf>
    <xf numFmtId="43" fontId="70" fillId="0" borderId="76" xfId="455" applyFont="1" applyBorder="1" applyAlignment="1">
      <alignment vertical="center"/>
    </xf>
    <xf numFmtId="0" fontId="70" fillId="0" borderId="5" xfId="1473" applyFont="1" applyBorder="1" applyAlignment="1">
      <alignment horizontal="center" vertical="center"/>
    </xf>
    <xf numFmtId="0" fontId="71" fillId="0" borderId="71" xfId="1481" applyFont="1" applyBorder="1" applyAlignment="1">
      <alignment vertical="center" wrapText="1"/>
    </xf>
    <xf numFmtId="0" fontId="70" fillId="0" borderId="71" xfId="1481" applyFont="1" applyBorder="1" applyAlignment="1">
      <alignment vertical="center" wrapText="1"/>
    </xf>
    <xf numFmtId="0" fontId="70" fillId="0" borderId="0" xfId="1481" applyFont="1" applyAlignment="1">
      <alignment vertical="center"/>
    </xf>
    <xf numFmtId="164" fontId="70" fillId="0" borderId="51" xfId="1446" applyFont="1" applyBorder="1" applyAlignment="1">
      <alignment vertical="center" wrapText="1"/>
    </xf>
    <xf numFmtId="0" fontId="70" fillId="0" borderId="51" xfId="1481" applyFont="1" applyBorder="1" applyAlignment="1">
      <alignment vertical="center" wrapText="1"/>
    </xf>
    <xf numFmtId="0" fontId="70" fillId="0" borderId="52" xfId="1481" applyFont="1" applyBorder="1" applyAlignment="1">
      <alignment vertical="center" wrapText="1"/>
    </xf>
    <xf numFmtId="164" fontId="71" fillId="0" borderId="71" xfId="1446" applyFont="1" applyBorder="1" applyAlignment="1">
      <alignment vertical="center" wrapText="1"/>
    </xf>
    <xf numFmtId="0" fontId="80" fillId="0" borderId="0" xfId="1473" applyFont="1" applyAlignment="1">
      <alignment vertical="center"/>
    </xf>
    <xf numFmtId="43" fontId="82" fillId="0" borderId="75" xfId="261" applyFont="1" applyBorder="1" applyAlignment="1">
      <alignment vertical="center"/>
    </xf>
    <xf numFmtId="0" fontId="77" fillId="0" borderId="54" xfId="1481" applyFont="1" applyBorder="1" applyAlignment="1">
      <alignment vertical="center" wrapText="1"/>
    </xf>
    <xf numFmtId="0" fontId="70" fillId="0" borderId="54" xfId="1481" applyFont="1" applyBorder="1" applyAlignment="1">
      <alignment vertical="center" wrapText="1"/>
    </xf>
    <xf numFmtId="164" fontId="70" fillId="0" borderId="51" xfId="1481" applyNumberFormat="1" applyFont="1" applyBorder="1" applyAlignment="1">
      <alignment vertical="center" wrapText="1"/>
    </xf>
    <xf numFmtId="0" fontId="78" fillId="0" borderId="0" xfId="1481" applyFont="1" applyAlignment="1">
      <alignment vertical="center" wrapText="1"/>
    </xf>
    <xf numFmtId="43" fontId="70" fillId="0" borderId="77" xfId="261" applyFont="1" applyBorder="1" applyAlignment="1">
      <alignment vertical="center"/>
    </xf>
    <xf numFmtId="0" fontId="71" fillId="0" borderId="88" xfId="1481" applyFont="1" applyBorder="1" applyAlignment="1">
      <alignment vertical="center" wrapText="1"/>
    </xf>
    <xf numFmtId="0" fontId="81" fillId="0" borderId="0" xfId="1481" applyFont="1" applyAlignment="1">
      <alignment vertical="center" wrapText="1"/>
    </xf>
    <xf numFmtId="164" fontId="81" fillId="0" borderId="0" xfId="1446" applyFont="1" applyAlignment="1">
      <alignment vertical="center"/>
    </xf>
    <xf numFmtId="0" fontId="71" fillId="0" borderId="0" xfId="1481" applyFont="1" applyAlignment="1">
      <alignment horizontal="left" vertical="center" wrapText="1"/>
    </xf>
    <xf numFmtId="43" fontId="70" fillId="0" borderId="0" xfId="1478" applyFont="1"/>
    <xf numFmtId="0" fontId="71" fillId="0" borderId="5" xfId="954" applyFont="1" applyBorder="1" applyAlignment="1">
      <alignment horizontal="center" vertical="center"/>
    </xf>
    <xf numFmtId="43" fontId="71" fillId="0" borderId="5" xfId="454" applyFont="1" applyFill="1" applyBorder="1" applyAlignment="1">
      <alignment vertical="center"/>
    </xf>
    <xf numFmtId="164" fontId="71" fillId="0" borderId="12" xfId="244" applyFont="1" applyFill="1" applyBorder="1" applyAlignment="1">
      <alignment horizontal="center" vertical="center"/>
    </xf>
    <xf numFmtId="164" fontId="71" fillId="0" borderId="12" xfId="1446" applyFont="1" applyFill="1" applyBorder="1" applyAlignment="1">
      <alignment vertical="center"/>
    </xf>
    <xf numFmtId="43" fontId="71" fillId="0" borderId="12" xfId="454" applyFont="1" applyFill="1" applyBorder="1" applyAlignment="1">
      <alignment vertical="center"/>
    </xf>
    <xf numFmtId="43" fontId="71" fillId="0" borderId="5" xfId="454" applyFont="1" applyFill="1" applyBorder="1" applyAlignment="1">
      <alignment horizontal="center" vertical="center"/>
    </xf>
    <xf numFmtId="43" fontId="70" fillId="0" borderId="5" xfId="454" applyFont="1" applyFill="1" applyBorder="1" applyAlignment="1">
      <alignment vertical="center"/>
    </xf>
    <xf numFmtId="164" fontId="83" fillId="0" borderId="0" xfId="1446" applyFont="1" applyFill="1" applyAlignment="1">
      <alignment vertical="center"/>
    </xf>
    <xf numFmtId="164" fontId="69" fillId="0" borderId="13" xfId="1446" applyFont="1" applyFill="1" applyBorder="1" applyAlignment="1">
      <alignment vertical="center" wrapText="1"/>
    </xf>
    <xf numFmtId="164" fontId="76" fillId="0" borderId="0" xfId="1446" applyFont="1" applyFill="1" applyAlignment="1">
      <alignment vertical="center"/>
    </xf>
    <xf numFmtId="0" fontId="76" fillId="0" borderId="0" xfId="873" applyFont="1" applyAlignment="1">
      <alignment vertical="center"/>
    </xf>
    <xf numFmtId="0" fontId="70" fillId="0" borderId="5" xfId="954" applyFont="1" applyBorder="1" applyAlignment="1">
      <alignment horizontal="center" vertical="center"/>
    </xf>
    <xf numFmtId="0" fontId="71" fillId="0" borderId="5" xfId="954" applyFont="1" applyBorder="1" applyAlignment="1">
      <alignment horizontal="left" vertical="center"/>
    </xf>
    <xf numFmtId="164" fontId="71" fillId="0" borderId="5" xfId="954" applyNumberFormat="1" applyFont="1" applyBorder="1" applyAlignment="1">
      <alignment vertical="center" wrapText="1"/>
    </xf>
    <xf numFmtId="0" fontId="71" fillId="0" borderId="5" xfId="954" applyFont="1" applyBorder="1" applyAlignment="1">
      <alignment vertical="center" wrapText="1"/>
    </xf>
    <xf numFmtId="0" fontId="73" fillId="0" borderId="5" xfId="954" applyFont="1" applyBorder="1" applyAlignment="1">
      <alignment vertical="center" wrapText="1"/>
    </xf>
    <xf numFmtId="0" fontId="73" fillId="0" borderId="85" xfId="954" applyFont="1" applyBorder="1" applyAlignment="1">
      <alignment horizontal="center" vertical="center"/>
    </xf>
    <xf numFmtId="0" fontId="71" fillId="0" borderId="85" xfId="954" applyFont="1" applyBorder="1" applyAlignment="1">
      <alignment horizontal="left" vertical="center"/>
    </xf>
    <xf numFmtId="164" fontId="71" fillId="0" borderId="85" xfId="1446" applyFont="1" applyFill="1" applyBorder="1" applyAlignment="1">
      <alignment horizontal="center" vertical="center"/>
    </xf>
    <xf numFmtId="0" fontId="73" fillId="0" borderId="85" xfId="954" applyFont="1" applyBorder="1" applyAlignment="1">
      <alignment horizontal="center"/>
    </xf>
    <xf numFmtId="43" fontId="69" fillId="0" borderId="5" xfId="454" applyFont="1" applyFill="1" applyBorder="1" applyAlignment="1">
      <alignment horizontal="center" vertical="center"/>
    </xf>
    <xf numFmtId="0" fontId="71" fillId="0" borderId="5" xfId="873" applyFont="1" applyBorder="1" applyAlignment="1">
      <alignment horizontal="center" vertical="center" wrapText="1"/>
    </xf>
    <xf numFmtId="164" fontId="69" fillId="0" borderId="5" xfId="1446" applyFont="1" applyFill="1" applyBorder="1" applyAlignment="1">
      <alignment horizontal="center" vertical="center"/>
    </xf>
    <xf numFmtId="43" fontId="69" fillId="0" borderId="62" xfId="454" applyFont="1" applyFill="1" applyBorder="1" applyAlignment="1">
      <alignment horizontal="center" vertical="center"/>
    </xf>
    <xf numFmtId="43" fontId="69" fillId="0" borderId="9" xfId="454" applyFont="1" applyFill="1" applyBorder="1" applyAlignment="1">
      <alignment horizontal="center" vertical="center"/>
    </xf>
    <xf numFmtId="0" fontId="69" fillId="0" borderId="69" xfId="873" applyFont="1" applyBorder="1" applyAlignment="1">
      <alignment horizontal="center" vertical="center" wrapText="1"/>
    </xf>
    <xf numFmtId="0" fontId="71" fillId="0" borderId="5" xfId="873" applyFont="1" applyBorder="1" applyAlignment="1">
      <alignment vertical="center" wrapText="1"/>
    </xf>
    <xf numFmtId="0" fontId="71" fillId="0" borderId="85" xfId="954" applyFont="1" applyBorder="1" applyAlignment="1">
      <alignment horizontal="center"/>
    </xf>
    <xf numFmtId="164" fontId="71" fillId="0" borderId="85" xfId="954" applyNumberFormat="1" applyFont="1" applyBorder="1"/>
    <xf numFmtId="164" fontId="73" fillId="0" borderId="85" xfId="954" applyNumberFormat="1" applyFont="1" applyBorder="1" applyAlignment="1">
      <alignment shrinkToFit="1"/>
    </xf>
    <xf numFmtId="164" fontId="70" fillId="0" borderId="11" xfId="1474" applyFont="1" applyFill="1" applyBorder="1" applyAlignment="1">
      <alignment vertical="top"/>
    </xf>
    <xf numFmtId="164" fontId="70" fillId="0" borderId="55" xfId="1474" applyFont="1" applyFill="1" applyBorder="1" applyAlignment="1">
      <alignment vertical="top"/>
    </xf>
    <xf numFmtId="164" fontId="70" fillId="0" borderId="55" xfId="1474" applyFont="1" applyFill="1" applyBorder="1" applyAlignment="1">
      <alignment horizontal="center" vertical="center"/>
    </xf>
    <xf numFmtId="0" fontId="71" fillId="0" borderId="85" xfId="954" applyFont="1" applyBorder="1" applyAlignment="1">
      <alignment horizontal="center" vertical="center"/>
    </xf>
    <xf numFmtId="164" fontId="71" fillId="0" borderId="85" xfId="1446" applyFont="1" applyFill="1" applyBorder="1" applyAlignment="1">
      <alignment horizontal="left" vertical="center"/>
    </xf>
    <xf numFmtId="0" fontId="71" fillId="0" borderId="5" xfId="954" applyFont="1" applyBorder="1" applyAlignment="1">
      <alignment horizontal="center" vertical="center" wrapText="1"/>
    </xf>
    <xf numFmtId="0" fontId="71" fillId="0" borderId="5" xfId="954" applyFont="1" applyBorder="1" applyAlignment="1">
      <alignment horizontal="left" vertical="center" wrapText="1"/>
    </xf>
    <xf numFmtId="43" fontId="70" fillId="0" borderId="5" xfId="454" applyFont="1" applyFill="1" applyBorder="1" applyAlignment="1">
      <alignment horizontal="center"/>
    </xf>
    <xf numFmtId="0" fontId="70" fillId="0" borderId="5" xfId="1458" applyFont="1" applyBorder="1" applyAlignment="1">
      <alignment horizontal="center" vertical="center"/>
    </xf>
    <xf numFmtId="164" fontId="71" fillId="0" borderId="85" xfId="954" applyNumberFormat="1" applyFont="1" applyBorder="1" applyAlignment="1">
      <alignment vertical="center"/>
    </xf>
    <xf numFmtId="164" fontId="73" fillId="0" borderId="85" xfId="954" applyNumberFormat="1" applyFont="1" applyBorder="1" applyAlignment="1">
      <alignment vertical="center" shrinkToFit="1"/>
    </xf>
    <xf numFmtId="164" fontId="75" fillId="0" borderId="0" xfId="1446" applyFont="1" applyFill="1" applyBorder="1" applyAlignment="1">
      <alignment vertical="center"/>
    </xf>
    <xf numFmtId="0" fontId="71" fillId="0" borderId="71" xfId="873" applyFont="1" applyBorder="1" applyAlignment="1">
      <alignment vertical="center" wrapText="1"/>
    </xf>
    <xf numFmtId="0" fontId="71" fillId="0" borderId="88" xfId="873" applyFont="1" applyBorder="1" applyAlignment="1">
      <alignment horizontal="center" vertical="center" wrapText="1"/>
    </xf>
    <xf numFmtId="43" fontId="71" fillId="0" borderId="85" xfId="454" applyFont="1" applyFill="1" applyBorder="1" applyAlignment="1">
      <alignment vertical="center"/>
    </xf>
    <xf numFmtId="0" fontId="71" fillId="0" borderId="88" xfId="954" applyFont="1" applyBorder="1" applyAlignment="1">
      <alignment horizontal="center" vertical="center"/>
    </xf>
    <xf numFmtId="43" fontId="70" fillId="0" borderId="5" xfId="1446" applyNumberFormat="1" applyFont="1" applyFill="1" applyBorder="1" applyAlignment="1">
      <alignment horizontal="center" vertical="center"/>
    </xf>
    <xf numFmtId="43" fontId="70" fillId="0" borderId="5" xfId="455" applyFont="1" applyFill="1" applyBorder="1" applyAlignment="1">
      <alignment horizontal="center" vertical="center"/>
    </xf>
    <xf numFmtId="43" fontId="70" fillId="0" borderId="5" xfId="455" applyFont="1" applyFill="1" applyBorder="1" applyAlignment="1">
      <alignment vertical="center"/>
    </xf>
    <xf numFmtId="43" fontId="70" fillId="0" borderId="5" xfId="455" applyFont="1" applyFill="1" applyBorder="1"/>
    <xf numFmtId="0" fontId="71" fillId="0" borderId="5" xfId="1458" applyFont="1" applyBorder="1" applyAlignment="1">
      <alignment horizontal="center" vertical="center"/>
    </xf>
    <xf numFmtId="0" fontId="87" fillId="0" borderId="0" xfId="954" applyFont="1" applyAlignment="1">
      <alignment vertical="center"/>
    </xf>
    <xf numFmtId="164" fontId="87" fillId="0" borderId="0" xfId="1446" applyFont="1" applyFill="1" applyAlignment="1">
      <alignment vertical="center"/>
    </xf>
    <xf numFmtId="164" fontId="71" fillId="0" borderId="9" xfId="1446" applyFont="1" applyFill="1" applyBorder="1" applyAlignment="1">
      <alignment vertical="center"/>
    </xf>
    <xf numFmtId="43" fontId="71" fillId="0" borderId="9" xfId="454" applyFont="1" applyFill="1" applyBorder="1" applyAlignment="1">
      <alignment vertical="center"/>
    </xf>
    <xf numFmtId="164" fontId="86" fillId="0" borderId="0" xfId="244" applyFont="1" applyFill="1" applyAlignment="1">
      <alignment vertical="center"/>
    </xf>
    <xf numFmtId="164" fontId="86" fillId="0" borderId="11" xfId="244" applyFont="1" applyFill="1" applyBorder="1" applyAlignment="1">
      <alignment vertical="center"/>
    </xf>
    <xf numFmtId="4" fontId="86" fillId="0" borderId="11" xfId="455" applyNumberFormat="1" applyFont="1" applyFill="1" applyBorder="1" applyAlignment="1">
      <alignment horizontal="center" vertical="center"/>
    </xf>
    <xf numFmtId="164" fontId="86" fillId="0" borderId="11" xfId="1446" applyFont="1" applyFill="1" applyBorder="1" applyAlignment="1">
      <alignment vertical="center"/>
    </xf>
    <xf numFmtId="4" fontId="86" fillId="0" borderId="33" xfId="455" applyNumberFormat="1" applyFont="1" applyFill="1" applyBorder="1" applyAlignment="1">
      <alignment horizontal="center" vertical="center"/>
    </xf>
    <xf numFmtId="164" fontId="86" fillId="0" borderId="33" xfId="1446" applyFont="1" applyFill="1" applyBorder="1" applyAlignment="1">
      <alignment vertical="center"/>
    </xf>
    <xf numFmtId="0" fontId="86" fillId="0" borderId="0" xfId="0" applyFont="1"/>
    <xf numFmtId="164" fontId="86" fillId="0" borderId="11" xfId="1446" applyFont="1" applyFill="1" applyBorder="1" applyAlignment="1">
      <alignment horizontal="center" vertical="center"/>
    </xf>
    <xf numFmtId="0" fontId="85" fillId="0" borderId="11" xfId="455" applyNumberFormat="1" applyFont="1" applyFill="1" applyBorder="1" applyAlignment="1">
      <alignment horizontal="center" vertical="center"/>
    </xf>
    <xf numFmtId="164" fontId="86" fillId="0" borderId="33" xfId="1446" applyFont="1" applyFill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164" fontId="86" fillId="0" borderId="55" xfId="1446" applyFont="1" applyFill="1" applyBorder="1" applyAlignment="1">
      <alignment vertical="center"/>
    </xf>
    <xf numFmtId="164" fontId="85" fillId="0" borderId="12" xfId="244" applyFont="1" applyFill="1" applyBorder="1" applyAlignment="1">
      <alignment vertical="center"/>
    </xf>
    <xf numFmtId="164" fontId="86" fillId="0" borderId="11" xfId="1474" applyFont="1" applyFill="1" applyBorder="1" applyAlignment="1">
      <alignment vertical="center"/>
    </xf>
    <xf numFmtId="164" fontId="86" fillId="0" borderId="55" xfId="1474" applyFont="1" applyFill="1" applyBorder="1" applyAlignment="1">
      <alignment vertical="center"/>
    </xf>
    <xf numFmtId="164" fontId="86" fillId="0" borderId="28" xfId="1446" applyFont="1" applyFill="1" applyBorder="1" applyAlignment="1">
      <alignment vertical="center"/>
    </xf>
    <xf numFmtId="164" fontId="86" fillId="0" borderId="28" xfId="1446" applyFont="1" applyFill="1" applyBorder="1" applyAlignment="1">
      <alignment horizontal="center" vertical="center"/>
    </xf>
    <xf numFmtId="164" fontId="86" fillId="0" borderId="0" xfId="244" applyFont="1" applyFill="1" applyBorder="1" applyAlignment="1">
      <alignment horizontal="center" vertical="center"/>
    </xf>
    <xf numFmtId="43" fontId="86" fillId="0" borderId="0" xfId="454" applyFont="1" applyFill="1" applyBorder="1" applyAlignment="1">
      <alignment vertical="center"/>
    </xf>
    <xf numFmtId="0" fontId="66" fillId="0" borderId="0" xfId="1473" applyFont="1"/>
    <xf numFmtId="0" fontId="66" fillId="0" borderId="0" xfId="1473" applyFont="1" applyAlignment="1">
      <alignment horizontal="center"/>
    </xf>
    <xf numFmtId="0" fontId="66" fillId="0" borderId="0" xfId="1473" applyFont="1" applyAlignment="1">
      <alignment horizontal="left" vertical="center"/>
    </xf>
    <xf numFmtId="164" fontId="85" fillId="0" borderId="9" xfId="1446" applyFont="1" applyFill="1" applyBorder="1" applyAlignment="1">
      <alignment horizontal="center" vertical="center"/>
    </xf>
    <xf numFmtId="164" fontId="86" fillId="0" borderId="55" xfId="1446" applyFont="1" applyFill="1" applyBorder="1" applyAlignment="1">
      <alignment horizontal="center" vertical="center"/>
    </xf>
    <xf numFmtId="164" fontId="86" fillId="0" borderId="0" xfId="1446" applyFont="1" applyFill="1" applyBorder="1" applyAlignment="1">
      <alignment horizontal="center" vertical="center"/>
    </xf>
    <xf numFmtId="0" fontId="91" fillId="0" borderId="0" xfId="0" applyFont="1"/>
    <xf numFmtId="0" fontId="91" fillId="0" borderId="0" xfId="954" applyFont="1" applyAlignment="1">
      <alignment horizontal="left"/>
    </xf>
    <xf numFmtId="0" fontId="91" fillId="0" borderId="0" xfId="954" applyFont="1" applyAlignment="1">
      <alignment vertical="center"/>
    </xf>
    <xf numFmtId="0" fontId="91" fillId="0" borderId="0" xfId="954" applyFont="1" applyAlignment="1">
      <alignment horizontal="center"/>
    </xf>
    <xf numFmtId="0" fontId="91" fillId="0" borderId="0" xfId="954" applyFont="1" applyAlignment="1">
      <alignment horizontal="left" vertical="center"/>
    </xf>
    <xf numFmtId="0" fontId="91" fillId="0" borderId="0" xfId="954" applyFont="1" applyAlignment="1">
      <alignment horizontal="left" vertical="center" indent="1"/>
    </xf>
    <xf numFmtId="0" fontId="91" fillId="0" borderId="0" xfId="954" applyFont="1" applyAlignment="1">
      <alignment vertical="top"/>
    </xf>
    <xf numFmtId="168" fontId="91" fillId="0" borderId="0" xfId="954" applyNumberFormat="1" applyFont="1" applyAlignment="1">
      <alignment vertical="top"/>
    </xf>
    <xf numFmtId="168" fontId="91" fillId="0" borderId="0" xfId="954" applyNumberFormat="1" applyFont="1" applyAlignment="1">
      <alignment horizontal="left" vertical="top" indent="1"/>
    </xf>
    <xf numFmtId="0" fontId="91" fillId="0" borderId="0" xfId="1473" applyFont="1" applyAlignment="1">
      <alignment vertical="top"/>
    </xf>
    <xf numFmtId="168" fontId="91" fillId="0" borderId="0" xfId="954" applyNumberFormat="1" applyFont="1" applyAlignment="1">
      <alignment horizontal="center" vertical="top"/>
    </xf>
    <xf numFmtId="43" fontId="91" fillId="0" borderId="0" xfId="454" applyFont="1" applyFill="1" applyBorder="1" applyAlignment="1">
      <alignment vertical="center"/>
    </xf>
    <xf numFmtId="164" fontId="94" fillId="0" borderId="5" xfId="1446" applyFont="1" applyFill="1" applyBorder="1" applyAlignment="1">
      <alignment vertical="center"/>
    </xf>
    <xf numFmtId="164" fontId="91" fillId="0" borderId="33" xfId="1446" applyFont="1" applyFill="1" applyBorder="1" applyAlignment="1">
      <alignment vertical="center"/>
    </xf>
    <xf numFmtId="164" fontId="91" fillId="0" borderId="11" xfId="1446" applyFont="1" applyFill="1" applyBorder="1" applyAlignment="1">
      <alignment vertical="center"/>
    </xf>
    <xf numFmtId="164" fontId="91" fillId="0" borderId="11" xfId="1474" applyFont="1" applyFill="1" applyBorder="1" applyAlignment="1">
      <alignment vertical="center"/>
    </xf>
    <xf numFmtId="43" fontId="91" fillId="0" borderId="11" xfId="455" applyFont="1" applyFill="1" applyBorder="1" applyAlignment="1">
      <alignment vertical="center"/>
    </xf>
    <xf numFmtId="43" fontId="91" fillId="0" borderId="33" xfId="455" applyFont="1" applyFill="1" applyBorder="1" applyAlignment="1">
      <alignment vertical="center"/>
    </xf>
    <xf numFmtId="43" fontId="91" fillId="0" borderId="0" xfId="454" applyFont="1" applyFill="1" applyBorder="1" applyAlignment="1"/>
    <xf numFmtId="164" fontId="91" fillId="0" borderId="28" xfId="1446" applyFont="1" applyFill="1" applyBorder="1" applyAlignment="1">
      <alignment vertical="center"/>
    </xf>
    <xf numFmtId="164" fontId="70" fillId="0" borderId="0" xfId="1446" applyFont="1" applyFill="1" applyAlignment="1">
      <alignment horizontal="center" vertical="center"/>
    </xf>
    <xf numFmtId="0" fontId="71" fillId="0" borderId="55" xfId="954" applyFont="1" applyBorder="1" applyAlignment="1">
      <alignment horizontal="center" vertical="center"/>
    </xf>
    <xf numFmtId="43" fontId="70" fillId="0" borderId="55" xfId="455" applyFont="1" applyFill="1" applyBorder="1" applyAlignment="1">
      <alignment vertical="center"/>
    </xf>
    <xf numFmtId="164" fontId="86" fillId="0" borderId="33" xfId="1474" applyFont="1" applyFill="1" applyBorder="1" applyAlignment="1">
      <alignment vertical="center"/>
    </xf>
    <xf numFmtId="43" fontId="91" fillId="0" borderId="28" xfId="455" applyFont="1" applyFill="1" applyBorder="1" applyAlignment="1">
      <alignment vertical="center"/>
    </xf>
    <xf numFmtId="164" fontId="94" fillId="0" borderId="12" xfId="1446" applyFont="1" applyFill="1" applyBorder="1" applyAlignment="1">
      <alignment vertical="center"/>
    </xf>
    <xf numFmtId="0" fontId="70" fillId="0" borderId="33" xfId="954" applyFont="1" applyBorder="1" applyAlignment="1">
      <alignment vertical="center"/>
    </xf>
    <xf numFmtId="0" fontId="70" fillId="0" borderId="11" xfId="954" applyFont="1" applyBorder="1" applyAlignment="1">
      <alignment vertical="center"/>
    </xf>
    <xf numFmtId="0" fontId="70" fillId="0" borderId="28" xfId="954" applyFont="1" applyBorder="1" applyAlignment="1">
      <alignment vertical="center"/>
    </xf>
    <xf numFmtId="164" fontId="70" fillId="0" borderId="33" xfId="1474" applyFont="1" applyFill="1" applyBorder="1" applyAlignment="1">
      <alignment vertical="center"/>
    </xf>
    <xf numFmtId="164" fontId="70" fillId="0" borderId="11" xfId="1474" applyFont="1" applyFill="1" applyBorder="1" applyAlignment="1">
      <alignment vertical="center"/>
    </xf>
    <xf numFmtId="164" fontId="70" fillId="0" borderId="55" xfId="1474" applyFont="1" applyFill="1" applyBorder="1" applyAlignment="1">
      <alignment vertical="center"/>
    </xf>
    <xf numFmtId="0" fontId="81" fillId="0" borderId="0" xfId="954" applyFont="1" applyAlignment="1">
      <alignment vertical="center"/>
    </xf>
    <xf numFmtId="164" fontId="70" fillId="0" borderId="20" xfId="1474" applyFont="1" applyFill="1" applyBorder="1" applyAlignment="1">
      <alignment vertical="center"/>
    </xf>
    <xf numFmtId="164" fontId="70" fillId="0" borderId="55" xfId="1446" applyFont="1" applyFill="1" applyBorder="1" applyAlignment="1">
      <alignment vertical="center" wrapText="1"/>
    </xf>
    <xf numFmtId="0" fontId="77" fillId="0" borderId="28" xfId="954" applyFont="1" applyBorder="1" applyAlignment="1">
      <alignment vertical="center" wrapText="1"/>
    </xf>
    <xf numFmtId="0" fontId="70" fillId="0" borderId="28" xfId="954" applyFont="1" applyBorder="1" applyAlignment="1">
      <alignment vertical="center" wrapText="1"/>
    </xf>
    <xf numFmtId="3" fontId="70" fillId="0" borderId="28" xfId="955" applyNumberFormat="1" applyFont="1" applyBorder="1" applyAlignment="1">
      <alignment vertical="center" wrapText="1"/>
    </xf>
    <xf numFmtId="0" fontId="71" fillId="0" borderId="0" xfId="1473" applyFont="1" applyAlignment="1">
      <alignment horizontal="center" vertical="center"/>
    </xf>
    <xf numFmtId="0" fontId="94" fillId="0" borderId="12" xfId="1473" applyFont="1" applyBorder="1" applyAlignment="1">
      <alignment horizontal="center" vertical="center"/>
    </xf>
    <xf numFmtId="43" fontId="94" fillId="0" borderId="5" xfId="854" applyNumberFormat="1" applyFont="1" applyBorder="1" applyAlignment="1">
      <alignment vertical="center"/>
    </xf>
    <xf numFmtId="0" fontId="91" fillId="0" borderId="11" xfId="1473" applyFont="1" applyBorder="1" applyAlignment="1">
      <alignment horizontal="center" vertical="center"/>
    </xf>
    <xf numFmtId="0" fontId="94" fillId="0" borderId="5" xfId="1473" applyFont="1" applyBorder="1" applyAlignment="1">
      <alignment horizontal="center" vertical="center"/>
    </xf>
    <xf numFmtId="0" fontId="94" fillId="0" borderId="64" xfId="1476" applyFont="1" applyBorder="1" applyAlignment="1" applyProtection="1">
      <alignment horizontal="left" vertical="center"/>
      <protection locked="0"/>
    </xf>
    <xf numFmtId="0" fontId="94" fillId="0" borderId="69" xfId="1476" applyFont="1" applyBorder="1" applyAlignment="1" applyProtection="1">
      <alignment horizontal="left" vertical="center"/>
      <protection locked="0"/>
    </xf>
    <xf numFmtId="43" fontId="71" fillId="0" borderId="0" xfId="1446" applyNumberFormat="1" applyFont="1" applyFill="1" applyAlignment="1">
      <alignment vertical="center"/>
    </xf>
    <xf numFmtId="0" fontId="71" fillId="0" borderId="12" xfId="1473" applyFont="1" applyBorder="1" applyAlignment="1">
      <alignment horizontal="center" vertical="center"/>
    </xf>
    <xf numFmtId="0" fontId="71" fillId="0" borderId="0" xfId="1473" applyFont="1" applyAlignment="1">
      <alignment vertical="center"/>
    </xf>
    <xf numFmtId="164" fontId="71" fillId="0" borderId="5" xfId="1446" applyFont="1" applyFill="1" applyBorder="1" applyAlignment="1">
      <alignment vertical="center"/>
    </xf>
    <xf numFmtId="43" fontId="71" fillId="0" borderId="5" xfId="455" applyFont="1" applyFill="1" applyBorder="1" applyAlignment="1">
      <alignment horizontal="center" vertical="center"/>
    </xf>
    <xf numFmtId="43" fontId="71" fillId="0" borderId="5" xfId="455" applyFont="1" applyFill="1" applyBorder="1" applyAlignment="1">
      <alignment vertical="center"/>
    </xf>
    <xf numFmtId="43" fontId="71" fillId="0" borderId="5" xfId="455" applyFont="1" applyFill="1" applyBorder="1"/>
    <xf numFmtId="43" fontId="71" fillId="0" borderId="5" xfId="854" applyNumberFormat="1" applyFont="1" applyBorder="1" applyAlignment="1">
      <alignment vertical="center"/>
    </xf>
    <xf numFmtId="43" fontId="71" fillId="0" borderId="0" xfId="854" applyNumberFormat="1" applyFont="1" applyAlignment="1">
      <alignment vertical="center"/>
    </xf>
    <xf numFmtId="0" fontId="71" fillId="0" borderId="0" xfId="1473" applyFont="1"/>
    <xf numFmtId="0" fontId="71" fillId="0" borderId="89" xfId="1473" applyFont="1" applyBorder="1" applyAlignment="1">
      <alignment horizontal="center" vertical="center"/>
    </xf>
    <xf numFmtId="164" fontId="71" fillId="0" borderId="85" xfId="1446" applyFont="1" applyFill="1" applyBorder="1" applyAlignment="1">
      <alignment vertical="center"/>
    </xf>
    <xf numFmtId="0" fontId="70" fillId="0" borderId="51" xfId="1457" quotePrefix="1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1" fillId="0" borderId="0" xfId="1466" applyFont="1"/>
    <xf numFmtId="164" fontId="70" fillId="0" borderId="55" xfId="1446" applyFont="1" applyFill="1" applyBorder="1" applyAlignment="1">
      <alignment vertical="top"/>
    </xf>
    <xf numFmtId="0" fontId="70" fillId="0" borderId="8" xfId="1466" applyFont="1" applyBorder="1" applyAlignment="1">
      <alignment horizontal="left" vertical="center"/>
    </xf>
    <xf numFmtId="164" fontId="71" fillId="0" borderId="33" xfId="1446" applyFont="1" applyFill="1" applyBorder="1" applyAlignment="1">
      <alignment vertical="center"/>
    </xf>
    <xf numFmtId="164" fontId="70" fillId="0" borderId="56" xfId="1474" applyFont="1" applyFill="1" applyBorder="1" applyAlignment="1">
      <alignment horizontal="center" vertical="center"/>
    </xf>
    <xf numFmtId="164" fontId="94" fillId="0" borderId="5" xfId="1446" applyFont="1" applyFill="1" applyBorder="1" applyAlignment="1">
      <alignment horizontal="center" vertical="center"/>
    </xf>
    <xf numFmtId="164" fontId="94" fillId="0" borderId="62" xfId="1446" applyFont="1" applyFill="1" applyBorder="1" applyAlignment="1">
      <alignment horizontal="center" vertical="center" wrapText="1"/>
    </xf>
    <xf numFmtId="43" fontId="70" fillId="0" borderId="0" xfId="454" applyFont="1" applyFill="1"/>
    <xf numFmtId="191" fontId="71" fillId="0" borderId="5" xfId="1446" applyNumberFormat="1" applyFont="1" applyFill="1" applyBorder="1" applyAlignment="1">
      <alignment horizontal="center" vertical="center"/>
    </xf>
    <xf numFmtId="167" fontId="70" fillId="0" borderId="33" xfId="455" applyNumberFormat="1" applyFont="1" applyFill="1" applyBorder="1" applyAlignment="1">
      <alignment horizontal="center" vertical="center"/>
    </xf>
    <xf numFmtId="43" fontId="70" fillId="0" borderId="33" xfId="1446" applyNumberFormat="1" applyFont="1" applyFill="1" applyBorder="1" applyAlignment="1">
      <alignment horizontal="center" vertical="center"/>
    </xf>
    <xf numFmtId="43" fontId="70" fillId="0" borderId="33" xfId="455" applyFont="1" applyFill="1" applyBorder="1" applyAlignment="1">
      <alignment horizontal="center" vertical="center"/>
    </xf>
    <xf numFmtId="43" fontId="70" fillId="0" borderId="33" xfId="455" applyFont="1" applyFill="1" applyBorder="1" applyAlignment="1">
      <alignment vertical="center"/>
    </xf>
    <xf numFmtId="43" fontId="71" fillId="0" borderId="33" xfId="854" applyNumberFormat="1" applyFont="1" applyBorder="1" applyAlignment="1">
      <alignment vertical="center"/>
    </xf>
    <xf numFmtId="167" fontId="70" fillId="0" borderId="11" xfId="455" applyNumberFormat="1" applyFont="1" applyFill="1" applyBorder="1" applyAlignment="1">
      <alignment horizontal="center" vertical="center"/>
    </xf>
    <xf numFmtId="0" fontId="70" fillId="0" borderId="56" xfId="1476" applyFont="1" applyBorder="1" applyAlignment="1" applyProtection="1">
      <alignment horizontal="center" vertical="center"/>
      <protection locked="0"/>
    </xf>
    <xf numFmtId="43" fontId="70" fillId="0" borderId="11" xfId="261" applyFont="1" applyFill="1" applyBorder="1" applyAlignment="1">
      <alignment horizontal="center" vertical="center"/>
    </xf>
    <xf numFmtId="43" fontId="70" fillId="0" borderId="11" xfId="854" applyNumberFormat="1" applyFont="1" applyBorder="1" applyAlignment="1">
      <alignment vertical="center"/>
    </xf>
    <xf numFmtId="43" fontId="71" fillId="0" borderId="0" xfId="1446" applyNumberFormat="1" applyFont="1" applyFill="1" applyAlignment="1">
      <alignment horizontal="left" vertical="center"/>
    </xf>
    <xf numFmtId="43" fontId="70" fillId="0" borderId="11" xfId="1446" applyNumberFormat="1" applyFont="1" applyFill="1" applyBorder="1" applyAlignment="1">
      <alignment horizontal="center" vertical="center"/>
    </xf>
    <xf numFmtId="43" fontId="70" fillId="0" borderId="11" xfId="455" applyFont="1" applyFill="1" applyBorder="1" applyAlignment="1">
      <alignment horizontal="center" vertical="center"/>
    </xf>
    <xf numFmtId="43" fontId="70" fillId="0" borderId="51" xfId="455" applyFont="1" applyFill="1" applyBorder="1" applyAlignment="1">
      <alignment vertical="center"/>
    </xf>
    <xf numFmtId="0" fontId="70" fillId="0" borderId="51" xfId="1466" applyFont="1" applyBorder="1" applyAlignment="1">
      <alignment horizontal="left" vertical="center" wrapText="1"/>
    </xf>
    <xf numFmtId="167" fontId="70" fillId="0" borderId="55" xfId="455" applyNumberFormat="1" applyFont="1" applyFill="1" applyBorder="1" applyAlignment="1">
      <alignment horizontal="center" vertical="center"/>
    </xf>
    <xf numFmtId="164" fontId="70" fillId="0" borderId="50" xfId="1474" applyFont="1" applyFill="1" applyBorder="1" applyAlignment="1">
      <alignment horizontal="center" vertical="center"/>
    </xf>
    <xf numFmtId="43" fontId="70" fillId="0" borderId="55" xfId="854" applyNumberFormat="1" applyFont="1" applyBorder="1" applyAlignment="1">
      <alignment vertical="center"/>
    </xf>
    <xf numFmtId="0" fontId="70" fillId="0" borderId="67" xfId="1476" applyFont="1" applyBorder="1" applyAlignment="1" applyProtection="1">
      <alignment horizontal="center" vertical="center"/>
      <protection locked="0"/>
    </xf>
    <xf numFmtId="3" fontId="71" fillId="0" borderId="65" xfId="1477" applyNumberFormat="1" applyFont="1" applyBorder="1" applyAlignment="1">
      <alignment horizontal="center" vertical="center"/>
    </xf>
    <xf numFmtId="43" fontId="70" fillId="0" borderId="12" xfId="1446" applyNumberFormat="1" applyFont="1" applyFill="1" applyBorder="1" applyAlignment="1">
      <alignment horizontal="center" vertical="center"/>
    </xf>
    <xf numFmtId="43" fontId="71" fillId="0" borderId="12" xfId="1473" applyNumberFormat="1" applyFont="1" applyBorder="1" applyAlignment="1">
      <alignment horizontal="center" vertical="center"/>
    </xf>
    <xf numFmtId="43" fontId="71" fillId="0" borderId="12" xfId="455" applyFont="1" applyFill="1" applyBorder="1" applyAlignment="1">
      <alignment vertical="center"/>
    </xf>
    <xf numFmtId="0" fontId="71" fillId="0" borderId="88" xfId="1473" applyFont="1" applyBorder="1" applyAlignment="1">
      <alignment horizontal="left" vertical="center"/>
    </xf>
    <xf numFmtId="164" fontId="70" fillId="0" borderId="85" xfId="1474" applyFont="1" applyFill="1" applyBorder="1" applyAlignment="1">
      <alignment horizontal="left" vertical="center"/>
    </xf>
    <xf numFmtId="164" fontId="71" fillId="0" borderId="85" xfId="1474" applyFont="1" applyFill="1" applyBorder="1" applyAlignment="1">
      <alignment horizontal="left" vertical="center"/>
    </xf>
    <xf numFmtId="167" fontId="70" fillId="0" borderId="33" xfId="455" applyNumberFormat="1" applyFont="1" applyFill="1" applyBorder="1" applyAlignment="1">
      <alignment horizontal="center"/>
    </xf>
    <xf numFmtId="43" fontId="70" fillId="0" borderId="33" xfId="1446" applyNumberFormat="1" applyFont="1" applyFill="1" applyBorder="1" applyAlignment="1">
      <alignment horizontal="center"/>
    </xf>
    <xf numFmtId="43" fontId="70" fillId="0" borderId="33" xfId="455" applyFont="1" applyFill="1" applyBorder="1" applyAlignment="1">
      <alignment horizontal="center"/>
    </xf>
    <xf numFmtId="43" fontId="70" fillId="0" borderId="33" xfId="455" applyFont="1" applyFill="1" applyBorder="1"/>
    <xf numFmtId="43" fontId="70" fillId="0" borderId="0" xfId="0" applyNumberFormat="1" applyFont="1"/>
    <xf numFmtId="43" fontId="70" fillId="0" borderId="51" xfId="455" applyFont="1" applyFill="1" applyBorder="1"/>
    <xf numFmtId="43" fontId="70" fillId="0" borderId="11" xfId="1446" applyNumberFormat="1" applyFont="1" applyFill="1" applyBorder="1" applyAlignment="1">
      <alignment horizontal="center"/>
    </xf>
    <xf numFmtId="43" fontId="70" fillId="0" borderId="11" xfId="455" applyFont="1" applyFill="1" applyBorder="1"/>
    <xf numFmtId="43" fontId="70" fillId="0" borderId="0" xfId="0" applyNumberFormat="1" applyFont="1" applyAlignment="1">
      <alignment vertical="center"/>
    </xf>
    <xf numFmtId="43" fontId="70" fillId="0" borderId="11" xfId="1478" applyFont="1" applyFill="1" applyBorder="1" applyAlignment="1">
      <alignment horizontal="center" vertical="center"/>
    </xf>
    <xf numFmtId="0" fontId="70" fillId="0" borderId="50" xfId="1476" applyFont="1" applyBorder="1" applyAlignment="1" applyProtection="1">
      <alignment horizontal="center" vertical="center"/>
      <protection locked="0"/>
    </xf>
    <xf numFmtId="43" fontId="70" fillId="0" borderId="8" xfId="455" applyFont="1" applyFill="1" applyBorder="1" applyAlignment="1">
      <alignment vertical="center" wrapText="1"/>
    </xf>
    <xf numFmtId="43" fontId="70" fillId="0" borderId="55" xfId="1446" applyNumberFormat="1" applyFont="1" applyFill="1" applyBorder="1" applyAlignment="1">
      <alignment horizontal="center" vertical="center"/>
    </xf>
    <xf numFmtId="0" fontId="70" fillId="0" borderId="58" xfId="1457" quotePrefix="1" applyFont="1" applyBorder="1" applyAlignment="1">
      <alignment horizontal="center" vertical="center"/>
    </xf>
    <xf numFmtId="43" fontId="70" fillId="0" borderId="54" xfId="261" applyFont="1" applyFill="1" applyBorder="1" applyAlignment="1">
      <alignment vertical="center"/>
    </xf>
    <xf numFmtId="0" fontId="70" fillId="0" borderId="56" xfId="1457" applyFont="1" applyBorder="1" applyAlignment="1">
      <alignment horizontal="center" vertical="center"/>
    </xf>
    <xf numFmtId="43" fontId="70" fillId="0" borderId="51" xfId="261" applyFont="1" applyFill="1" applyBorder="1" applyAlignment="1">
      <alignment vertical="center"/>
    </xf>
    <xf numFmtId="164" fontId="71" fillId="0" borderId="11" xfId="1446" applyFont="1" applyFill="1" applyBorder="1"/>
    <xf numFmtId="43" fontId="71" fillId="0" borderId="11" xfId="455" applyFont="1" applyFill="1" applyBorder="1" applyAlignment="1">
      <alignment horizontal="center"/>
    </xf>
    <xf numFmtId="43" fontId="71" fillId="0" borderId="11" xfId="455" applyFont="1" applyFill="1" applyBorder="1"/>
    <xf numFmtId="43" fontId="71" fillId="0" borderId="11" xfId="854" applyNumberFormat="1" applyFont="1" applyBorder="1" applyAlignment="1">
      <alignment vertical="center"/>
    </xf>
    <xf numFmtId="0" fontId="70" fillId="0" borderId="51" xfId="1473" quotePrefix="1" applyFont="1" applyBorder="1" applyAlignment="1">
      <alignment horizontal="left" vertical="center" wrapText="1"/>
    </xf>
    <xf numFmtId="43" fontId="70" fillId="0" borderId="56" xfId="261" applyFont="1" applyFill="1" applyBorder="1" applyAlignment="1">
      <alignment horizontal="left" vertical="center"/>
    </xf>
    <xf numFmtId="43" fontId="71" fillId="0" borderId="51" xfId="261" applyFont="1" applyFill="1" applyBorder="1" applyAlignment="1">
      <alignment horizontal="left" vertical="center"/>
    </xf>
    <xf numFmtId="43" fontId="71" fillId="0" borderId="11" xfId="261" applyFont="1" applyFill="1" applyBorder="1" applyAlignment="1">
      <alignment vertical="center"/>
    </xf>
    <xf numFmtId="43" fontId="71" fillId="0" borderId="11" xfId="1473" applyNumberFormat="1" applyFont="1" applyBorder="1" applyAlignment="1">
      <alignment horizontal="center" vertical="center"/>
    </xf>
    <xf numFmtId="167" fontId="71" fillId="0" borderId="11" xfId="455" applyNumberFormat="1" applyFont="1" applyFill="1" applyBorder="1" applyAlignment="1">
      <alignment horizontal="center" vertical="top"/>
    </xf>
    <xf numFmtId="0" fontId="70" fillId="0" borderId="56" xfId="1476" applyFont="1" applyBorder="1" applyAlignment="1" applyProtection="1">
      <alignment horizontal="center" vertical="top"/>
      <protection locked="0"/>
    </xf>
    <xf numFmtId="3" fontId="70" fillId="0" borderId="51" xfId="1477" applyNumberFormat="1" applyFont="1" applyBorder="1" applyAlignment="1">
      <alignment horizontal="left" vertical="top" wrapText="1"/>
    </xf>
    <xf numFmtId="43" fontId="70" fillId="0" borderId="11" xfId="1446" applyNumberFormat="1" applyFont="1" applyFill="1" applyBorder="1" applyAlignment="1">
      <alignment horizontal="center" vertical="top"/>
    </xf>
    <xf numFmtId="43" fontId="70" fillId="0" borderId="11" xfId="455" applyFont="1" applyFill="1" applyBorder="1" applyAlignment="1">
      <alignment horizontal="center" vertical="top"/>
    </xf>
    <xf numFmtId="43" fontId="70" fillId="0" borderId="11" xfId="455" applyFont="1" applyFill="1" applyBorder="1" applyAlignment="1">
      <alignment vertical="top"/>
    </xf>
    <xf numFmtId="43" fontId="71" fillId="0" borderId="11" xfId="854" applyNumberFormat="1" applyFont="1" applyBorder="1" applyAlignment="1">
      <alignment vertical="top"/>
    </xf>
    <xf numFmtId="167" fontId="71" fillId="0" borderId="55" xfId="455" applyNumberFormat="1" applyFont="1" applyFill="1" applyBorder="1" applyAlignment="1">
      <alignment horizontal="center" vertical="top"/>
    </xf>
    <xf numFmtId="0" fontId="70" fillId="0" borderId="50" xfId="1476" applyFont="1" applyBorder="1" applyAlignment="1" applyProtection="1">
      <alignment horizontal="center" vertical="top"/>
      <protection locked="0"/>
    </xf>
    <xf numFmtId="43" fontId="70" fillId="0" borderId="8" xfId="1446" applyNumberFormat="1" applyFont="1" applyFill="1" applyBorder="1" applyAlignment="1">
      <alignment horizontal="left" vertical="top" wrapText="1"/>
    </xf>
    <xf numFmtId="43" fontId="70" fillId="0" borderId="55" xfId="1446" applyNumberFormat="1" applyFont="1" applyFill="1" applyBorder="1" applyAlignment="1">
      <alignment horizontal="center" vertical="top"/>
    </xf>
    <xf numFmtId="43" fontId="70" fillId="0" borderId="55" xfId="455" applyFont="1" applyFill="1" applyBorder="1" applyAlignment="1">
      <alignment vertical="top"/>
    </xf>
    <xf numFmtId="43" fontId="71" fillId="0" borderId="55" xfId="854" applyNumberFormat="1" applyFont="1" applyBorder="1" applyAlignment="1">
      <alignment vertical="top"/>
    </xf>
    <xf numFmtId="43" fontId="71" fillId="0" borderId="0" xfId="1446" applyNumberFormat="1" applyFont="1" applyFill="1" applyAlignment="1">
      <alignment vertical="top"/>
    </xf>
    <xf numFmtId="43" fontId="70" fillId="0" borderId="11" xfId="455" applyFont="1" applyFill="1" applyBorder="1" applyAlignment="1">
      <alignment horizontal="center"/>
    </xf>
    <xf numFmtId="167" fontId="70" fillId="0" borderId="11" xfId="455" applyNumberFormat="1" applyFont="1" applyFill="1" applyBorder="1" applyAlignment="1">
      <alignment horizontal="center"/>
    </xf>
    <xf numFmtId="0" fontId="71" fillId="0" borderId="0" xfId="1473" applyFont="1" applyAlignment="1">
      <alignment vertical="top"/>
    </xf>
    <xf numFmtId="167" fontId="71" fillId="0" borderId="11" xfId="455" applyNumberFormat="1" applyFont="1" applyFill="1" applyBorder="1" applyAlignment="1">
      <alignment horizontal="center"/>
    </xf>
    <xf numFmtId="43" fontId="70" fillId="0" borderId="33" xfId="261" applyFont="1" applyFill="1" applyBorder="1" applyAlignment="1">
      <alignment horizontal="center" vertical="center"/>
    </xf>
    <xf numFmtId="43" fontId="70" fillId="0" borderId="33" xfId="261" applyFont="1" applyFill="1" applyBorder="1" applyAlignment="1">
      <alignment vertical="center"/>
    </xf>
    <xf numFmtId="43" fontId="70" fillId="0" borderId="33" xfId="1473" applyNumberFormat="1" applyFont="1" applyBorder="1" applyAlignment="1">
      <alignment horizontal="center" vertical="center"/>
    </xf>
    <xf numFmtId="0" fontId="70" fillId="0" borderId="56" xfId="1457" quotePrefix="1" applyFont="1" applyBorder="1" applyAlignment="1">
      <alignment horizontal="center" vertical="center"/>
    </xf>
    <xf numFmtId="43" fontId="70" fillId="0" borderId="11" xfId="261" applyFont="1" applyFill="1" applyBorder="1" applyAlignment="1">
      <alignment vertical="center"/>
    </xf>
    <xf numFmtId="43" fontId="70" fillId="0" borderId="11" xfId="1473" applyNumberFormat="1" applyFont="1" applyBorder="1" applyAlignment="1">
      <alignment horizontal="center" vertical="center"/>
    </xf>
    <xf numFmtId="43" fontId="70" fillId="0" borderId="51" xfId="455" applyFont="1" applyFill="1" applyBorder="1" applyAlignment="1">
      <alignment vertical="top" wrapText="1"/>
    </xf>
    <xf numFmtId="43" fontId="71" fillId="0" borderId="0" xfId="1446" applyNumberFormat="1" applyFont="1" applyFill="1" applyAlignment="1">
      <alignment horizontal="left" vertical="top"/>
    </xf>
    <xf numFmtId="43" fontId="70" fillId="0" borderId="51" xfId="1446" applyNumberFormat="1" applyFont="1" applyFill="1" applyBorder="1" applyAlignment="1">
      <alignment horizontal="left" vertical="top" wrapText="1"/>
    </xf>
    <xf numFmtId="43" fontId="70" fillId="0" borderId="55" xfId="455" applyFont="1" applyFill="1" applyBorder="1" applyAlignment="1">
      <alignment horizontal="center" vertical="top"/>
    </xf>
    <xf numFmtId="192" fontId="70" fillId="0" borderId="33" xfId="455" applyNumberFormat="1" applyFont="1" applyFill="1" applyBorder="1" applyAlignment="1">
      <alignment horizontal="center" vertical="center"/>
    </xf>
    <xf numFmtId="0" fontId="70" fillId="0" borderId="58" xfId="1476" applyFont="1" applyBorder="1" applyAlignment="1" applyProtection="1">
      <alignment horizontal="left" vertical="center"/>
      <protection locked="0"/>
    </xf>
    <xf numFmtId="43" fontId="71" fillId="0" borderId="33" xfId="1446" applyNumberFormat="1" applyFont="1" applyFill="1" applyBorder="1" applyAlignment="1">
      <alignment horizontal="center" vertical="center"/>
    </xf>
    <xf numFmtId="43" fontId="71" fillId="0" borderId="33" xfId="455" applyFont="1" applyFill="1" applyBorder="1" applyAlignment="1">
      <alignment horizontal="center" vertical="center"/>
    </xf>
    <xf numFmtId="43" fontId="71" fillId="0" borderId="33" xfId="455" applyFont="1" applyFill="1" applyBorder="1" applyAlignment="1">
      <alignment vertical="center"/>
    </xf>
    <xf numFmtId="43" fontId="71" fillId="0" borderId="33" xfId="455" applyFont="1" applyFill="1" applyBorder="1"/>
    <xf numFmtId="192" fontId="71" fillId="0" borderId="11" xfId="455" applyNumberFormat="1" applyFont="1" applyFill="1" applyBorder="1" applyAlignment="1">
      <alignment horizontal="center" vertical="center"/>
    </xf>
    <xf numFmtId="164" fontId="71" fillId="0" borderId="11" xfId="1474" applyFont="1" applyFill="1" applyBorder="1" applyAlignment="1">
      <alignment horizontal="center" vertical="center"/>
    </xf>
    <xf numFmtId="164" fontId="71" fillId="0" borderId="11" xfId="1474" applyFont="1" applyFill="1" applyBorder="1" applyAlignment="1">
      <alignment vertical="center"/>
    </xf>
    <xf numFmtId="0" fontId="70" fillId="0" borderId="56" xfId="1476" quotePrefix="1" applyFont="1" applyBorder="1" applyAlignment="1" applyProtection="1">
      <alignment horizontal="center" vertical="center"/>
      <protection locked="0"/>
    </xf>
    <xf numFmtId="0" fontId="71" fillId="0" borderId="55" xfId="1473" applyFont="1" applyBorder="1" applyAlignment="1">
      <alignment horizontal="center" vertical="center"/>
    </xf>
    <xf numFmtId="43" fontId="70" fillId="0" borderId="8" xfId="455" applyFont="1" applyFill="1" applyBorder="1"/>
    <xf numFmtId="43" fontId="70" fillId="0" borderId="55" xfId="455" applyFont="1" applyFill="1" applyBorder="1" applyAlignment="1">
      <alignment horizontal="center" vertical="center"/>
    </xf>
    <xf numFmtId="43" fontId="70" fillId="0" borderId="55" xfId="455" applyFont="1" applyFill="1" applyBorder="1"/>
    <xf numFmtId="43" fontId="71" fillId="0" borderId="55" xfId="1473" applyNumberFormat="1" applyFont="1" applyBorder="1" applyAlignment="1">
      <alignment horizontal="center" vertical="center"/>
    </xf>
    <xf numFmtId="192" fontId="70" fillId="0" borderId="11" xfId="455" applyNumberFormat="1" applyFont="1" applyFill="1" applyBorder="1" applyAlignment="1">
      <alignment horizontal="center" vertical="center"/>
    </xf>
    <xf numFmtId="43" fontId="71" fillId="0" borderId="11" xfId="455" applyFont="1" applyFill="1" applyBorder="1" applyAlignment="1">
      <alignment horizontal="center" vertical="center"/>
    </xf>
    <xf numFmtId="43" fontId="71" fillId="0" borderId="11" xfId="455" applyFont="1" applyFill="1" applyBorder="1" applyAlignment="1">
      <alignment vertical="center"/>
    </xf>
    <xf numFmtId="0" fontId="94" fillId="0" borderId="33" xfId="1473" applyFont="1" applyBorder="1" applyAlignment="1">
      <alignment horizontal="center" vertical="center"/>
    </xf>
    <xf numFmtId="0" fontId="91" fillId="0" borderId="58" xfId="1476" applyFont="1" applyBorder="1" applyAlignment="1" applyProtection="1">
      <alignment horizontal="center" vertical="center"/>
      <protection locked="0"/>
    </xf>
    <xf numFmtId="43" fontId="91" fillId="0" borderId="54" xfId="455" applyFont="1" applyFill="1" applyBorder="1" applyAlignment="1">
      <alignment vertical="center"/>
    </xf>
    <xf numFmtId="43" fontId="91" fillId="0" borderId="33" xfId="455" applyFont="1" applyFill="1" applyBorder="1" applyAlignment="1">
      <alignment horizontal="center"/>
    </xf>
    <xf numFmtId="43" fontId="91" fillId="0" borderId="33" xfId="455" applyFont="1" applyFill="1" applyBorder="1"/>
    <xf numFmtId="0" fontId="71" fillId="0" borderId="54" xfId="1476" applyFont="1" applyBorder="1" applyAlignment="1" applyProtection="1">
      <alignment horizontal="left" vertical="center"/>
      <protection locked="0"/>
    </xf>
    <xf numFmtId="167" fontId="91" fillId="0" borderId="33" xfId="455" applyNumberFormat="1" applyFont="1" applyFill="1" applyBorder="1" applyAlignment="1">
      <alignment horizontal="center" vertical="center"/>
    </xf>
    <xf numFmtId="0" fontId="91" fillId="0" borderId="58" xfId="1476" applyFont="1" applyBorder="1" applyAlignment="1" applyProtection="1">
      <alignment horizontal="left" vertical="center"/>
      <protection locked="0"/>
    </xf>
    <xf numFmtId="164" fontId="91" fillId="0" borderId="33" xfId="1446" applyFont="1" applyFill="1" applyBorder="1"/>
    <xf numFmtId="43" fontId="91" fillId="0" borderId="33" xfId="1446" applyNumberFormat="1" applyFont="1" applyFill="1" applyBorder="1" applyAlignment="1">
      <alignment horizontal="center"/>
    </xf>
    <xf numFmtId="43" fontId="94" fillId="0" borderId="33" xfId="854" applyNumberFormat="1" applyFont="1" applyBorder="1" applyAlignment="1">
      <alignment vertical="center"/>
    </xf>
    <xf numFmtId="0" fontId="94" fillId="0" borderId="11" xfId="1473" applyFont="1" applyBorder="1" applyAlignment="1">
      <alignment horizontal="center" vertical="center"/>
    </xf>
    <xf numFmtId="0" fontId="91" fillId="0" borderId="56" xfId="1476" applyFont="1" applyBorder="1" applyAlignment="1" applyProtection="1">
      <alignment horizontal="center" vertical="center"/>
      <protection locked="0"/>
    </xf>
    <xf numFmtId="43" fontId="91" fillId="0" borderId="51" xfId="455" applyFont="1" applyFill="1" applyBorder="1" applyAlignment="1">
      <alignment vertical="center"/>
    </xf>
    <xf numFmtId="164" fontId="91" fillId="0" borderId="11" xfId="1446" applyFont="1" applyFill="1" applyBorder="1"/>
    <xf numFmtId="43" fontId="91" fillId="0" borderId="11" xfId="1446" applyNumberFormat="1" applyFont="1" applyFill="1" applyBorder="1" applyAlignment="1">
      <alignment horizontal="center"/>
    </xf>
    <xf numFmtId="43" fontId="91" fillId="0" borderId="11" xfId="455" applyFont="1" applyFill="1" applyBorder="1" applyAlignment="1">
      <alignment horizontal="center"/>
    </xf>
    <xf numFmtId="43" fontId="91" fillId="0" borderId="11" xfId="455" applyFont="1" applyFill="1" applyBorder="1"/>
    <xf numFmtId="43" fontId="94" fillId="0" borderId="11" xfId="854" applyNumberFormat="1" applyFont="1" applyBorder="1" applyAlignment="1">
      <alignment vertical="center"/>
    </xf>
    <xf numFmtId="167" fontId="91" fillId="0" borderId="11" xfId="455" applyNumberFormat="1" applyFont="1" applyFill="1" applyBorder="1" applyAlignment="1">
      <alignment horizontal="center" vertical="center"/>
    </xf>
    <xf numFmtId="43" fontId="91" fillId="0" borderId="56" xfId="261" applyFont="1" applyFill="1" applyBorder="1" applyAlignment="1">
      <alignment horizontal="left" vertical="center"/>
    </xf>
    <xf numFmtId="43" fontId="94" fillId="0" borderId="51" xfId="261" applyFont="1" applyFill="1" applyBorder="1" applyAlignment="1">
      <alignment horizontal="left" vertical="center"/>
    </xf>
    <xf numFmtId="43" fontId="91" fillId="0" borderId="11" xfId="1446" applyNumberFormat="1" applyFont="1" applyFill="1" applyBorder="1" applyAlignment="1">
      <alignment horizontal="center" vertical="center"/>
    </xf>
    <xf numFmtId="43" fontId="91" fillId="0" borderId="11" xfId="455" applyFont="1" applyFill="1" applyBorder="1" applyAlignment="1">
      <alignment horizontal="center" vertical="center"/>
    </xf>
    <xf numFmtId="43" fontId="91" fillId="0" borderId="33" xfId="1446" applyNumberFormat="1" applyFont="1" applyFill="1" applyBorder="1" applyAlignment="1">
      <alignment horizontal="center" vertical="center"/>
    </xf>
    <xf numFmtId="43" fontId="91" fillId="0" borderId="33" xfId="455" applyFont="1" applyFill="1" applyBorder="1" applyAlignment="1">
      <alignment horizontal="center" vertical="center"/>
    </xf>
    <xf numFmtId="43" fontId="91" fillId="0" borderId="51" xfId="455" applyFont="1" applyFill="1" applyBorder="1"/>
    <xf numFmtId="0" fontId="94" fillId="0" borderId="11" xfId="1473" applyFont="1" applyBorder="1" applyAlignment="1">
      <alignment horizontal="center" vertical="top"/>
    </xf>
    <xf numFmtId="0" fontId="91" fillId="0" borderId="56" xfId="1476" applyFont="1" applyBorder="1" applyAlignment="1" applyProtection="1">
      <alignment horizontal="center" vertical="top"/>
      <protection locked="0"/>
    </xf>
    <xf numFmtId="43" fontId="91" fillId="0" borderId="51" xfId="455" applyFont="1" applyFill="1" applyBorder="1" applyAlignment="1">
      <alignment vertical="top" wrapText="1"/>
    </xf>
    <xf numFmtId="164" fontId="91" fillId="0" borderId="11" xfId="1446" applyFont="1" applyFill="1" applyBorder="1" applyAlignment="1">
      <alignment vertical="top"/>
    </xf>
    <xf numFmtId="43" fontId="91" fillId="0" borderId="11" xfId="1446" applyNumberFormat="1" applyFont="1" applyFill="1" applyBorder="1" applyAlignment="1">
      <alignment horizontal="center" vertical="top"/>
    </xf>
    <xf numFmtId="43" fontId="91" fillId="0" borderId="11" xfId="455" applyFont="1" applyFill="1" applyBorder="1" applyAlignment="1">
      <alignment horizontal="center" vertical="top"/>
    </xf>
    <xf numFmtId="43" fontId="91" fillId="0" borderId="11" xfId="455" applyFont="1" applyFill="1" applyBorder="1" applyAlignment="1">
      <alignment vertical="top"/>
    </xf>
    <xf numFmtId="43" fontId="94" fillId="0" borderId="11" xfId="854" applyNumberFormat="1" applyFont="1" applyBorder="1" applyAlignment="1">
      <alignment vertical="top"/>
    </xf>
    <xf numFmtId="0" fontId="71" fillId="0" borderId="55" xfId="1473" applyFont="1" applyBorder="1" applyAlignment="1">
      <alignment horizontal="center" vertical="top"/>
    </xf>
    <xf numFmtId="43" fontId="70" fillId="0" borderId="8" xfId="455" applyFont="1" applyFill="1" applyBorder="1" applyAlignment="1">
      <alignment vertical="top" wrapText="1"/>
    </xf>
    <xf numFmtId="0" fontId="91" fillId="0" borderId="67" xfId="1476" applyFont="1" applyBorder="1" applyAlignment="1" applyProtection="1">
      <alignment horizontal="center" vertical="center"/>
      <protection locked="0"/>
    </xf>
    <xf numFmtId="3" fontId="94" fillId="0" borderId="65" xfId="1477" applyNumberFormat="1" applyFont="1" applyBorder="1" applyAlignment="1">
      <alignment horizontal="center" vertical="center"/>
    </xf>
    <xf numFmtId="43" fontId="91" fillId="0" borderId="12" xfId="1446" applyNumberFormat="1" applyFont="1" applyFill="1" applyBorder="1" applyAlignment="1">
      <alignment horizontal="center" vertical="center"/>
    </xf>
    <xf numFmtId="43" fontId="94" fillId="0" borderId="12" xfId="1473" applyNumberFormat="1" applyFont="1" applyBorder="1" applyAlignment="1">
      <alignment horizontal="center" vertical="center"/>
    </xf>
    <xf numFmtId="43" fontId="94" fillId="0" borderId="12" xfId="455" applyFont="1" applyFill="1" applyBorder="1" applyAlignment="1">
      <alignment vertical="center"/>
    </xf>
    <xf numFmtId="191" fontId="94" fillId="0" borderId="9" xfId="1446" applyNumberFormat="1" applyFont="1" applyFill="1" applyBorder="1" applyAlignment="1">
      <alignment horizontal="center" vertical="center"/>
    </xf>
    <xf numFmtId="164" fontId="91" fillId="0" borderId="9" xfId="1446" applyFont="1" applyFill="1" applyBorder="1" applyAlignment="1">
      <alignment vertical="center"/>
    </xf>
    <xf numFmtId="43" fontId="91" fillId="0" borderId="9" xfId="1446" applyNumberFormat="1" applyFont="1" applyFill="1" applyBorder="1" applyAlignment="1">
      <alignment horizontal="center" vertical="center"/>
    </xf>
    <xf numFmtId="43" fontId="91" fillId="0" borderId="9" xfId="455" applyFont="1" applyFill="1" applyBorder="1" applyAlignment="1">
      <alignment horizontal="center" vertical="center"/>
    </xf>
    <xf numFmtId="43" fontId="91" fillId="0" borderId="9" xfId="455" applyFont="1" applyFill="1" applyBorder="1" applyAlignment="1">
      <alignment vertical="center"/>
    </xf>
    <xf numFmtId="43" fontId="91" fillId="0" borderId="9" xfId="455" applyFont="1" applyFill="1" applyBorder="1"/>
    <xf numFmtId="43" fontId="71" fillId="0" borderId="9" xfId="854" applyNumberFormat="1" applyFont="1" applyBorder="1" applyAlignment="1">
      <alignment vertical="center"/>
    </xf>
    <xf numFmtId="43" fontId="91" fillId="0" borderId="11" xfId="261" applyFont="1" applyFill="1" applyBorder="1" applyAlignment="1">
      <alignment horizontal="center" vertical="center"/>
    </xf>
    <xf numFmtId="0" fontId="91" fillId="0" borderId="56" xfId="1476" applyFont="1" applyBorder="1" applyAlignment="1" applyProtection="1">
      <alignment horizontal="left" vertical="center"/>
      <protection locked="0"/>
    </xf>
    <xf numFmtId="43" fontId="91" fillId="0" borderId="28" xfId="261" applyFont="1" applyFill="1" applyBorder="1" applyAlignment="1">
      <alignment horizontal="center" vertical="center"/>
    </xf>
    <xf numFmtId="43" fontId="91" fillId="0" borderId="28" xfId="455" applyFont="1" applyFill="1" applyBorder="1" applyAlignment="1">
      <alignment horizontal="center"/>
    </xf>
    <xf numFmtId="43" fontId="91" fillId="0" borderId="28" xfId="455" applyFont="1" applyFill="1" applyBorder="1"/>
    <xf numFmtId="43" fontId="71" fillId="0" borderId="28" xfId="854" applyNumberFormat="1" applyFont="1" applyBorder="1" applyAlignment="1">
      <alignment vertical="center"/>
    </xf>
    <xf numFmtId="164" fontId="71" fillId="0" borderId="0" xfId="1446" applyFont="1" applyFill="1" applyBorder="1" applyAlignment="1"/>
    <xf numFmtId="168" fontId="71" fillId="0" borderId="0" xfId="1473" applyNumberFormat="1" applyFont="1" applyAlignment="1">
      <alignment horizontal="right" vertical="top"/>
    </xf>
    <xf numFmtId="0" fontId="94" fillId="0" borderId="0" xfId="0" applyFont="1"/>
    <xf numFmtId="0" fontId="94" fillId="0" borderId="62" xfId="1473" applyFont="1" applyBorder="1" applyAlignment="1">
      <alignment horizontal="center" vertical="center" wrapText="1"/>
    </xf>
    <xf numFmtId="0" fontId="91" fillId="0" borderId="62" xfId="1473" applyFont="1" applyBorder="1" applyAlignment="1">
      <alignment horizontal="center" vertical="center" wrapText="1"/>
    </xf>
    <xf numFmtId="164" fontId="94" fillId="0" borderId="62" xfId="1474" applyFont="1" applyFill="1" applyBorder="1" applyAlignment="1">
      <alignment horizontal="center"/>
    </xf>
    <xf numFmtId="164" fontId="94" fillId="0" borderId="62" xfId="1474" applyFont="1" applyFill="1" applyBorder="1" applyAlignment="1">
      <alignment horizontal="right"/>
    </xf>
    <xf numFmtId="0" fontId="94" fillId="0" borderId="62" xfId="1475" applyFont="1" applyBorder="1" applyAlignment="1">
      <alignment horizontal="center" vertical="center"/>
    </xf>
    <xf numFmtId="43" fontId="91" fillId="0" borderId="5" xfId="1446" applyNumberFormat="1" applyFont="1" applyFill="1" applyBorder="1" applyAlignment="1">
      <alignment horizontal="center" vertical="center"/>
    </xf>
    <xf numFmtId="43" fontId="94" fillId="0" borderId="5" xfId="455" applyFont="1" applyFill="1" applyBorder="1" applyAlignment="1">
      <alignment horizontal="center" vertical="center"/>
    </xf>
    <xf numFmtId="43" fontId="94" fillId="0" borderId="5" xfId="455" applyFont="1" applyFill="1" applyBorder="1" applyAlignment="1">
      <alignment vertical="center"/>
    </xf>
    <xf numFmtId="191" fontId="94" fillId="0" borderId="5" xfId="1446" applyNumberFormat="1" applyFont="1" applyFill="1" applyBorder="1" applyAlignment="1">
      <alignment horizontal="center" vertical="center"/>
    </xf>
    <xf numFmtId="0" fontId="87" fillId="0" borderId="0" xfId="1473" applyFont="1"/>
    <xf numFmtId="0" fontId="71" fillId="0" borderId="0" xfId="1473" applyFont="1" applyAlignment="1">
      <alignment horizontal="center"/>
    </xf>
    <xf numFmtId="168" fontId="71" fillId="0" borderId="0" xfId="1473" applyNumberFormat="1" applyFont="1" applyAlignment="1">
      <alignment vertical="top"/>
    </xf>
    <xf numFmtId="164" fontId="70" fillId="0" borderId="0" xfId="1446" applyFont="1" applyFill="1" applyBorder="1" applyAlignment="1">
      <alignment vertical="top"/>
    </xf>
    <xf numFmtId="168" fontId="71" fillId="0" borderId="0" xfId="1473" applyNumberFormat="1" applyFont="1" applyAlignment="1">
      <alignment horizontal="left" vertical="top" indent="2"/>
    </xf>
    <xf numFmtId="0" fontId="70" fillId="0" borderId="0" xfId="1473" applyFont="1" applyAlignment="1">
      <alignment horizontal="left" vertical="top" indent="1"/>
    </xf>
    <xf numFmtId="0" fontId="70" fillId="0" borderId="56" xfId="873" applyFont="1" applyBorder="1" applyAlignment="1">
      <alignment vertical="center" wrapText="1"/>
    </xf>
    <xf numFmtId="0" fontId="70" fillId="0" borderId="56" xfId="1476" applyFont="1" applyBorder="1" applyAlignment="1" applyProtection="1">
      <alignment horizontal="left" vertical="center"/>
      <protection locked="0"/>
    </xf>
    <xf numFmtId="164" fontId="86" fillId="0" borderId="33" xfId="1446" applyFont="1" applyFill="1" applyBorder="1" applyAlignment="1">
      <alignment horizontal="center" vertical="top"/>
    </xf>
    <xf numFmtId="164" fontId="86" fillId="0" borderId="11" xfId="244" applyFont="1" applyFill="1" applyBorder="1" applyAlignment="1">
      <alignment vertical="top"/>
    </xf>
    <xf numFmtId="164" fontId="86" fillId="0" borderId="11" xfId="1446" applyFont="1" applyFill="1" applyBorder="1" applyAlignment="1">
      <alignment horizontal="center" vertical="top"/>
    </xf>
    <xf numFmtId="164" fontId="86" fillId="0" borderId="55" xfId="1446" applyFont="1" applyFill="1" applyBorder="1" applyAlignment="1">
      <alignment vertical="top"/>
    </xf>
    <xf numFmtId="164" fontId="86" fillId="0" borderId="11" xfId="1446" applyFont="1" applyFill="1" applyBorder="1" applyAlignment="1">
      <alignment vertical="top"/>
    </xf>
    <xf numFmtId="164" fontId="86" fillId="0" borderId="33" xfId="1446" applyFont="1" applyFill="1" applyBorder="1" applyAlignment="1">
      <alignment vertical="top"/>
    </xf>
    <xf numFmtId="43" fontId="70" fillId="0" borderId="0" xfId="454" applyFont="1" applyAlignment="1">
      <alignment vertical="center"/>
    </xf>
    <xf numFmtId="43" fontId="94" fillId="0" borderId="0" xfId="854" applyNumberFormat="1" applyFont="1" applyAlignment="1">
      <alignment vertical="center"/>
    </xf>
    <xf numFmtId="0" fontId="94" fillId="0" borderId="0" xfId="0" applyFont="1" applyAlignment="1">
      <alignment horizontal="center" vertical="center"/>
    </xf>
    <xf numFmtId="164" fontId="70" fillId="0" borderId="0" xfId="1474" applyFont="1" applyFill="1" applyBorder="1" applyAlignment="1">
      <alignment vertical="center"/>
    </xf>
    <xf numFmtId="0" fontId="94" fillId="0" borderId="0" xfId="1475" applyFont="1" applyAlignment="1">
      <alignment horizontal="center" vertical="center"/>
    </xf>
    <xf numFmtId="43" fontId="94" fillId="0" borderId="0" xfId="854" applyNumberFormat="1" applyFont="1" applyAlignment="1">
      <alignment vertical="top"/>
    </xf>
    <xf numFmtId="43" fontId="71" fillId="0" borderId="0" xfId="854" applyNumberFormat="1" applyFont="1" applyAlignment="1">
      <alignment vertical="top"/>
    </xf>
    <xf numFmtId="43" fontId="71" fillId="0" borderId="0" xfId="455" applyFont="1" applyFill="1" applyBorder="1" applyAlignment="1">
      <alignment vertical="center"/>
    </xf>
    <xf numFmtId="43" fontId="70" fillId="0" borderId="0" xfId="1473" applyNumberFormat="1" applyFont="1" applyAlignment="1">
      <alignment horizontal="center" vertical="center"/>
    </xf>
    <xf numFmtId="43" fontId="71" fillId="0" borderId="0" xfId="1473" applyNumberFormat="1" applyFont="1" applyAlignment="1">
      <alignment horizontal="center" vertical="center"/>
    </xf>
    <xf numFmtId="43" fontId="70" fillId="0" borderId="0" xfId="854" applyNumberFormat="1" applyFont="1" applyAlignment="1">
      <alignment vertical="center"/>
    </xf>
    <xf numFmtId="164" fontId="71" fillId="0" borderId="0" xfId="1474" applyFont="1" applyFill="1" applyBorder="1" applyAlignment="1">
      <alignment horizontal="left" vertical="center"/>
    </xf>
    <xf numFmtId="167" fontId="70" fillId="0" borderId="11" xfId="455" applyNumberFormat="1" applyFont="1" applyFill="1" applyBorder="1" applyAlignment="1">
      <alignment horizontal="center" vertical="top" wrapText="1"/>
    </xf>
    <xf numFmtId="0" fontId="70" fillId="0" borderId="56" xfId="1476" applyFont="1" applyBorder="1" applyAlignment="1" applyProtection="1">
      <alignment horizontal="center" vertical="top" wrapText="1"/>
      <protection locked="0"/>
    </xf>
    <xf numFmtId="43" fontId="70" fillId="0" borderId="11" xfId="261" applyFont="1" applyFill="1" applyBorder="1" applyAlignment="1">
      <alignment horizontal="center" vertical="top" wrapText="1"/>
    </xf>
    <xf numFmtId="43" fontId="70" fillId="0" borderId="11" xfId="455" applyFont="1" applyFill="1" applyBorder="1" applyAlignment="1">
      <alignment horizontal="center" vertical="top" wrapText="1"/>
    </xf>
    <xf numFmtId="164" fontId="70" fillId="0" borderId="11" xfId="1474" applyFont="1" applyFill="1" applyBorder="1" applyAlignment="1">
      <alignment vertical="top" wrapText="1"/>
    </xf>
    <xf numFmtId="43" fontId="70" fillId="0" borderId="11" xfId="455" applyFont="1" applyFill="1" applyBorder="1" applyAlignment="1">
      <alignment vertical="top" wrapText="1"/>
    </xf>
    <xf numFmtId="43" fontId="70" fillId="0" borderId="11" xfId="854" applyNumberFormat="1" applyFont="1" applyBorder="1" applyAlignment="1">
      <alignment vertical="top" wrapText="1"/>
    </xf>
    <xf numFmtId="43" fontId="70" fillId="0" borderId="0" xfId="854" applyNumberFormat="1" applyFont="1" applyAlignment="1">
      <alignment vertical="top" wrapText="1"/>
    </xf>
    <xf numFmtId="43" fontId="71" fillId="0" borderId="0" xfId="1446" applyNumberFormat="1" applyFont="1" applyFill="1" applyAlignment="1">
      <alignment vertical="top" wrapText="1"/>
    </xf>
    <xf numFmtId="0" fontId="70" fillId="0" borderId="0" xfId="1473" applyFont="1" applyAlignment="1">
      <alignment vertical="top" wrapText="1"/>
    </xf>
    <xf numFmtId="167" fontId="70" fillId="0" borderId="33" xfId="455" applyNumberFormat="1" applyFont="1" applyFill="1" applyBorder="1" applyAlignment="1">
      <alignment horizontal="center" vertical="top" wrapText="1"/>
    </xf>
    <xf numFmtId="0" fontId="70" fillId="0" borderId="58" xfId="1476" applyFont="1" applyBorder="1" applyAlignment="1" applyProtection="1">
      <alignment horizontal="center" vertical="top" wrapText="1"/>
      <protection locked="0"/>
    </xf>
    <xf numFmtId="43" fontId="70" fillId="0" borderId="54" xfId="455" applyFont="1" applyFill="1" applyBorder="1" applyAlignment="1">
      <alignment vertical="top" wrapText="1"/>
    </xf>
    <xf numFmtId="164" fontId="70" fillId="0" borderId="33" xfId="1446" applyFont="1" applyFill="1" applyBorder="1" applyAlignment="1">
      <alignment vertical="top" wrapText="1"/>
    </xf>
    <xf numFmtId="43" fontId="70" fillId="0" borderId="33" xfId="1446" applyNumberFormat="1" applyFont="1" applyFill="1" applyBorder="1" applyAlignment="1">
      <alignment horizontal="center" vertical="top" wrapText="1"/>
    </xf>
    <xf numFmtId="43" fontId="70" fillId="0" borderId="33" xfId="455" applyFont="1" applyFill="1" applyBorder="1" applyAlignment="1">
      <alignment vertical="top" wrapText="1"/>
    </xf>
    <xf numFmtId="43" fontId="70" fillId="0" borderId="33" xfId="854" applyNumberFormat="1" applyFont="1" applyBorder="1" applyAlignment="1">
      <alignment vertical="top" wrapText="1"/>
    </xf>
    <xf numFmtId="164" fontId="70" fillId="0" borderId="11" xfId="1446" applyFont="1" applyFill="1" applyBorder="1" applyAlignment="1">
      <alignment vertical="top" wrapText="1"/>
    </xf>
    <xf numFmtId="43" fontId="70" fillId="0" borderId="11" xfId="1446" applyNumberFormat="1" applyFont="1" applyFill="1" applyBorder="1" applyAlignment="1">
      <alignment horizontal="center" vertical="top" wrapText="1"/>
    </xf>
    <xf numFmtId="0" fontId="66" fillId="0" borderId="0" xfId="954" applyFont="1"/>
    <xf numFmtId="0" fontId="66" fillId="0" borderId="0" xfId="954" applyFont="1" applyAlignment="1">
      <alignment horizontal="left"/>
    </xf>
    <xf numFmtId="0" fontId="66" fillId="0" borderId="0" xfId="0" applyFont="1" applyAlignment="1">
      <alignment horizontal="right"/>
    </xf>
    <xf numFmtId="0" fontId="66" fillId="0" borderId="0" xfId="954" applyFont="1" applyAlignment="1">
      <alignment vertical="top"/>
    </xf>
    <xf numFmtId="0" fontId="66" fillId="0" borderId="0" xfId="0" applyFont="1" applyAlignment="1">
      <alignment horizontal="center"/>
    </xf>
    <xf numFmtId="0" fontId="66" fillId="0" borderId="0" xfId="873" applyFont="1"/>
    <xf numFmtId="164" fontId="97" fillId="0" borderId="0" xfId="1446" applyFont="1" applyFill="1"/>
    <xf numFmtId="164" fontId="98" fillId="0" borderId="0" xfId="1446" applyFont="1" applyFill="1"/>
    <xf numFmtId="0" fontId="98" fillId="0" borderId="0" xfId="954" applyFont="1"/>
    <xf numFmtId="164" fontId="96" fillId="0" borderId="5" xfId="1446" applyFont="1" applyFill="1" applyBorder="1" applyAlignment="1">
      <alignment horizontal="center" vertical="center"/>
    </xf>
    <xf numFmtId="0" fontId="92" fillId="0" borderId="5" xfId="954" applyFont="1" applyBorder="1" applyAlignment="1">
      <alignment horizontal="center" vertical="center"/>
    </xf>
    <xf numFmtId="0" fontId="92" fillId="0" borderId="5" xfId="954" applyFont="1" applyBorder="1" applyAlignment="1">
      <alignment horizontal="left" vertical="center"/>
    </xf>
    <xf numFmtId="0" fontId="93" fillId="0" borderId="5" xfId="954" applyFont="1" applyBorder="1" applyAlignment="1">
      <alignment horizontal="center" vertical="center"/>
    </xf>
    <xf numFmtId="43" fontId="93" fillId="0" borderId="5" xfId="454" applyFont="1" applyFill="1" applyBorder="1" applyAlignment="1">
      <alignment horizontal="center" vertical="center"/>
    </xf>
    <xf numFmtId="43" fontId="93" fillId="0" borderId="5" xfId="454" applyFont="1" applyFill="1" applyBorder="1" applyAlignment="1">
      <alignment vertical="center"/>
    </xf>
    <xf numFmtId="43" fontId="93" fillId="0" borderId="0" xfId="454" applyFont="1" applyFill="1" applyBorder="1" applyAlignment="1">
      <alignment vertical="center"/>
    </xf>
    <xf numFmtId="0" fontId="92" fillId="0" borderId="5" xfId="954" applyFont="1" applyBorder="1" applyAlignment="1">
      <alignment horizontal="center" vertical="top"/>
    </xf>
    <xf numFmtId="0" fontId="92" fillId="0" borderId="5" xfId="873" applyFont="1" applyBorder="1" applyAlignment="1">
      <alignment horizontal="left" vertical="center"/>
    </xf>
    <xf numFmtId="164" fontId="93" fillId="0" borderId="5" xfId="244" applyFont="1" applyFill="1" applyBorder="1" applyAlignment="1">
      <alignment vertical="center"/>
    </xf>
    <xf numFmtId="0" fontId="93" fillId="0" borderId="5" xfId="0" applyFont="1" applyBorder="1" applyAlignment="1">
      <alignment horizontal="center"/>
    </xf>
    <xf numFmtId="164" fontId="93" fillId="0" borderId="5" xfId="1446" applyFont="1" applyFill="1" applyBorder="1" applyAlignment="1">
      <alignment vertical="center"/>
    </xf>
    <xf numFmtId="164" fontId="93" fillId="0" borderId="5" xfId="1446" applyFont="1" applyFill="1" applyBorder="1"/>
    <xf numFmtId="164" fontId="93" fillId="0" borderId="5" xfId="1446" applyFont="1" applyFill="1" applyBorder="1" applyAlignment="1">
      <alignment vertical="top"/>
    </xf>
    <xf numFmtId="0" fontId="93" fillId="0" borderId="33" xfId="954" applyFont="1" applyBorder="1" applyAlignment="1">
      <alignment horizontal="center" vertical="top"/>
    </xf>
    <xf numFmtId="0" fontId="93" fillId="0" borderId="1" xfId="873" applyFont="1" applyBorder="1" applyAlignment="1">
      <alignment horizontal="left" vertical="center"/>
    </xf>
    <xf numFmtId="164" fontId="93" fillId="0" borderId="33" xfId="244" applyFont="1" applyFill="1" applyBorder="1" applyAlignment="1">
      <alignment vertical="center"/>
    </xf>
    <xf numFmtId="0" fontId="93" fillId="0" borderId="33" xfId="0" applyFont="1" applyBorder="1" applyAlignment="1">
      <alignment horizontal="center"/>
    </xf>
    <xf numFmtId="164" fontId="93" fillId="0" borderId="33" xfId="244" applyFont="1" applyFill="1" applyBorder="1"/>
    <xf numFmtId="164" fontId="66" fillId="0" borderId="11" xfId="1446" applyFont="1" applyFill="1" applyBorder="1" applyAlignment="1">
      <alignment vertical="top"/>
    </xf>
    <xf numFmtId="164" fontId="93" fillId="0" borderId="33" xfId="244" applyFont="1" applyFill="1" applyBorder="1" applyAlignment="1">
      <alignment vertical="top"/>
    </xf>
    <xf numFmtId="164" fontId="99" fillId="11" borderId="0" xfId="244" applyFont="1" applyFill="1"/>
    <xf numFmtId="0" fontId="99" fillId="11" borderId="0" xfId="954" applyFont="1" applyFill="1"/>
    <xf numFmtId="0" fontId="93" fillId="0" borderId="11" xfId="954" applyFont="1" applyBorder="1" applyAlignment="1">
      <alignment horizontal="center" vertical="top"/>
    </xf>
    <xf numFmtId="0" fontId="93" fillId="0" borderId="61" xfId="873" applyFont="1" applyBorder="1" applyAlignment="1">
      <alignment horizontal="left" vertical="center"/>
    </xf>
    <xf numFmtId="164" fontId="93" fillId="0" borderId="11" xfId="244" applyFont="1" applyFill="1" applyBorder="1" applyAlignment="1">
      <alignment vertical="center"/>
    </xf>
    <xf numFmtId="0" fontId="93" fillId="0" borderId="11" xfId="0" applyFont="1" applyBorder="1" applyAlignment="1">
      <alignment horizontal="center"/>
    </xf>
    <xf numFmtId="164" fontId="93" fillId="0" borderId="11" xfId="244" applyFont="1" applyFill="1" applyBorder="1"/>
    <xf numFmtId="164" fontId="93" fillId="0" borderId="11" xfId="244" applyFont="1" applyFill="1" applyBorder="1" applyAlignment="1">
      <alignment vertical="top"/>
    </xf>
    <xf numFmtId="164" fontId="93" fillId="0" borderId="0" xfId="244" applyFont="1" applyFill="1"/>
    <xf numFmtId="164" fontId="66" fillId="0" borderId="0" xfId="244" applyFont="1" applyFill="1"/>
    <xf numFmtId="0" fontId="66" fillId="0" borderId="11" xfId="954" applyFont="1" applyBorder="1" applyAlignment="1">
      <alignment horizontal="center" vertical="top"/>
    </xf>
    <xf numFmtId="0" fontId="66" fillId="0" borderId="61" xfId="873" applyFont="1" applyBorder="1" applyAlignment="1">
      <alignment horizontal="left" vertical="center"/>
    </xf>
    <xf numFmtId="164" fontId="66" fillId="0" borderId="11" xfId="244" applyFont="1" applyFill="1" applyBorder="1" applyAlignment="1">
      <alignment vertical="center"/>
    </xf>
    <xf numFmtId="0" fontId="66" fillId="0" borderId="11" xfId="0" applyFont="1" applyBorder="1" applyAlignment="1">
      <alignment horizontal="center"/>
    </xf>
    <xf numFmtId="164" fontId="66" fillId="0" borderId="11" xfId="1446" applyFont="1" applyFill="1" applyBorder="1" applyAlignment="1">
      <alignment vertical="center"/>
    </xf>
    <xf numFmtId="164" fontId="66" fillId="0" borderId="33" xfId="1446" applyFont="1" applyFill="1" applyBorder="1"/>
    <xf numFmtId="164" fontId="66" fillId="0" borderId="11" xfId="1446" applyFont="1" applyFill="1" applyBorder="1"/>
    <xf numFmtId="0" fontId="67" fillId="0" borderId="12" xfId="954" applyFont="1" applyBorder="1" applyAlignment="1">
      <alignment horizontal="center"/>
    </xf>
    <xf numFmtId="0" fontId="67" fillId="0" borderId="12" xfId="954" applyFont="1" applyBorder="1" applyAlignment="1">
      <alignment horizontal="center" wrapText="1"/>
    </xf>
    <xf numFmtId="164" fontId="67" fillId="0" borderId="12" xfId="244" applyFont="1" applyFill="1" applyBorder="1"/>
    <xf numFmtId="164" fontId="67" fillId="0" borderId="12" xfId="1446" applyFont="1" applyFill="1" applyBorder="1"/>
    <xf numFmtId="0" fontId="67" fillId="0" borderId="0" xfId="954" applyFont="1"/>
    <xf numFmtId="0" fontId="66" fillId="0" borderId="0" xfId="954" applyFont="1" applyAlignment="1">
      <alignment horizontal="center"/>
    </xf>
    <xf numFmtId="165" fontId="66" fillId="0" borderId="0" xfId="244" applyNumberFormat="1" applyFont="1" applyFill="1"/>
    <xf numFmtId="0" fontId="67" fillId="0" borderId="0" xfId="873" applyFont="1" applyAlignment="1">
      <alignment vertical="center"/>
    </xf>
    <xf numFmtId="43" fontId="66" fillId="0" borderId="0" xfId="454" applyFont="1" applyFill="1" applyAlignment="1"/>
    <xf numFmtId="43" fontId="66" fillId="0" borderId="0" xfId="454" applyFont="1" applyFill="1" applyBorder="1" applyAlignment="1"/>
    <xf numFmtId="43" fontId="66" fillId="0" borderId="0" xfId="454" applyFont="1" applyFill="1" applyBorder="1" applyAlignment="1">
      <alignment vertical="center"/>
    </xf>
    <xf numFmtId="43" fontId="66" fillId="0" borderId="0" xfId="100" applyFont="1" applyFill="1" applyBorder="1" applyAlignment="1">
      <alignment vertical="center"/>
    </xf>
    <xf numFmtId="190" fontId="66" fillId="0" borderId="0" xfId="1446" applyNumberFormat="1" applyFont="1" applyFill="1" applyAlignment="1">
      <alignment vertical="center"/>
    </xf>
    <xf numFmtId="164" fontId="66" fillId="0" borderId="0" xfId="244" applyFont="1" applyFill="1" applyAlignment="1">
      <alignment vertical="center"/>
    </xf>
    <xf numFmtId="0" fontId="94" fillId="0" borderId="0" xfId="873" applyFont="1" applyAlignment="1">
      <alignment vertical="center" wrapText="1"/>
    </xf>
    <xf numFmtId="0" fontId="91" fillId="0" borderId="0" xfId="873" applyFont="1" applyAlignment="1">
      <alignment vertical="center" wrapText="1"/>
    </xf>
    <xf numFmtId="43" fontId="71" fillId="0" borderId="12" xfId="454" applyFont="1" applyFill="1" applyBorder="1" applyAlignment="1">
      <alignment horizontal="center" vertical="center"/>
    </xf>
    <xf numFmtId="164" fontId="70" fillId="0" borderId="0" xfId="1446" applyFont="1" applyBorder="1" applyAlignment="1">
      <alignment vertical="center"/>
    </xf>
    <xf numFmtId="0" fontId="70" fillId="0" borderId="0" xfId="873" applyFont="1" applyAlignment="1">
      <alignment vertical="center" wrapText="1"/>
    </xf>
    <xf numFmtId="164" fontId="70" fillId="0" borderId="11" xfId="1474" applyFont="1" applyFill="1" applyBorder="1" applyAlignment="1">
      <alignment horizontal="left" vertical="top"/>
    </xf>
    <xf numFmtId="164" fontId="70" fillId="0" borderId="33" xfId="1474" applyFont="1" applyFill="1" applyBorder="1" applyAlignment="1">
      <alignment vertical="top"/>
    </xf>
    <xf numFmtId="43" fontId="95" fillId="0" borderId="5" xfId="454" applyFont="1" applyFill="1" applyBorder="1" applyAlignment="1">
      <alignment horizontal="center" vertical="center"/>
    </xf>
    <xf numFmtId="43" fontId="67" fillId="0" borderId="5" xfId="454" applyFont="1" applyFill="1" applyBorder="1" applyAlignment="1"/>
    <xf numFmtId="43" fontId="67" fillId="0" borderId="5" xfId="454" applyFont="1" applyFill="1" applyBorder="1" applyAlignment="1">
      <alignment horizontal="center"/>
    </xf>
    <xf numFmtId="164" fontId="67" fillId="0" borderId="33" xfId="1446" applyFont="1" applyFill="1" applyBorder="1"/>
    <xf numFmtId="43" fontId="67" fillId="0" borderId="33" xfId="454" applyFont="1" applyFill="1" applyBorder="1" applyAlignment="1">
      <alignment horizontal="left"/>
    </xf>
    <xf numFmtId="164" fontId="66" fillId="0" borderId="11" xfId="244" applyFont="1" applyFill="1" applyBorder="1" applyAlignment="1">
      <alignment horizontal="center" vertical="center"/>
    </xf>
    <xf numFmtId="164" fontId="66" fillId="0" borderId="55" xfId="244" applyFont="1" applyFill="1" applyBorder="1" applyAlignment="1">
      <alignment vertical="center"/>
    </xf>
    <xf numFmtId="164" fontId="66" fillId="0" borderId="55" xfId="244" applyFont="1" applyFill="1" applyBorder="1" applyAlignment="1">
      <alignment horizontal="center" vertical="center"/>
    </xf>
    <xf numFmtId="43" fontId="67" fillId="0" borderId="12" xfId="454" applyFont="1" applyFill="1" applyBorder="1" applyAlignment="1"/>
    <xf numFmtId="43" fontId="67" fillId="0" borderId="12" xfId="454" applyFont="1" applyFill="1" applyBorder="1" applyAlignment="1">
      <alignment horizontal="center"/>
    </xf>
    <xf numFmtId="164" fontId="66" fillId="0" borderId="20" xfId="244" applyFont="1" applyFill="1" applyBorder="1" applyAlignment="1">
      <alignment vertical="center"/>
    </xf>
    <xf numFmtId="164" fontId="66" fillId="0" borderId="20" xfId="244" applyFont="1" applyFill="1" applyBorder="1" applyAlignment="1">
      <alignment horizontal="center" vertical="center"/>
    </xf>
    <xf numFmtId="164" fontId="66" fillId="0" borderId="5" xfId="244" applyFont="1" applyFill="1" applyBorder="1" applyAlignment="1">
      <alignment vertical="center"/>
    </xf>
    <xf numFmtId="164" fontId="66" fillId="0" borderId="5" xfId="244" applyFont="1" applyFill="1" applyBorder="1" applyAlignment="1">
      <alignment horizontal="center" vertical="center"/>
    </xf>
    <xf numFmtId="164" fontId="66" fillId="0" borderId="33" xfId="244" applyFont="1" applyFill="1" applyBorder="1" applyAlignment="1">
      <alignment vertical="center"/>
    </xf>
    <xf numFmtId="164" fontId="66" fillId="0" borderId="33" xfId="244" applyFont="1" applyFill="1" applyBorder="1" applyAlignment="1">
      <alignment horizontal="center" vertical="center"/>
    </xf>
    <xf numFmtId="164" fontId="66" fillId="0" borderId="11" xfId="244" applyFont="1" applyFill="1" applyBorder="1" applyAlignment="1"/>
    <xf numFmtId="164" fontId="66" fillId="0" borderId="11" xfId="244" applyFont="1" applyFill="1" applyBorder="1"/>
    <xf numFmtId="164" fontId="66" fillId="0" borderId="11" xfId="244" applyFont="1" applyFill="1" applyBorder="1" applyAlignment="1">
      <alignment horizontal="center"/>
    </xf>
    <xf numFmtId="164" fontId="67" fillId="0" borderId="68" xfId="1446" applyFont="1" applyFill="1" applyBorder="1"/>
    <xf numFmtId="43" fontId="67" fillId="0" borderId="68" xfId="1478" applyFont="1" applyFill="1" applyBorder="1" applyAlignment="1">
      <alignment horizontal="center"/>
    </xf>
    <xf numFmtId="43" fontId="67" fillId="0" borderId="9" xfId="1478" applyFont="1" applyFill="1" applyBorder="1"/>
    <xf numFmtId="43" fontId="67" fillId="0" borderId="9" xfId="1478" applyFont="1" applyFill="1" applyBorder="1" applyAlignment="1">
      <alignment horizontal="center"/>
    </xf>
    <xf numFmtId="164" fontId="66" fillId="0" borderId="11" xfId="1474" applyFont="1" applyFill="1" applyBorder="1"/>
    <xf numFmtId="164" fontId="66" fillId="0" borderId="11" xfId="1474" applyFont="1" applyFill="1" applyBorder="1" applyAlignment="1">
      <alignment horizontal="center" vertical="center"/>
    </xf>
    <xf numFmtId="164" fontId="66" fillId="0" borderId="11" xfId="1474" applyFont="1" applyFill="1" applyBorder="1" applyAlignment="1">
      <alignment horizontal="center"/>
    </xf>
    <xf numFmtId="0" fontId="66" fillId="0" borderId="11" xfId="1473" applyFont="1" applyBorder="1" applyAlignment="1">
      <alignment horizontal="center"/>
    </xf>
    <xf numFmtId="3" fontId="66" fillId="0" borderId="11" xfId="1473" applyNumberFormat="1" applyFont="1" applyBorder="1" applyAlignment="1">
      <alignment horizontal="left" vertical="center" wrapText="1"/>
    </xf>
    <xf numFmtId="0" fontId="67" fillId="0" borderId="12" xfId="1473" applyFont="1" applyBorder="1" applyAlignment="1">
      <alignment horizontal="center"/>
    </xf>
    <xf numFmtId="164" fontId="67" fillId="0" borderId="12" xfId="1473" applyNumberFormat="1" applyFont="1" applyBorder="1"/>
    <xf numFmtId="43" fontId="67" fillId="0" borderId="12" xfId="1478" applyFont="1" applyFill="1" applyBorder="1" applyAlignment="1">
      <alignment horizontal="center"/>
    </xf>
    <xf numFmtId="43" fontId="67" fillId="0" borderId="5" xfId="1478" applyFont="1" applyFill="1" applyBorder="1"/>
    <xf numFmtId="43" fontId="67" fillId="0" borderId="5" xfId="1478" applyFont="1" applyFill="1" applyBorder="1" applyAlignment="1">
      <alignment horizontal="center"/>
    </xf>
    <xf numFmtId="164" fontId="67" fillId="0" borderId="11" xfId="1474" applyFont="1" applyFill="1" applyBorder="1"/>
    <xf numFmtId="164" fontId="67" fillId="0" borderId="11" xfId="1474" applyFont="1" applyFill="1" applyBorder="1" applyAlignment="1">
      <alignment horizontal="center" vertical="center"/>
    </xf>
    <xf numFmtId="164" fontId="67" fillId="0" borderId="11" xfId="1474" applyFont="1" applyFill="1" applyBorder="1" applyAlignment="1">
      <alignment horizontal="center"/>
    </xf>
    <xf numFmtId="0" fontId="67" fillId="0" borderId="12" xfId="1481" applyFont="1" applyBorder="1" applyAlignment="1">
      <alignment horizontal="center" vertical="center" wrapText="1"/>
    </xf>
    <xf numFmtId="0" fontId="67" fillId="0" borderId="85" xfId="1473" applyFont="1" applyBorder="1" applyAlignment="1">
      <alignment horizontal="center"/>
    </xf>
    <xf numFmtId="164" fontId="67" fillId="0" borderId="85" xfId="1446" applyFont="1" applyFill="1" applyBorder="1"/>
    <xf numFmtId="164" fontId="67" fillId="0" borderId="85" xfId="1474" applyFont="1" applyFill="1" applyBorder="1" applyAlignment="1">
      <alignment horizontal="center" vertical="center"/>
    </xf>
    <xf numFmtId="0" fontId="67" fillId="0" borderId="0" xfId="1473" applyFont="1" applyAlignment="1">
      <alignment horizontal="center" vertical="center"/>
    </xf>
    <xf numFmtId="167" fontId="67" fillId="0" borderId="0" xfId="455" applyNumberFormat="1" applyFont="1" applyFill="1" applyBorder="1" applyAlignment="1">
      <alignment horizontal="left"/>
    </xf>
    <xf numFmtId="164" fontId="67" fillId="0" borderId="0" xfId="55" applyNumberFormat="1" applyFont="1" applyFill="1" applyBorder="1" applyAlignment="1">
      <alignment horizontal="center" vertical="center"/>
    </xf>
    <xf numFmtId="164" fontId="67" fillId="0" borderId="0" xfId="55" applyNumberFormat="1" applyFont="1" applyFill="1" applyBorder="1" applyAlignment="1">
      <alignment vertical="center"/>
    </xf>
    <xf numFmtId="43" fontId="67" fillId="0" borderId="0" xfId="55" applyFont="1" applyFill="1"/>
    <xf numFmtId="3" fontId="66" fillId="0" borderId="0" xfId="902" applyNumberFormat="1" applyFont="1"/>
    <xf numFmtId="164" fontId="66" fillId="0" borderId="0" xfId="1446" applyFont="1" applyFill="1" applyAlignment="1">
      <alignment vertical="top"/>
    </xf>
    <xf numFmtId="43" fontId="66" fillId="0" borderId="0" xfId="488" applyFont="1" applyFill="1" applyAlignment="1">
      <alignment vertical="top"/>
    </xf>
    <xf numFmtId="0" fontId="66" fillId="0" borderId="0" xfId="854" applyFont="1" applyAlignment="1">
      <alignment vertical="center"/>
    </xf>
    <xf numFmtId="164" fontId="67" fillId="0" borderId="0" xfId="1482" applyNumberFormat="1" applyFont="1" applyFill="1" applyBorder="1" applyAlignment="1">
      <alignment horizontal="center" vertical="center"/>
    </xf>
    <xf numFmtId="0" fontId="66" fillId="0" borderId="0" xfId="455" applyNumberFormat="1" applyFont="1" applyFill="1" applyBorder="1" applyAlignment="1">
      <alignment horizontal="center"/>
    </xf>
    <xf numFmtId="164" fontId="66" fillId="0" borderId="0" xfId="1482" applyNumberFormat="1" applyFont="1" applyFill="1" applyBorder="1" applyAlignment="1">
      <alignment horizontal="left" vertical="center"/>
    </xf>
    <xf numFmtId="164" fontId="66" fillId="0" borderId="0" xfId="1482" applyNumberFormat="1" applyFont="1" applyFill="1" applyBorder="1" applyAlignment="1">
      <alignment vertical="center"/>
    </xf>
    <xf numFmtId="43" fontId="67" fillId="0" borderId="0" xfId="488" applyFont="1" applyFill="1" applyAlignment="1">
      <alignment vertical="top"/>
    </xf>
    <xf numFmtId="164" fontId="67" fillId="0" borderId="0" xfId="1446" applyFont="1" applyFill="1" applyAlignment="1">
      <alignment vertical="top"/>
    </xf>
    <xf numFmtId="164" fontId="66" fillId="0" borderId="0" xfId="1482" applyNumberFormat="1" applyFont="1" applyFill="1" applyBorder="1" applyAlignment="1">
      <alignment horizontal="center" vertical="center"/>
    </xf>
    <xf numFmtId="0" fontId="100" fillId="0" borderId="0" xfId="0" applyFont="1"/>
    <xf numFmtId="0" fontId="66" fillId="0" borderId="0" xfId="0" applyFont="1" applyAlignment="1">
      <alignment horizontal="center" vertical="center"/>
    </xf>
    <xf numFmtId="43" fontId="66" fillId="0" borderId="0" xfId="454" applyFont="1" applyFill="1" applyAlignment="1">
      <alignment horizontal="center"/>
    </xf>
    <xf numFmtId="0" fontId="71" fillId="0" borderId="55" xfId="954" applyFont="1" applyBorder="1" applyAlignment="1">
      <alignment horizontal="right" vertical="center" wrapText="1"/>
    </xf>
    <xf numFmtId="164" fontId="71" fillId="0" borderId="55" xfId="954" applyNumberFormat="1" applyFont="1" applyBorder="1" applyAlignment="1">
      <alignment vertical="center" wrapText="1"/>
    </xf>
    <xf numFmtId="0" fontId="71" fillId="0" borderId="55" xfId="954" applyFont="1" applyBorder="1" applyAlignment="1">
      <alignment vertical="center" wrapText="1"/>
    </xf>
    <xf numFmtId="0" fontId="73" fillId="0" borderId="55" xfId="954" applyFont="1" applyBorder="1" applyAlignment="1">
      <alignment vertical="center" wrapText="1"/>
    </xf>
    <xf numFmtId="0" fontId="73" fillId="0" borderId="5" xfId="954" applyFont="1" applyBorder="1" applyAlignment="1">
      <alignment horizontal="right" vertical="center" wrapText="1"/>
    </xf>
    <xf numFmtId="43" fontId="70" fillId="0" borderId="0" xfId="261" applyFont="1" applyBorder="1" applyAlignment="1">
      <alignment vertical="center"/>
    </xf>
    <xf numFmtId="169" fontId="76" fillId="0" borderId="0" xfId="261" applyNumberFormat="1" applyFont="1" applyBorder="1" applyAlignment="1">
      <alignment vertical="center"/>
    </xf>
    <xf numFmtId="0" fontId="81" fillId="0" borderId="0" xfId="1481" applyFont="1" applyAlignment="1">
      <alignment vertical="center"/>
    </xf>
    <xf numFmtId="43" fontId="71" fillId="0" borderId="0" xfId="261" applyFont="1" applyBorder="1" applyAlignment="1">
      <alignment vertical="center"/>
    </xf>
    <xf numFmtId="43" fontId="71" fillId="0" borderId="0" xfId="455" applyFont="1" applyBorder="1" applyAlignment="1">
      <alignment vertical="center"/>
    </xf>
    <xf numFmtId="43" fontId="70" fillId="0" borderId="0" xfId="455" applyFont="1" applyBorder="1" applyAlignment="1">
      <alignment vertical="center"/>
    </xf>
    <xf numFmtId="43" fontId="76" fillId="0" borderId="0" xfId="261" applyFont="1" applyBorder="1" applyAlignment="1">
      <alignment vertical="center"/>
    </xf>
    <xf numFmtId="169" fontId="82" fillId="0" borderId="0" xfId="261" applyNumberFormat="1" applyFont="1" applyBorder="1" applyAlignment="1">
      <alignment vertical="center"/>
    </xf>
    <xf numFmtId="43" fontId="81" fillId="0" borderId="0" xfId="455" applyFont="1" applyBorder="1" applyAlignment="1">
      <alignment vertical="center"/>
    </xf>
    <xf numFmtId="0" fontId="71" fillId="0" borderId="76" xfId="873" applyFont="1" applyBorder="1" applyAlignment="1">
      <alignment vertical="center"/>
    </xf>
    <xf numFmtId="0" fontId="70" fillId="0" borderId="76" xfId="873" applyFont="1" applyBorder="1" applyAlignment="1">
      <alignment vertical="center"/>
    </xf>
    <xf numFmtId="169" fontId="76" fillId="0" borderId="78" xfId="261" applyNumberFormat="1" applyFont="1" applyBorder="1" applyAlignment="1">
      <alignment vertical="center"/>
    </xf>
    <xf numFmtId="0" fontId="70" fillId="0" borderId="78" xfId="873" applyFont="1" applyBorder="1" applyAlignment="1">
      <alignment vertical="center"/>
    </xf>
    <xf numFmtId="0" fontId="70" fillId="0" borderId="97" xfId="873" applyFont="1" applyBorder="1" applyAlignment="1">
      <alignment vertical="center"/>
    </xf>
    <xf numFmtId="0" fontId="71" fillId="0" borderId="56" xfId="873" applyFont="1" applyBorder="1" applyAlignment="1">
      <alignment vertical="center"/>
    </xf>
    <xf numFmtId="0" fontId="71" fillId="0" borderId="51" xfId="873" applyFont="1" applyBorder="1" applyAlignment="1">
      <alignment vertical="center"/>
    </xf>
    <xf numFmtId="164" fontId="69" fillId="0" borderId="53" xfId="1446" applyFont="1" applyFill="1" applyBorder="1" applyAlignment="1">
      <alignment horizontal="center" vertical="center" wrapText="1"/>
    </xf>
    <xf numFmtId="0" fontId="71" fillId="0" borderId="58" xfId="873" applyFont="1" applyBorder="1" applyAlignment="1">
      <alignment vertical="center"/>
    </xf>
    <xf numFmtId="0" fontId="71" fillId="0" borderId="54" xfId="873" applyFont="1" applyBorder="1" applyAlignment="1">
      <alignment vertical="center"/>
    </xf>
    <xf numFmtId="164" fontId="70" fillId="0" borderId="51" xfId="1446" applyFont="1" applyFill="1" applyBorder="1" applyAlignment="1">
      <alignment vertical="top" wrapText="1"/>
    </xf>
    <xf numFmtId="164" fontId="84" fillId="0" borderId="0" xfId="1446" applyFont="1" applyFill="1" applyAlignment="1">
      <alignment vertical="top"/>
    </xf>
    <xf numFmtId="0" fontId="72" fillId="0" borderId="0" xfId="873" applyFont="1" applyAlignment="1">
      <alignment vertical="top"/>
    </xf>
    <xf numFmtId="164" fontId="70" fillId="0" borderId="0" xfId="1446" applyFont="1" applyAlignment="1">
      <alignment vertical="top"/>
    </xf>
    <xf numFmtId="0" fontId="70" fillId="0" borderId="51" xfId="873" applyFont="1" applyBorder="1" applyAlignment="1">
      <alignment horizontal="left" vertical="top" wrapText="1"/>
    </xf>
    <xf numFmtId="0" fontId="69" fillId="0" borderId="0" xfId="0" applyFont="1" applyAlignment="1">
      <alignment horizontal="center"/>
    </xf>
    <xf numFmtId="0" fontId="71" fillId="0" borderId="0" xfId="873" applyFont="1" applyAlignment="1">
      <alignment horizontal="center" vertical="center"/>
    </xf>
    <xf numFmtId="0" fontId="71" fillId="0" borderId="12" xfId="954" applyFont="1" applyBorder="1" applyAlignment="1">
      <alignment horizontal="center" vertical="center"/>
    </xf>
    <xf numFmtId="0" fontId="71" fillId="0" borderId="9" xfId="954" applyFont="1" applyBorder="1" applyAlignment="1">
      <alignment horizontal="center" vertical="center"/>
    </xf>
    <xf numFmtId="0" fontId="71" fillId="0" borderId="56" xfId="873" applyFont="1" applyBorder="1" applyAlignment="1">
      <alignment horizontal="left" vertical="center"/>
    </xf>
    <xf numFmtId="0" fontId="70" fillId="0" borderId="50" xfId="954" applyFont="1" applyBorder="1" applyAlignment="1">
      <alignment horizontal="center" vertical="center"/>
    </xf>
    <xf numFmtId="0" fontId="71" fillId="0" borderId="56" xfId="954" applyFont="1" applyBorder="1" applyAlignment="1">
      <alignment horizontal="left" vertical="center"/>
    </xf>
    <xf numFmtId="0" fontId="86" fillId="0" borderId="0" xfId="954" applyFont="1" applyAlignment="1">
      <alignment vertical="center"/>
    </xf>
    <xf numFmtId="0" fontId="86" fillId="0" borderId="0" xfId="954" applyFont="1" applyAlignment="1">
      <alignment horizontal="left"/>
    </xf>
    <xf numFmtId="164" fontId="86" fillId="0" borderId="0" xfId="1446" applyFont="1" applyFill="1" applyAlignment="1">
      <alignment vertical="center"/>
    </xf>
    <xf numFmtId="0" fontId="86" fillId="0" borderId="0" xfId="954" applyFont="1" applyAlignment="1">
      <alignment horizontal="center" vertical="center"/>
    </xf>
    <xf numFmtId="0" fontId="86" fillId="0" borderId="0" xfId="954" applyFont="1" applyAlignment="1">
      <alignment horizontal="left" vertical="center" indent="1"/>
    </xf>
    <xf numFmtId="0" fontId="86" fillId="0" borderId="0" xfId="954" applyFont="1" applyAlignment="1">
      <alignment horizontal="left" vertical="center"/>
    </xf>
    <xf numFmtId="0" fontId="86" fillId="0" borderId="0" xfId="954" applyFont="1" applyAlignment="1">
      <alignment vertical="top"/>
    </xf>
    <xf numFmtId="0" fontId="86" fillId="0" borderId="0" xfId="954" applyFont="1" applyAlignment="1">
      <alignment horizontal="left" vertical="top"/>
    </xf>
    <xf numFmtId="164" fontId="86" fillId="0" borderId="0" xfId="1446" applyFont="1" applyFill="1" applyAlignment="1">
      <alignment vertical="top"/>
    </xf>
    <xf numFmtId="168" fontId="86" fillId="0" borderId="0" xfId="954" applyNumberFormat="1" applyFont="1" applyAlignment="1">
      <alignment vertical="top"/>
    </xf>
    <xf numFmtId="168" fontId="86" fillId="0" borderId="0" xfId="954" applyNumberFormat="1" applyFont="1" applyAlignment="1">
      <alignment horizontal="right" vertical="top"/>
    </xf>
    <xf numFmtId="168" fontId="86" fillId="0" borderId="0" xfId="954" applyNumberFormat="1" applyFont="1" applyAlignment="1">
      <alignment horizontal="left" vertical="top" indent="2"/>
    </xf>
    <xf numFmtId="0" fontId="85" fillId="0" borderId="0" xfId="954" applyFont="1" applyAlignment="1">
      <alignment horizontal="center" vertical="center"/>
    </xf>
    <xf numFmtId="0" fontId="85" fillId="0" borderId="0" xfId="873" applyFont="1" applyAlignment="1">
      <alignment vertical="center"/>
    </xf>
    <xf numFmtId="0" fontId="86" fillId="0" borderId="0" xfId="873" applyFont="1" applyAlignment="1">
      <alignment vertical="center"/>
    </xf>
    <xf numFmtId="0" fontId="71" fillId="0" borderId="0" xfId="954" applyFont="1" applyAlignment="1">
      <alignment horizontal="left" vertical="center"/>
    </xf>
    <xf numFmtId="0" fontId="86" fillId="0" borderId="0" xfId="854" applyFont="1"/>
    <xf numFmtId="0" fontId="86" fillId="0" borderId="0" xfId="873" applyFont="1" applyAlignment="1">
      <alignment horizontal="center" vertical="center"/>
    </xf>
    <xf numFmtId="0" fontId="85" fillId="0" borderId="12" xfId="954" applyFont="1" applyBorder="1" applyAlignment="1">
      <alignment horizontal="center" vertical="center"/>
    </xf>
    <xf numFmtId="0" fontId="85" fillId="0" borderId="9" xfId="954" applyFont="1" applyBorder="1" applyAlignment="1">
      <alignment horizontal="center" vertical="center"/>
    </xf>
    <xf numFmtId="0" fontId="86" fillId="0" borderId="33" xfId="954" applyFont="1" applyBorder="1" applyAlignment="1">
      <alignment horizontal="center" vertical="center"/>
    </xf>
    <xf numFmtId="0" fontId="86" fillId="0" borderId="11" xfId="954" applyFont="1" applyBorder="1" applyAlignment="1">
      <alignment horizontal="center" vertical="center"/>
    </xf>
    <xf numFmtId="0" fontId="86" fillId="0" borderId="51" xfId="873" applyFont="1" applyBorder="1" applyAlignment="1">
      <alignment horizontal="left" vertical="center"/>
    </xf>
    <xf numFmtId="0" fontId="86" fillId="0" borderId="11" xfId="954" applyFont="1" applyBorder="1" applyAlignment="1">
      <alignment horizontal="center" vertical="top"/>
    </xf>
    <xf numFmtId="0" fontId="85" fillId="0" borderId="11" xfId="954" applyFont="1" applyBorder="1" applyAlignment="1">
      <alignment horizontal="center" vertical="center"/>
    </xf>
    <xf numFmtId="0" fontId="86" fillId="0" borderId="56" xfId="954" applyFont="1" applyBorder="1" applyAlignment="1">
      <alignment horizontal="center" vertical="center"/>
    </xf>
    <xf numFmtId="0" fontId="86" fillId="0" borderId="56" xfId="1473" applyFont="1" applyBorder="1" applyAlignment="1">
      <alignment horizontal="center" vertical="center"/>
    </xf>
    <xf numFmtId="0" fontId="86" fillId="0" borderId="11" xfId="1473" applyFont="1" applyBorder="1" applyAlignment="1">
      <alignment horizontal="center"/>
    </xf>
    <xf numFmtId="0" fontId="86" fillId="0" borderId="50" xfId="1473" applyFont="1" applyBorder="1" applyAlignment="1">
      <alignment horizontal="center" vertical="center"/>
    </xf>
    <xf numFmtId="0" fontId="86" fillId="0" borderId="55" xfId="1473" applyFont="1" applyBorder="1" applyAlignment="1">
      <alignment horizontal="center"/>
    </xf>
    <xf numFmtId="0" fontId="86" fillId="0" borderId="58" xfId="1473" applyFont="1" applyBorder="1" applyAlignment="1">
      <alignment horizontal="center" vertical="center"/>
    </xf>
    <xf numFmtId="0" fontId="86" fillId="0" borderId="33" xfId="1473" applyFont="1" applyBorder="1" applyAlignment="1">
      <alignment horizontal="center"/>
    </xf>
    <xf numFmtId="0" fontId="70" fillId="0" borderId="0" xfId="873" applyFont="1" applyAlignment="1">
      <alignment horizontal="left" vertical="center" wrapText="1"/>
    </xf>
    <xf numFmtId="0" fontId="71" fillId="0" borderId="33" xfId="954" applyFont="1" applyBorder="1" applyAlignment="1">
      <alignment horizontal="center" vertical="center"/>
    </xf>
    <xf numFmtId="0" fontId="70" fillId="0" borderId="0" xfId="873" applyFont="1" applyAlignment="1">
      <alignment vertical="top"/>
    </xf>
    <xf numFmtId="43" fontId="70" fillId="0" borderId="11" xfId="454" applyFont="1" applyFill="1" applyBorder="1" applyAlignment="1">
      <alignment horizontal="center" vertical="center"/>
    </xf>
    <xf numFmtId="43" fontId="70" fillId="0" borderId="11" xfId="454" applyFont="1" applyFill="1" applyBorder="1" applyAlignment="1">
      <alignment horizontal="center" vertical="top"/>
    </xf>
    <xf numFmtId="0" fontId="70" fillId="0" borderId="51" xfId="873" applyFont="1" applyBorder="1" applyAlignment="1">
      <alignment horizontal="left" vertical="top"/>
    </xf>
    <xf numFmtId="43" fontId="70" fillId="0" borderId="33" xfId="454" applyFont="1" applyFill="1" applyBorder="1" applyAlignment="1">
      <alignment horizontal="center" vertical="top"/>
    </xf>
    <xf numFmtId="164" fontId="70" fillId="0" borderId="33" xfId="1446" applyFont="1" applyFill="1" applyBorder="1" applyAlignment="1">
      <alignment vertical="top"/>
    </xf>
    <xf numFmtId="0" fontId="70" fillId="0" borderId="0" xfId="873" applyFont="1" applyAlignment="1">
      <alignment horizontal="center" vertical="center"/>
    </xf>
    <xf numFmtId="43" fontId="71" fillId="0" borderId="9" xfId="454" applyFont="1" applyFill="1" applyBorder="1" applyAlignment="1">
      <alignment horizontal="center" vertical="center"/>
    </xf>
    <xf numFmtId="0" fontId="70" fillId="0" borderId="51" xfId="873" applyFont="1" applyBorder="1" applyAlignment="1">
      <alignment horizontal="left" vertical="center" wrapText="1"/>
    </xf>
    <xf numFmtId="164" fontId="70" fillId="0" borderId="0" xfId="1446" applyFont="1" applyFill="1" applyBorder="1" applyAlignment="1">
      <alignment horizontal="center" vertical="center"/>
    </xf>
    <xf numFmtId="0" fontId="85" fillId="0" borderId="0" xfId="954" applyFont="1" applyAlignment="1">
      <alignment vertical="center"/>
    </xf>
    <xf numFmtId="0" fontId="86" fillId="0" borderId="0" xfId="0" applyFont="1" applyAlignment="1">
      <alignment vertical="center"/>
    </xf>
    <xf numFmtId="0" fontId="86" fillId="0" borderId="0" xfId="954" applyFont="1" applyAlignment="1">
      <alignment horizontal="center"/>
    </xf>
    <xf numFmtId="0" fontId="86" fillId="0" borderId="0" xfId="954" applyFont="1" applyAlignment="1">
      <alignment horizontal="right" vertical="center"/>
    </xf>
    <xf numFmtId="0" fontId="86" fillId="0" borderId="0" xfId="954" applyFont="1" applyAlignment="1">
      <alignment horizontal="right" vertical="top"/>
    </xf>
    <xf numFmtId="0" fontId="86" fillId="0" borderId="0" xfId="1466" applyFont="1" applyAlignment="1">
      <alignment vertical="center"/>
    </xf>
    <xf numFmtId="168" fontId="86" fillId="0" borderId="0" xfId="954" applyNumberFormat="1" applyFont="1" applyAlignment="1">
      <alignment vertical="center"/>
    </xf>
    <xf numFmtId="0" fontId="86" fillId="0" borderId="0" xfId="953" applyFont="1" applyAlignment="1">
      <alignment vertical="center"/>
    </xf>
    <xf numFmtId="168" fontId="86" fillId="0" borderId="0" xfId="954" applyNumberFormat="1" applyFont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02" fillId="0" borderId="0" xfId="1473" applyFont="1" applyAlignment="1">
      <alignment vertical="center"/>
    </xf>
    <xf numFmtId="164" fontId="85" fillId="0" borderId="5" xfId="1446" applyFont="1" applyFill="1" applyBorder="1" applyAlignment="1">
      <alignment horizontal="center" vertical="center"/>
    </xf>
    <xf numFmtId="0" fontId="86" fillId="0" borderId="0" xfId="1473" applyFont="1" applyAlignment="1">
      <alignment vertical="center"/>
    </xf>
    <xf numFmtId="0" fontId="85" fillId="0" borderId="5" xfId="1473" applyFont="1" applyBorder="1" applyAlignment="1">
      <alignment horizontal="center" vertical="center" wrapText="1"/>
    </xf>
    <xf numFmtId="164" fontId="86" fillId="0" borderId="5" xfId="1446" applyFont="1" applyFill="1" applyBorder="1" applyAlignment="1">
      <alignment horizontal="center" vertical="center" wrapText="1"/>
    </xf>
    <xf numFmtId="0" fontId="86" fillId="0" borderId="5" xfId="1473" applyFont="1" applyBorder="1" applyAlignment="1">
      <alignment horizontal="center" vertical="center" wrapText="1"/>
    </xf>
    <xf numFmtId="164" fontId="86" fillId="0" borderId="5" xfId="1474" applyFont="1" applyFill="1" applyBorder="1" applyAlignment="1">
      <alignment horizontal="center" vertical="center"/>
    </xf>
    <xf numFmtId="0" fontId="86" fillId="0" borderId="5" xfId="1475" applyFont="1" applyBorder="1" applyAlignment="1">
      <alignment horizontal="center" vertical="center"/>
    </xf>
    <xf numFmtId="0" fontId="86" fillId="0" borderId="0" xfId="1475" applyFont="1" applyAlignment="1">
      <alignment horizontal="center" vertical="center"/>
    </xf>
    <xf numFmtId="0" fontId="85" fillId="0" borderId="5" xfId="1473" applyFont="1" applyBorder="1" applyAlignment="1">
      <alignment horizontal="center" vertical="center"/>
    </xf>
    <xf numFmtId="164" fontId="86" fillId="0" borderId="5" xfId="1446" applyFont="1" applyFill="1" applyBorder="1" applyAlignment="1">
      <alignment vertical="center"/>
    </xf>
    <xf numFmtId="164" fontId="86" fillId="0" borderId="5" xfId="1474" applyFont="1" applyFill="1" applyBorder="1" applyAlignment="1">
      <alignment vertical="center"/>
    </xf>
    <xf numFmtId="164" fontId="86" fillId="0" borderId="0" xfId="1474" applyFont="1" applyFill="1" applyBorder="1" applyAlignment="1">
      <alignment vertical="center"/>
    </xf>
    <xf numFmtId="0" fontId="86" fillId="0" borderId="33" xfId="1473" applyFont="1" applyBorder="1" applyAlignment="1">
      <alignment horizontal="center" vertical="center"/>
    </xf>
    <xf numFmtId="164" fontId="86" fillId="0" borderId="33" xfId="1474" applyFont="1" applyFill="1" applyBorder="1" applyAlignment="1">
      <alignment horizontal="center" vertical="center"/>
    </xf>
    <xf numFmtId="0" fontId="86" fillId="0" borderId="11" xfId="1473" applyFont="1" applyBorder="1" applyAlignment="1">
      <alignment horizontal="center" vertical="center"/>
    </xf>
    <xf numFmtId="164" fontId="86" fillId="0" borderId="11" xfId="1474" applyFont="1" applyFill="1" applyBorder="1" applyAlignment="1">
      <alignment horizontal="center" vertical="center"/>
    </xf>
    <xf numFmtId="0" fontId="86" fillId="0" borderId="51" xfId="1473" applyFont="1" applyBorder="1" applyAlignment="1">
      <alignment horizontal="left" vertical="center" wrapText="1"/>
    </xf>
    <xf numFmtId="0" fontId="86" fillId="0" borderId="55" xfId="1473" applyFont="1" applyBorder="1" applyAlignment="1">
      <alignment vertical="center"/>
    </xf>
    <xf numFmtId="43" fontId="86" fillId="0" borderId="0" xfId="1446" applyNumberFormat="1" applyFont="1" applyFill="1" applyAlignment="1">
      <alignment horizontal="left" vertical="center"/>
    </xf>
    <xf numFmtId="0" fontId="86" fillId="0" borderId="51" xfId="1473" quotePrefix="1" applyFont="1" applyBorder="1" applyAlignment="1">
      <alignment horizontal="left" vertical="center" wrapText="1"/>
    </xf>
    <xf numFmtId="3" fontId="86" fillId="0" borderId="0" xfId="1473" applyNumberFormat="1" applyFont="1" applyAlignment="1">
      <alignment vertical="center"/>
    </xf>
    <xf numFmtId="43" fontId="86" fillId="0" borderId="0" xfId="1473" applyNumberFormat="1" applyFont="1" applyAlignment="1">
      <alignment vertical="center"/>
    </xf>
    <xf numFmtId="0" fontId="86" fillId="0" borderId="54" xfId="1473" quotePrefix="1" applyFont="1" applyBorder="1" applyAlignment="1">
      <alignment horizontal="left" vertical="center" wrapText="1"/>
    </xf>
    <xf numFmtId="3" fontId="86" fillId="0" borderId="51" xfId="1477" applyNumberFormat="1" applyFont="1" applyBorder="1" applyAlignment="1">
      <alignment horizontal="left" vertical="center" wrapText="1"/>
    </xf>
    <xf numFmtId="164" fontId="86" fillId="0" borderId="11" xfId="1474" applyFont="1" applyFill="1" applyBorder="1" applyAlignment="1">
      <alignment horizontal="center" vertical="top"/>
    </xf>
    <xf numFmtId="0" fontId="86" fillId="0" borderId="11" xfId="1473" applyFont="1" applyBorder="1" applyAlignment="1">
      <alignment horizontal="center" vertical="top"/>
    </xf>
    <xf numFmtId="0" fontId="86" fillId="0" borderId="56" xfId="1473" applyFont="1" applyBorder="1" applyAlignment="1">
      <alignment horizontal="center" vertical="top"/>
    </xf>
    <xf numFmtId="3" fontId="86" fillId="0" borderId="51" xfId="1477" applyNumberFormat="1" applyFont="1" applyBorder="1" applyAlignment="1">
      <alignment horizontal="left" vertical="top" wrapText="1"/>
    </xf>
    <xf numFmtId="164" fontId="86" fillId="0" borderId="11" xfId="1474" applyFont="1" applyFill="1" applyBorder="1" applyAlignment="1">
      <alignment vertical="top"/>
    </xf>
    <xf numFmtId="164" fontId="86" fillId="0" borderId="0" xfId="1474" applyFont="1" applyFill="1" applyBorder="1" applyAlignment="1">
      <alignment vertical="top"/>
    </xf>
    <xf numFmtId="43" fontId="85" fillId="0" borderId="0" xfId="1446" applyNumberFormat="1" applyFont="1" applyFill="1" applyAlignment="1">
      <alignment vertical="top"/>
    </xf>
    <xf numFmtId="0" fontId="86" fillId="0" borderId="0" xfId="1473" applyFont="1" applyAlignment="1">
      <alignment vertical="top"/>
    </xf>
    <xf numFmtId="0" fontId="86" fillId="0" borderId="56" xfId="1473" applyFont="1" applyBorder="1" applyAlignment="1">
      <alignment horizontal="left" vertical="center"/>
    </xf>
    <xf numFmtId="0" fontId="86" fillId="0" borderId="56" xfId="1473" applyFont="1" applyBorder="1" applyAlignment="1">
      <alignment vertical="center"/>
    </xf>
    <xf numFmtId="164" fontId="86" fillId="0" borderId="56" xfId="1474" applyFont="1" applyFill="1" applyBorder="1" applyAlignment="1">
      <alignment horizontal="left" vertical="center"/>
    </xf>
    <xf numFmtId="164" fontId="86" fillId="0" borderId="51" xfId="1474" applyFont="1" applyFill="1" applyBorder="1" applyAlignment="1">
      <alignment horizontal="left" vertical="center"/>
    </xf>
    <xf numFmtId="164" fontId="86" fillId="0" borderId="56" xfId="1474" applyFont="1" applyFill="1" applyBorder="1" applyAlignment="1">
      <alignment horizontal="center" vertical="center"/>
    </xf>
    <xf numFmtId="164" fontId="86" fillId="0" borderId="51" xfId="1474" quotePrefix="1" applyFont="1" applyFill="1" applyBorder="1" applyAlignment="1">
      <alignment horizontal="left" vertical="center"/>
    </xf>
    <xf numFmtId="0" fontId="86" fillId="0" borderId="55" xfId="1473" applyFont="1" applyBorder="1" applyAlignment="1">
      <alignment horizontal="center" vertical="center"/>
    </xf>
    <xf numFmtId="3" fontId="86" fillId="0" borderId="8" xfId="1477" applyNumberFormat="1" applyFont="1" applyBorder="1" applyAlignment="1">
      <alignment horizontal="left" vertical="center" wrapText="1"/>
    </xf>
    <xf numFmtId="164" fontId="86" fillId="0" borderId="55" xfId="1474" applyFont="1" applyFill="1" applyBorder="1" applyAlignment="1">
      <alignment horizontal="center" vertical="center"/>
    </xf>
    <xf numFmtId="0" fontId="85" fillId="0" borderId="12" xfId="1473" applyFont="1" applyBorder="1" applyAlignment="1">
      <alignment horizontal="center" vertical="center"/>
    </xf>
    <xf numFmtId="164" fontId="85" fillId="0" borderId="67" xfId="1474" applyFont="1" applyFill="1" applyBorder="1"/>
    <xf numFmtId="164" fontId="85" fillId="0" borderId="65" xfId="1446" applyFont="1" applyFill="1" applyBorder="1" applyAlignment="1">
      <alignment horizontal="center" vertical="center"/>
    </xf>
    <xf numFmtId="164" fontId="85" fillId="0" borderId="12" xfId="1446" applyFont="1" applyFill="1" applyBorder="1"/>
    <xf numFmtId="164" fontId="85" fillId="0" borderId="12" xfId="1474" applyFont="1" applyFill="1" applyBorder="1" applyAlignment="1">
      <alignment vertical="center"/>
    </xf>
    <xf numFmtId="164" fontId="85" fillId="0" borderId="0" xfId="1474" applyFont="1" applyFill="1" applyBorder="1" applyAlignment="1">
      <alignment vertical="center"/>
    </xf>
    <xf numFmtId="0" fontId="85" fillId="0" borderId="0" xfId="1473" applyFont="1" applyAlignment="1">
      <alignment vertical="center"/>
    </xf>
    <xf numFmtId="166" fontId="85" fillId="0" borderId="9" xfId="1473" applyNumberFormat="1" applyFont="1" applyBorder="1" applyAlignment="1">
      <alignment horizontal="center"/>
    </xf>
    <xf numFmtId="164" fontId="85" fillId="0" borderId="9" xfId="1446" applyFont="1" applyFill="1" applyBorder="1" applyAlignment="1">
      <alignment vertical="center"/>
    </xf>
    <xf numFmtId="43" fontId="85" fillId="0" borderId="9" xfId="1446" applyNumberFormat="1" applyFont="1" applyFill="1" applyBorder="1" applyAlignment="1">
      <alignment horizontal="center" vertical="center"/>
    </xf>
    <xf numFmtId="43" fontId="85" fillId="0" borderId="9" xfId="455" applyFont="1" applyFill="1" applyBorder="1" applyAlignment="1">
      <alignment horizontal="center" vertical="center"/>
    </xf>
    <xf numFmtId="43" fontId="85" fillId="0" borderId="9" xfId="455" applyFont="1" applyFill="1" applyBorder="1" applyAlignment="1">
      <alignment vertical="center"/>
    </xf>
    <xf numFmtId="43" fontId="85" fillId="0" borderId="9" xfId="455" applyFont="1" applyFill="1" applyBorder="1"/>
    <xf numFmtId="43" fontId="85" fillId="0" borderId="9" xfId="854" applyNumberFormat="1" applyFont="1" applyBorder="1" applyAlignment="1">
      <alignment vertical="center"/>
    </xf>
    <xf numFmtId="43" fontId="85" fillId="0" borderId="0" xfId="854" applyNumberFormat="1" applyFont="1" applyAlignment="1">
      <alignment vertical="center"/>
    </xf>
    <xf numFmtId="43" fontId="86" fillId="0" borderId="0" xfId="1473" applyNumberFormat="1" applyFont="1" applyAlignment="1">
      <alignment vertical="top"/>
    </xf>
    <xf numFmtId="0" fontId="86" fillId="0" borderId="33" xfId="1473" applyFont="1" applyBorder="1" applyAlignment="1">
      <alignment horizontal="center" vertical="top"/>
    </xf>
    <xf numFmtId="164" fontId="86" fillId="0" borderId="33" xfId="1474" applyFont="1" applyFill="1" applyBorder="1" applyAlignment="1">
      <alignment vertical="top"/>
    </xf>
    <xf numFmtId="0" fontId="86" fillId="0" borderId="55" xfId="1473" applyFont="1" applyBorder="1" applyAlignment="1">
      <alignment horizontal="center" vertical="top"/>
    </xf>
    <xf numFmtId="164" fontId="86" fillId="0" borderId="50" xfId="1474" applyFont="1" applyFill="1" applyBorder="1" applyAlignment="1">
      <alignment horizontal="center" vertical="center"/>
    </xf>
    <xf numFmtId="164" fontId="86" fillId="0" borderId="8" xfId="1474" applyFont="1" applyFill="1" applyBorder="1" applyAlignment="1">
      <alignment horizontal="left" vertical="center"/>
    </xf>
    <xf numFmtId="164" fontId="86" fillId="0" borderId="55" xfId="1474" applyFont="1" applyFill="1" applyBorder="1" applyAlignment="1">
      <alignment vertical="top"/>
    </xf>
    <xf numFmtId="166" fontId="85" fillId="0" borderId="5" xfId="1473" applyNumberFormat="1" applyFont="1" applyBorder="1" applyAlignment="1">
      <alignment horizontal="center"/>
    </xf>
    <xf numFmtId="164" fontId="85" fillId="0" borderId="5" xfId="1446" applyFont="1" applyFill="1" applyBorder="1" applyAlignment="1">
      <alignment vertical="center"/>
    </xf>
    <xf numFmtId="43" fontId="85" fillId="0" borderId="5" xfId="1446" applyNumberFormat="1" applyFont="1" applyFill="1" applyBorder="1" applyAlignment="1">
      <alignment horizontal="center" vertical="center"/>
    </xf>
    <xf numFmtId="43" fontId="85" fillId="0" borderId="5" xfId="455" applyFont="1" applyFill="1" applyBorder="1" applyAlignment="1">
      <alignment horizontal="center" vertical="center"/>
    </xf>
    <xf numFmtId="43" fontId="85" fillId="0" borderId="5" xfId="455" applyFont="1" applyFill="1" applyBorder="1" applyAlignment="1">
      <alignment vertical="center"/>
    </xf>
    <xf numFmtId="43" fontId="85" fillId="0" borderId="5" xfId="455" applyFont="1" applyFill="1" applyBorder="1"/>
    <xf numFmtId="43" fontId="85" fillId="0" borderId="5" xfId="854" applyNumberFormat="1" applyFont="1" applyBorder="1" applyAlignment="1">
      <alignment vertical="center"/>
    </xf>
    <xf numFmtId="0" fontId="85" fillId="0" borderId="0" xfId="1473" applyFont="1" applyAlignment="1">
      <alignment vertical="top"/>
    </xf>
    <xf numFmtId="193" fontId="86" fillId="0" borderId="0" xfId="1473" applyNumberFormat="1" applyFont="1" applyAlignment="1">
      <alignment vertical="center"/>
    </xf>
    <xf numFmtId="0" fontId="86" fillId="0" borderId="8" xfId="1473" applyFont="1" applyBorder="1" applyAlignment="1">
      <alignment horizontal="left" vertical="center" wrapText="1"/>
    </xf>
    <xf numFmtId="2" fontId="85" fillId="0" borderId="5" xfId="1473" applyNumberFormat="1" applyFont="1" applyBorder="1" applyAlignment="1">
      <alignment horizontal="center"/>
    </xf>
    <xf numFmtId="164" fontId="85" fillId="0" borderId="5" xfId="1474" applyFont="1" applyFill="1" applyBorder="1" applyAlignment="1">
      <alignment horizontal="center" vertical="center"/>
    </xf>
    <xf numFmtId="164" fontId="85" fillId="0" borderId="5" xfId="1474" applyFont="1" applyFill="1" applyBorder="1" applyAlignment="1">
      <alignment vertical="center"/>
    </xf>
    <xf numFmtId="43" fontId="85" fillId="0" borderId="0" xfId="1473" applyNumberFormat="1" applyFont="1" applyAlignment="1">
      <alignment vertical="center"/>
    </xf>
    <xf numFmtId="164" fontId="86" fillId="0" borderId="54" xfId="1474" applyFont="1" applyFill="1" applyBorder="1" applyAlignment="1">
      <alignment horizontal="left" vertical="center"/>
    </xf>
    <xf numFmtId="164" fontId="86" fillId="0" borderId="28" xfId="1474" applyFont="1" applyFill="1" applyBorder="1" applyAlignment="1">
      <alignment horizontal="center" vertical="center"/>
    </xf>
    <xf numFmtId="164" fontId="86" fillId="0" borderId="59" xfId="1474" applyFont="1" applyFill="1" applyBorder="1" applyAlignment="1">
      <alignment horizontal="center" vertical="center"/>
    </xf>
    <xf numFmtId="164" fontId="86" fillId="0" borderId="52" xfId="1474" applyFont="1" applyFill="1" applyBorder="1" applyAlignment="1">
      <alignment horizontal="left" vertical="center"/>
    </xf>
    <xf numFmtId="164" fontId="86" fillId="0" borderId="28" xfId="1474" applyFont="1" applyFill="1" applyBorder="1" applyAlignment="1">
      <alignment vertical="center"/>
    </xf>
    <xf numFmtId="164" fontId="86" fillId="0" borderId="28" xfId="1474" applyFont="1" applyFill="1" applyBorder="1" applyAlignment="1">
      <alignment horizontal="center" vertical="top"/>
    </xf>
    <xf numFmtId="0" fontId="85" fillId="0" borderId="85" xfId="1473" applyFont="1" applyBorder="1" applyAlignment="1">
      <alignment horizontal="center" vertical="center"/>
    </xf>
    <xf numFmtId="0" fontId="85" fillId="0" borderId="89" xfId="1473" applyFont="1" applyBorder="1" applyAlignment="1">
      <alignment horizontal="center" vertical="center"/>
    </xf>
    <xf numFmtId="0" fontId="85" fillId="0" borderId="88" xfId="1473" applyFont="1" applyBorder="1" applyAlignment="1">
      <alignment horizontal="center" vertical="center"/>
    </xf>
    <xf numFmtId="164" fontId="85" fillId="0" borderId="85" xfId="1446" applyFont="1" applyFill="1" applyBorder="1" applyAlignment="1">
      <alignment vertical="center"/>
    </xf>
    <xf numFmtId="164" fontId="85" fillId="0" borderId="85" xfId="1474" applyFont="1" applyFill="1" applyBorder="1" applyAlignment="1">
      <alignment vertical="center"/>
    </xf>
    <xf numFmtId="190" fontId="85" fillId="0" borderId="0" xfId="1446" applyNumberFormat="1" applyFont="1" applyFill="1" applyBorder="1" applyAlignment="1">
      <alignment vertical="center"/>
    </xf>
    <xf numFmtId="164" fontId="85" fillId="0" borderId="0" xfId="244" applyFont="1" applyFill="1" applyBorder="1" applyAlignment="1">
      <alignment vertical="center"/>
    </xf>
    <xf numFmtId="43" fontId="101" fillId="0" borderId="0" xfId="954" applyNumberFormat="1" applyFont="1" applyAlignment="1">
      <alignment vertical="center"/>
    </xf>
    <xf numFmtId="0" fontId="101" fillId="0" borderId="0" xfId="954" applyFont="1" applyAlignment="1">
      <alignment vertical="center"/>
    </xf>
    <xf numFmtId="0" fontId="85" fillId="0" borderId="0" xfId="873" applyFont="1" applyAlignment="1">
      <alignment horizontal="left" vertical="center" wrapText="1"/>
    </xf>
    <xf numFmtId="164" fontId="86" fillId="0" borderId="0" xfId="1446" applyFont="1" applyFill="1"/>
    <xf numFmtId="0" fontId="102" fillId="0" borderId="0" xfId="954" applyFont="1" applyAlignment="1">
      <alignment vertical="center"/>
    </xf>
    <xf numFmtId="43" fontId="86" fillId="0" borderId="0" xfId="454" applyFont="1" applyFill="1" applyBorder="1" applyAlignment="1">
      <alignment horizontal="left"/>
    </xf>
    <xf numFmtId="43" fontId="86" fillId="0" borderId="0" xfId="454" applyFont="1" applyFill="1" applyBorder="1" applyAlignment="1"/>
    <xf numFmtId="43" fontId="86" fillId="0" borderId="0" xfId="454" applyFont="1" applyFill="1" applyBorder="1" applyAlignment="1">
      <alignment horizontal="left" vertical="center"/>
    </xf>
    <xf numFmtId="43" fontId="86" fillId="0" borderId="0" xfId="454" applyFont="1" applyFill="1" applyAlignment="1">
      <alignment vertical="center"/>
    </xf>
    <xf numFmtId="43" fontId="86" fillId="0" borderId="0" xfId="454" applyFont="1" applyFill="1" applyBorder="1" applyAlignment="1">
      <alignment horizontal="center" vertical="center"/>
    </xf>
    <xf numFmtId="190" fontId="86" fillId="0" borderId="0" xfId="1446" applyNumberFormat="1" applyFont="1" applyFill="1" applyAlignment="1">
      <alignment vertical="center"/>
    </xf>
    <xf numFmtId="0" fontId="102" fillId="0" borderId="0" xfId="954" applyFont="1" applyAlignment="1">
      <alignment horizontal="center" vertical="center"/>
    </xf>
    <xf numFmtId="190" fontId="102" fillId="0" borderId="0" xfId="1446" applyNumberFormat="1" applyFont="1" applyFill="1" applyAlignment="1">
      <alignment vertical="center"/>
    </xf>
    <xf numFmtId="164" fontId="102" fillId="0" borderId="0" xfId="244" applyFont="1" applyFill="1" applyAlignment="1">
      <alignment vertical="center"/>
    </xf>
    <xf numFmtId="0" fontId="102" fillId="0" borderId="0" xfId="954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3" fontId="70" fillId="0" borderId="10" xfId="454" applyFont="1" applyFill="1" applyBorder="1" applyAlignment="1">
      <alignment vertical="center"/>
    </xf>
    <xf numFmtId="0" fontId="70" fillId="0" borderId="56" xfId="873" applyFont="1" applyBorder="1" applyAlignment="1">
      <alignment horizontal="center" vertical="top" wrapText="1"/>
    </xf>
    <xf numFmtId="0" fontId="70" fillId="0" borderId="0" xfId="873" applyFont="1" applyAlignment="1">
      <alignment horizontal="center" vertical="top"/>
    </xf>
    <xf numFmtId="0" fontId="71" fillId="0" borderId="11" xfId="954" applyFont="1" applyBorder="1" applyAlignment="1">
      <alignment horizontal="center" vertical="top"/>
    </xf>
    <xf numFmtId="0" fontId="71" fillId="0" borderId="33" xfId="954" applyFont="1" applyBorder="1" applyAlignment="1">
      <alignment horizontal="center" vertical="top"/>
    </xf>
    <xf numFmtId="164" fontId="70" fillId="0" borderId="33" xfId="1474" applyFont="1" applyFill="1" applyBorder="1" applyAlignment="1">
      <alignment horizontal="center" vertical="top"/>
    </xf>
    <xf numFmtId="0" fontId="71" fillId="0" borderId="56" xfId="873" applyFont="1" applyBorder="1" applyAlignment="1">
      <alignment horizontal="left" vertical="top"/>
    </xf>
    <xf numFmtId="0" fontId="70" fillId="0" borderId="56" xfId="873" applyFont="1" applyBorder="1" applyAlignment="1">
      <alignment horizontal="center" vertical="center" wrapText="1"/>
    </xf>
    <xf numFmtId="0" fontId="71" fillId="0" borderId="12" xfId="954" applyFont="1" applyBorder="1" applyAlignment="1">
      <alignment horizontal="left" vertical="center"/>
    </xf>
    <xf numFmtId="164" fontId="70" fillId="0" borderId="12" xfId="1474" applyFont="1" applyFill="1" applyBorder="1" applyAlignment="1">
      <alignment vertical="center"/>
    </xf>
    <xf numFmtId="43" fontId="71" fillId="0" borderId="0" xfId="873" applyNumberFormat="1" applyFont="1" applyAlignment="1">
      <alignment horizontal="center" vertical="center"/>
    </xf>
    <xf numFmtId="0" fontId="71" fillId="0" borderId="64" xfId="873" quotePrefix="1" applyFont="1" applyBorder="1" applyAlignment="1">
      <alignment horizontal="left" vertical="center"/>
    </xf>
    <xf numFmtId="0" fontId="71" fillId="0" borderId="69" xfId="873" quotePrefix="1" applyFont="1" applyBorder="1" applyAlignment="1">
      <alignment horizontal="left" vertical="center" wrapText="1"/>
    </xf>
    <xf numFmtId="164" fontId="70" fillId="0" borderId="53" xfId="1474" applyFont="1" applyFill="1" applyBorder="1" applyAlignment="1">
      <alignment vertical="center"/>
    </xf>
    <xf numFmtId="43" fontId="71" fillId="0" borderId="33" xfId="454" applyFont="1" applyFill="1" applyBorder="1" applyAlignment="1">
      <alignment horizontal="center" vertical="center"/>
    </xf>
    <xf numFmtId="43" fontId="71" fillId="0" borderId="33" xfId="454" applyFont="1" applyFill="1" applyBorder="1" applyAlignment="1">
      <alignment vertical="center"/>
    </xf>
    <xf numFmtId="0" fontId="70" fillId="0" borderId="56" xfId="0" applyFont="1" applyBorder="1" applyAlignment="1">
      <alignment horizontal="center" wrapText="1"/>
    </xf>
    <xf numFmtId="0" fontId="70" fillId="0" borderId="51" xfId="0" applyFont="1" applyBorder="1" applyAlignment="1">
      <alignment wrapText="1"/>
    </xf>
    <xf numFmtId="164" fontId="70" fillId="0" borderId="11" xfId="1446" applyFont="1" applyFill="1" applyBorder="1" applyAlignment="1">
      <alignment horizontal="center"/>
    </xf>
    <xf numFmtId="43" fontId="70" fillId="0" borderId="11" xfId="1478" applyFont="1" applyFill="1" applyBorder="1" applyAlignment="1">
      <alignment vertical="center"/>
    </xf>
    <xf numFmtId="0" fontId="70" fillId="0" borderId="11" xfId="873" applyFont="1" applyBorder="1" applyAlignment="1">
      <alignment vertical="center"/>
    </xf>
    <xf numFmtId="0" fontId="70" fillId="0" borderId="58" xfId="0" applyFont="1" applyBorder="1" applyAlignment="1">
      <alignment horizontal="center" wrapText="1"/>
    </xf>
    <xf numFmtId="0" fontId="70" fillId="0" borderId="54" xfId="0" applyFont="1" applyBorder="1" applyAlignment="1">
      <alignment wrapText="1"/>
    </xf>
    <xf numFmtId="164" fontId="70" fillId="0" borderId="33" xfId="1446" applyFont="1" applyFill="1" applyBorder="1" applyAlignment="1">
      <alignment horizontal="center"/>
    </xf>
    <xf numFmtId="43" fontId="70" fillId="0" borderId="33" xfId="1478" applyFont="1" applyFill="1" applyBorder="1" applyAlignment="1">
      <alignment vertical="center"/>
    </xf>
    <xf numFmtId="164" fontId="70" fillId="0" borderId="33" xfId="1474" applyFont="1" applyFill="1" applyBorder="1" applyAlignment="1">
      <alignment horizontal="left" vertical="center"/>
    </xf>
    <xf numFmtId="43" fontId="71" fillId="0" borderId="11" xfId="454" applyFont="1" applyFill="1" applyBorder="1" applyAlignment="1">
      <alignment horizontal="center" vertical="center"/>
    </xf>
    <xf numFmtId="43" fontId="71" fillId="0" borderId="11" xfId="1478" applyFont="1" applyFill="1" applyBorder="1" applyAlignment="1">
      <alignment vertical="center"/>
    </xf>
    <xf numFmtId="43" fontId="71" fillId="0" borderId="33" xfId="1478" applyFont="1" applyFill="1" applyBorder="1" applyAlignment="1">
      <alignment vertical="center"/>
    </xf>
    <xf numFmtId="0" fontId="71" fillId="0" borderId="56" xfId="0" applyFont="1" applyBorder="1" applyAlignment="1">
      <alignment horizontal="left"/>
    </xf>
    <xf numFmtId="0" fontId="71" fillId="0" borderId="10" xfId="954" applyFont="1" applyBorder="1" applyAlignment="1">
      <alignment horizontal="center" vertical="center"/>
    </xf>
    <xf numFmtId="164" fontId="70" fillId="0" borderId="10" xfId="1446" applyFont="1" applyFill="1" applyBorder="1" applyAlignment="1">
      <alignment vertical="center"/>
    </xf>
    <xf numFmtId="43" fontId="70" fillId="0" borderId="10" xfId="454" applyFont="1" applyFill="1" applyBorder="1" applyAlignment="1">
      <alignment horizontal="center" vertical="center"/>
    </xf>
    <xf numFmtId="3" fontId="70" fillId="0" borderId="51" xfId="956" applyNumberFormat="1" applyFont="1" applyBorder="1" applyAlignment="1">
      <alignment vertical="center" wrapText="1"/>
    </xf>
    <xf numFmtId="164" fontId="70" fillId="0" borderId="11" xfId="1446" applyFont="1" applyFill="1" applyBorder="1" applyAlignment="1">
      <alignment vertical="center" wrapText="1"/>
    </xf>
    <xf numFmtId="0" fontId="70" fillId="0" borderId="11" xfId="0" applyFont="1" applyBorder="1"/>
    <xf numFmtId="0" fontId="70" fillId="0" borderId="58" xfId="873" applyFont="1" applyBorder="1" applyAlignment="1">
      <alignment horizontal="center" vertical="center" wrapText="1"/>
    </xf>
    <xf numFmtId="3" fontId="70" fillId="0" borderId="54" xfId="956" applyNumberFormat="1" applyFont="1" applyBorder="1" applyAlignment="1">
      <alignment vertical="center" wrapText="1"/>
    </xf>
    <xf numFmtId="164" fontId="70" fillId="0" borderId="33" xfId="1446" applyFont="1" applyFill="1" applyBorder="1" applyAlignment="1">
      <alignment vertical="center" wrapText="1"/>
    </xf>
    <xf numFmtId="0" fontId="70" fillId="0" borderId="7" xfId="954" applyFont="1" applyBorder="1" applyAlignment="1">
      <alignment vertical="center"/>
    </xf>
    <xf numFmtId="164" fontId="70" fillId="0" borderId="0" xfId="1446" applyFont="1" applyFill="1" applyBorder="1" applyAlignment="1">
      <alignment horizontal="center"/>
    </xf>
    <xf numFmtId="0" fontId="88" fillId="0" borderId="0" xfId="954" applyFont="1" applyAlignment="1">
      <alignment horizontal="center" vertical="center"/>
    </xf>
    <xf numFmtId="168" fontId="86" fillId="0" borderId="0" xfId="954" applyNumberFormat="1" applyFont="1" applyAlignment="1">
      <alignment horizontal="left" vertical="center"/>
    </xf>
    <xf numFmtId="168" fontId="86" fillId="0" borderId="0" xfId="954" applyNumberFormat="1" applyFont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8" fillId="0" borderId="0" xfId="1473" applyFont="1" applyAlignment="1">
      <alignment vertical="center"/>
    </xf>
    <xf numFmtId="164" fontId="86" fillId="0" borderId="5" xfId="1446" applyFont="1" applyFill="1" applyBorder="1" applyAlignment="1">
      <alignment horizontal="center" vertical="center"/>
    </xf>
    <xf numFmtId="164" fontId="86" fillId="0" borderId="0" xfId="1446" applyFont="1" applyFill="1" applyAlignment="1">
      <alignment horizontal="center" vertical="center"/>
    </xf>
    <xf numFmtId="164" fontId="86" fillId="0" borderId="0" xfId="1474" applyFont="1" applyFill="1" applyAlignment="1">
      <alignment vertical="center"/>
    </xf>
    <xf numFmtId="0" fontId="85" fillId="0" borderId="5" xfId="1473" quotePrefix="1" applyFont="1" applyBorder="1" applyAlignment="1">
      <alignment horizontal="center" vertical="center"/>
    </xf>
    <xf numFmtId="0" fontId="86" fillId="0" borderId="58" xfId="1473" applyFont="1" applyBorder="1" applyAlignment="1">
      <alignment horizontal="center" vertical="top"/>
    </xf>
    <xf numFmtId="0" fontId="86" fillId="0" borderId="54" xfId="1466" applyFont="1" applyBorder="1" applyAlignment="1">
      <alignment horizontal="left" vertical="top"/>
    </xf>
    <xf numFmtId="164" fontId="86" fillId="0" borderId="33" xfId="1474" applyFont="1" applyFill="1" applyBorder="1" applyAlignment="1">
      <alignment horizontal="center" vertical="top"/>
    </xf>
    <xf numFmtId="164" fontId="86" fillId="0" borderId="33" xfId="1474" applyFont="1" applyFill="1" applyBorder="1" applyAlignment="1">
      <alignment vertical="top" wrapText="1"/>
    </xf>
    <xf numFmtId="164" fontId="86" fillId="0" borderId="10" xfId="1474" applyFont="1" applyFill="1" applyBorder="1" applyAlignment="1">
      <alignment vertical="top"/>
    </xf>
    <xf numFmtId="43" fontId="86" fillId="0" borderId="0" xfId="1446" applyNumberFormat="1" applyFont="1" applyFill="1" applyAlignment="1">
      <alignment horizontal="left" vertical="top"/>
    </xf>
    <xf numFmtId="0" fontId="86" fillId="0" borderId="51" xfId="1466" applyFont="1" applyBorder="1" applyAlignment="1">
      <alignment horizontal="left" vertical="center"/>
    </xf>
    <xf numFmtId="164" fontId="86" fillId="0" borderId="11" xfId="1474" applyFont="1" applyFill="1" applyBorder="1" applyAlignment="1">
      <alignment vertical="center" wrapText="1"/>
    </xf>
    <xf numFmtId="0" fontId="86" fillId="0" borderId="51" xfId="1466" applyFont="1" applyBorder="1" applyAlignment="1">
      <alignment horizontal="left" vertical="top" wrapText="1"/>
    </xf>
    <xf numFmtId="164" fontId="86" fillId="0" borderId="11" xfId="1474" applyFont="1" applyFill="1" applyBorder="1" applyAlignment="1">
      <alignment vertical="top" wrapText="1"/>
    </xf>
    <xf numFmtId="0" fontId="86" fillId="0" borderId="28" xfId="1473" applyFont="1" applyBorder="1" applyAlignment="1">
      <alignment horizontal="center" vertical="center"/>
    </xf>
    <xf numFmtId="0" fontId="86" fillId="0" borderId="52" xfId="1466" applyFont="1" applyBorder="1" applyAlignment="1">
      <alignment horizontal="left" vertical="center"/>
    </xf>
    <xf numFmtId="164" fontId="86" fillId="0" borderId="28" xfId="1474" applyFont="1" applyFill="1" applyBorder="1" applyAlignment="1">
      <alignment vertical="center" wrapText="1"/>
    </xf>
    <xf numFmtId="0" fontId="85" fillId="0" borderId="67" xfId="1473" applyFont="1" applyBorder="1" applyAlignment="1">
      <alignment horizontal="center" vertical="center"/>
    </xf>
    <xf numFmtId="0" fontId="85" fillId="0" borderId="65" xfId="1473" applyFont="1" applyBorder="1" applyAlignment="1">
      <alignment horizontal="center" vertical="center" wrapText="1"/>
    </xf>
    <xf numFmtId="164" fontId="85" fillId="0" borderId="12" xfId="1446" applyFont="1" applyFill="1" applyBorder="1" applyAlignment="1">
      <alignment vertical="center"/>
    </xf>
    <xf numFmtId="164" fontId="85" fillId="0" borderId="0" xfId="1474" applyFont="1" applyFill="1" applyAlignment="1">
      <alignment vertical="center"/>
    </xf>
    <xf numFmtId="0" fontId="85" fillId="0" borderId="9" xfId="1473" quotePrefix="1" applyFont="1" applyBorder="1" applyAlignment="1">
      <alignment horizontal="center" vertical="center"/>
    </xf>
    <xf numFmtId="164" fontId="85" fillId="0" borderId="9" xfId="1474" applyFont="1" applyFill="1" applyBorder="1" applyAlignment="1">
      <alignment horizontal="center" vertical="center"/>
    </xf>
    <xf numFmtId="164" fontId="85" fillId="0" borderId="9" xfId="1474" applyFont="1" applyFill="1" applyBorder="1" applyAlignment="1">
      <alignment vertical="center"/>
    </xf>
    <xf numFmtId="0" fontId="86" fillId="0" borderId="33" xfId="1473" quotePrefix="1" applyFont="1" applyBorder="1" applyAlignment="1">
      <alignment horizontal="center" vertical="center"/>
    </xf>
    <xf numFmtId="0" fontId="86" fillId="0" borderId="54" xfId="1466" applyFont="1" applyBorder="1" applyAlignment="1">
      <alignment horizontal="left" vertical="center"/>
    </xf>
    <xf numFmtId="0" fontId="86" fillId="0" borderId="11" xfId="1473" quotePrefix="1" applyFont="1" applyBorder="1" applyAlignment="1">
      <alignment horizontal="center" vertical="center"/>
    </xf>
    <xf numFmtId="0" fontId="86" fillId="0" borderId="8" xfId="1466" applyFont="1" applyBorder="1" applyAlignment="1">
      <alignment horizontal="left" vertical="center"/>
    </xf>
    <xf numFmtId="164" fontId="86" fillId="0" borderId="33" xfId="1446" applyFont="1" applyFill="1" applyBorder="1"/>
    <xf numFmtId="164" fontId="86" fillId="0" borderId="33" xfId="1474" applyFont="1" applyFill="1" applyBorder="1" applyAlignment="1">
      <alignment horizontal="center"/>
    </xf>
    <xf numFmtId="164" fontId="86" fillId="0" borderId="33" xfId="1474" applyFont="1" applyFill="1" applyBorder="1"/>
    <xf numFmtId="164" fontId="86" fillId="0" borderId="0" xfId="1474" applyFont="1" applyFill="1" applyBorder="1"/>
    <xf numFmtId="164" fontId="86" fillId="0" borderId="0" xfId="1474" applyFont="1" applyFill="1"/>
    <xf numFmtId="164" fontId="86" fillId="0" borderId="11" xfId="1446" applyFont="1" applyFill="1" applyBorder="1" applyAlignment="1">
      <alignment horizontal="left" vertical="center"/>
    </xf>
    <xf numFmtId="164" fontId="86" fillId="0" borderId="11" xfId="1446" applyFont="1" applyFill="1" applyBorder="1"/>
    <xf numFmtId="164" fontId="86" fillId="0" borderId="11" xfId="1474" applyFont="1" applyFill="1" applyBorder="1" applyAlignment="1">
      <alignment horizontal="center"/>
    </xf>
    <xf numFmtId="164" fontId="86" fillId="0" borderId="11" xfId="1474" applyFont="1" applyFill="1" applyBorder="1"/>
    <xf numFmtId="164" fontId="86" fillId="0" borderId="33" xfId="1446" applyFont="1" applyFill="1" applyBorder="1" applyAlignment="1">
      <alignment horizontal="left" vertical="center"/>
    </xf>
    <xf numFmtId="164" fontId="86" fillId="0" borderId="55" xfId="1446" applyFont="1" applyFill="1" applyBorder="1" applyAlignment="1">
      <alignment horizontal="left" vertical="center"/>
    </xf>
    <xf numFmtId="0" fontId="86" fillId="0" borderId="51" xfId="1457" quotePrefix="1" applyFont="1" applyBorder="1" applyAlignment="1">
      <alignment horizontal="left" vertical="top"/>
    </xf>
    <xf numFmtId="0" fontId="86" fillId="0" borderId="51" xfId="1457" quotePrefix="1" applyFont="1" applyBorder="1" applyAlignment="1">
      <alignment horizontal="left" vertical="center"/>
    </xf>
    <xf numFmtId="43" fontId="86" fillId="0" borderId="11" xfId="1474" applyNumberFormat="1" applyFont="1" applyFill="1" applyBorder="1" applyAlignment="1">
      <alignment vertical="center"/>
    </xf>
    <xf numFmtId="43" fontId="86" fillId="0" borderId="0" xfId="1446" applyNumberFormat="1" applyFont="1" applyFill="1" applyAlignment="1">
      <alignment vertical="center"/>
    </xf>
    <xf numFmtId="0" fontId="86" fillId="0" borderId="56" xfId="1466" applyFont="1" applyBorder="1" applyAlignment="1">
      <alignment horizontal="center" vertical="center"/>
    </xf>
    <xf numFmtId="164" fontId="86" fillId="0" borderId="56" xfId="1474" applyFont="1" applyFill="1" applyBorder="1" applyAlignment="1">
      <alignment horizontal="center" vertical="top"/>
    </xf>
    <xf numFmtId="0" fontId="86" fillId="0" borderId="51" xfId="1466" applyFont="1" applyBorder="1" applyAlignment="1">
      <alignment horizontal="left" vertical="top"/>
    </xf>
    <xf numFmtId="43" fontId="85" fillId="0" borderId="0" xfId="1446" applyNumberFormat="1" applyFont="1" applyFill="1" applyAlignment="1">
      <alignment vertical="center"/>
    </xf>
    <xf numFmtId="0" fontId="86" fillId="0" borderId="51" xfId="1466" quotePrefix="1" applyFont="1" applyBorder="1" applyAlignment="1">
      <alignment horizontal="left" vertical="center"/>
    </xf>
    <xf numFmtId="43" fontId="86" fillId="0" borderId="33" xfId="1474" applyNumberFormat="1" applyFont="1" applyFill="1" applyBorder="1" applyAlignment="1">
      <alignment vertical="center"/>
    </xf>
    <xf numFmtId="0" fontId="86" fillId="0" borderId="54" xfId="1457" quotePrefix="1" applyFont="1" applyBorder="1" applyAlignment="1">
      <alignment horizontal="left" vertical="center"/>
    </xf>
    <xf numFmtId="43" fontId="86" fillId="0" borderId="55" xfId="1474" applyNumberFormat="1" applyFont="1" applyFill="1" applyBorder="1" applyAlignment="1">
      <alignment vertical="center"/>
    </xf>
    <xf numFmtId="0" fontId="86" fillId="0" borderId="54" xfId="1457" applyFont="1" applyBorder="1" applyAlignment="1">
      <alignment horizontal="left" vertical="center"/>
    </xf>
    <xf numFmtId="0" fontId="86" fillId="0" borderId="51" xfId="1457" applyFont="1" applyBorder="1" applyAlignment="1">
      <alignment horizontal="left" vertical="center"/>
    </xf>
    <xf numFmtId="0" fontId="86" fillId="0" borderId="52" xfId="1457" applyFont="1" applyBorder="1" applyAlignment="1">
      <alignment horizontal="left" vertical="center"/>
    </xf>
    <xf numFmtId="0" fontId="85" fillId="0" borderId="5" xfId="1473" applyFont="1" applyBorder="1" applyAlignment="1">
      <alignment horizontal="center"/>
    </xf>
    <xf numFmtId="164" fontId="85" fillId="0" borderId="5" xfId="1474" applyFont="1" applyFill="1" applyBorder="1"/>
    <xf numFmtId="164" fontId="85" fillId="0" borderId="0" xfId="1474" applyFont="1" applyFill="1" applyBorder="1"/>
    <xf numFmtId="164" fontId="85" fillId="0" borderId="0" xfId="1474" applyFont="1" applyFill="1"/>
    <xf numFmtId="0" fontId="85" fillId="0" borderId="0" xfId="1473" applyFont="1"/>
    <xf numFmtId="0" fontId="86" fillId="0" borderId="0" xfId="1473" applyFont="1"/>
    <xf numFmtId="164" fontId="85" fillId="0" borderId="5" xfId="1446" applyFont="1" applyFill="1" applyBorder="1"/>
    <xf numFmtId="0" fontId="86" fillId="0" borderId="56" xfId="1473" applyFont="1" applyBorder="1" applyAlignment="1">
      <alignment horizontal="center"/>
    </xf>
    <xf numFmtId="0" fontId="86" fillId="0" borderId="51" xfId="1466" applyFont="1" applyBorder="1" applyAlignment="1">
      <alignment horizontal="left"/>
    </xf>
    <xf numFmtId="0" fontId="86" fillId="0" borderId="56" xfId="1473" applyFont="1" applyBorder="1" applyAlignment="1">
      <alignment horizontal="left"/>
    </xf>
    <xf numFmtId="164" fontId="86" fillId="0" borderId="55" xfId="1474" applyFont="1" applyFill="1" applyBorder="1"/>
    <xf numFmtId="166" fontId="85" fillId="0" borderId="5" xfId="1473" applyNumberFormat="1" applyFont="1" applyBorder="1" applyAlignment="1">
      <alignment horizontal="center" vertical="center"/>
    </xf>
    <xf numFmtId="2" fontId="85" fillId="0" borderId="5" xfId="1473" applyNumberFormat="1" applyFont="1" applyBorder="1" applyAlignment="1">
      <alignment horizontal="center" vertical="center"/>
    </xf>
    <xf numFmtId="164" fontId="85" fillId="0" borderId="33" xfId="1446" applyFont="1" applyFill="1" applyBorder="1" applyAlignment="1">
      <alignment vertical="center"/>
    </xf>
    <xf numFmtId="164" fontId="85" fillId="0" borderId="33" xfId="1474" applyFont="1" applyFill="1" applyBorder="1" applyAlignment="1">
      <alignment horizontal="center" vertical="center"/>
    </xf>
    <xf numFmtId="164" fontId="85" fillId="0" borderId="33" xfId="1474" applyFont="1" applyFill="1" applyBorder="1" applyAlignment="1">
      <alignment vertical="center"/>
    </xf>
    <xf numFmtId="43" fontId="86" fillId="0" borderId="0" xfId="1446" applyNumberFormat="1" applyFont="1" applyFill="1" applyAlignment="1">
      <alignment vertical="top"/>
    </xf>
    <xf numFmtId="164" fontId="85" fillId="0" borderId="67" xfId="1446" applyFont="1" applyFill="1" applyBorder="1" applyAlignment="1">
      <alignment vertical="center"/>
    </xf>
    <xf numFmtId="0" fontId="85" fillId="0" borderId="65" xfId="1457" applyFont="1" applyBorder="1" applyAlignment="1">
      <alignment horizontal="center" vertical="center"/>
    </xf>
    <xf numFmtId="164" fontId="85" fillId="0" borderId="12" xfId="1474" applyFont="1" applyFill="1" applyBorder="1" applyAlignment="1">
      <alignment horizontal="center" vertical="center"/>
    </xf>
    <xf numFmtId="164" fontId="85" fillId="0" borderId="9" xfId="1474" applyFont="1" applyFill="1" applyBorder="1"/>
    <xf numFmtId="0" fontId="86" fillId="0" borderId="11" xfId="1466" applyFont="1" applyBorder="1" applyAlignment="1">
      <alignment horizontal="center"/>
    </xf>
    <xf numFmtId="0" fontId="86" fillId="0" borderId="51" xfId="1466" applyFont="1" applyBorder="1"/>
    <xf numFmtId="0" fontId="86" fillId="0" borderId="0" xfId="0" applyFont="1" applyAlignment="1">
      <alignment vertical="top"/>
    </xf>
    <xf numFmtId="2" fontId="101" fillId="0" borderId="5" xfId="1473" applyNumberFormat="1" applyFont="1" applyBorder="1" applyAlignment="1">
      <alignment horizontal="center"/>
    </xf>
    <xf numFmtId="164" fontId="101" fillId="0" borderId="5" xfId="1474" applyFont="1" applyFill="1" applyBorder="1" applyAlignment="1">
      <alignment vertical="center"/>
    </xf>
    <xf numFmtId="164" fontId="101" fillId="0" borderId="5" xfId="1474" applyFont="1" applyFill="1" applyBorder="1"/>
    <xf numFmtId="164" fontId="101" fillId="0" borderId="0" xfId="1474" applyFont="1" applyFill="1" applyBorder="1"/>
    <xf numFmtId="164" fontId="101" fillId="0" borderId="0" xfId="1474" applyFont="1" applyFill="1"/>
    <xf numFmtId="0" fontId="101" fillId="0" borderId="0" xfId="1473" applyFont="1"/>
    <xf numFmtId="0" fontId="86" fillId="0" borderId="56" xfId="1466" applyFont="1" applyBorder="1"/>
    <xf numFmtId="0" fontId="86" fillId="0" borderId="11" xfId="1466" applyFont="1" applyBorder="1"/>
    <xf numFmtId="164" fontId="86" fillId="0" borderId="0" xfId="1474" applyFont="1" applyFill="1" applyBorder="1" applyAlignment="1">
      <alignment horizontal="center"/>
    </xf>
    <xf numFmtId="0" fontId="102" fillId="0" borderId="0" xfId="1473" applyFont="1"/>
    <xf numFmtId="0" fontId="86" fillId="0" borderId="51" xfId="1466" quotePrefix="1" applyFont="1" applyBorder="1" applyAlignment="1">
      <alignment horizontal="left" vertical="top" wrapText="1"/>
    </xf>
    <xf numFmtId="164" fontId="86" fillId="0" borderId="0" xfId="1474" applyFont="1" applyFill="1" applyBorder="1" applyAlignment="1">
      <alignment horizontal="center" vertical="top"/>
    </xf>
    <xf numFmtId="164" fontId="101" fillId="0" borderId="5" xfId="1446" applyFont="1" applyFill="1" applyBorder="1" applyAlignment="1">
      <alignment vertical="center"/>
    </xf>
    <xf numFmtId="0" fontId="102" fillId="0" borderId="33" xfId="1473" applyFont="1" applyBorder="1" applyAlignment="1">
      <alignment horizontal="center"/>
    </xf>
    <xf numFmtId="164" fontId="102" fillId="0" borderId="33" xfId="1446" applyFont="1" applyFill="1" applyBorder="1" applyAlignment="1">
      <alignment vertical="center"/>
    </xf>
    <xf numFmtId="164" fontId="102" fillId="0" borderId="33" xfId="1474" applyFont="1" applyFill="1" applyBorder="1" applyAlignment="1">
      <alignment vertical="center"/>
    </xf>
    <xf numFmtId="164" fontId="102" fillId="0" borderId="33" xfId="1474" applyFont="1" applyFill="1" applyBorder="1"/>
    <xf numFmtId="164" fontId="102" fillId="0" borderId="0" xfId="1474" applyFont="1" applyFill="1" applyBorder="1"/>
    <xf numFmtId="164" fontId="102" fillId="0" borderId="0" xfId="1474" applyFont="1" applyFill="1"/>
    <xf numFmtId="164" fontId="86" fillId="0" borderId="56" xfId="1474" applyFont="1" applyFill="1" applyBorder="1" applyAlignment="1">
      <alignment horizontal="left" vertical="top"/>
    </xf>
    <xf numFmtId="0" fontId="85" fillId="0" borderId="88" xfId="1473" applyFont="1" applyBorder="1" applyAlignment="1">
      <alignment horizontal="center" vertical="center" wrapText="1"/>
    </xf>
    <xf numFmtId="43" fontId="85" fillId="0" borderId="0" xfId="954" applyNumberFormat="1" applyFont="1" applyAlignment="1">
      <alignment vertical="center"/>
    </xf>
    <xf numFmtId="0" fontId="102" fillId="0" borderId="0" xfId="0" applyFont="1"/>
    <xf numFmtId="43" fontId="102" fillId="0" borderId="0" xfId="454" applyFont="1" applyFill="1" applyBorder="1" applyAlignment="1">
      <alignment horizontal="left" vertical="center"/>
    </xf>
    <xf numFmtId="164" fontId="102" fillId="0" borderId="0" xfId="1446" applyFont="1" applyFill="1" applyAlignment="1">
      <alignment vertical="center"/>
    </xf>
    <xf numFmtId="0" fontId="85" fillId="0" borderId="65" xfId="1473" applyFont="1" applyBorder="1" applyAlignment="1">
      <alignment horizontal="center" vertical="center"/>
    </xf>
    <xf numFmtId="0" fontId="85" fillId="0" borderId="65" xfId="1473" applyFont="1" applyBorder="1" applyAlignment="1">
      <alignment horizontal="left" vertical="center"/>
    </xf>
    <xf numFmtId="0" fontId="88" fillId="0" borderId="0" xfId="954" applyFont="1" applyAlignment="1">
      <alignment horizontal="left" vertical="center" wrapText="1"/>
    </xf>
    <xf numFmtId="164" fontId="86" fillId="0" borderId="0" xfId="1446" applyFont="1" applyFill="1" applyAlignment="1">
      <alignment horizontal="left" vertical="center"/>
    </xf>
    <xf numFmtId="0" fontId="86" fillId="0" borderId="0" xfId="953" applyFont="1" applyAlignment="1">
      <alignment horizontal="left" vertical="center"/>
    </xf>
    <xf numFmtId="0" fontId="86" fillId="0" borderId="0" xfId="873" applyFont="1" applyAlignment="1">
      <alignment horizontal="left" vertical="center"/>
    </xf>
    <xf numFmtId="0" fontId="86" fillId="0" borderId="0" xfId="954" applyFont="1" applyAlignment="1">
      <alignment horizontal="left" vertical="center" wrapText="1"/>
    </xf>
    <xf numFmtId="164" fontId="88" fillId="0" borderId="5" xfId="1446" applyFont="1" applyFill="1" applyBorder="1" applyAlignment="1">
      <alignment horizontal="center" vertical="center"/>
    </xf>
    <xf numFmtId="0" fontId="85" fillId="0" borderId="5" xfId="954" applyFont="1" applyBorder="1" applyAlignment="1">
      <alignment horizontal="left"/>
    </xf>
    <xf numFmtId="0" fontId="85" fillId="0" borderId="5" xfId="954" applyFont="1" applyBorder="1" applyAlignment="1">
      <alignment vertical="center"/>
    </xf>
    <xf numFmtId="164" fontId="85" fillId="0" borderId="5" xfId="1446" applyFont="1" applyFill="1" applyBorder="1" applyAlignment="1">
      <alignment horizontal="left" vertical="center"/>
    </xf>
    <xf numFmtId="164" fontId="85" fillId="0" borderId="5" xfId="1446" applyFont="1" applyFill="1" applyBorder="1" applyAlignment="1">
      <alignment horizontal="left" vertical="center" wrapText="1"/>
    </xf>
    <xf numFmtId="0" fontId="85" fillId="0" borderId="5" xfId="0" applyFont="1" applyBorder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5" fillId="0" borderId="0" xfId="954" applyFont="1" applyAlignment="1">
      <alignment horizontal="left" vertical="center" wrapText="1"/>
    </xf>
    <xf numFmtId="0" fontId="85" fillId="0" borderId="5" xfId="954" applyFont="1" applyBorder="1" applyAlignment="1">
      <alignment horizontal="center" vertical="center"/>
    </xf>
    <xf numFmtId="164" fontId="85" fillId="0" borderId="5" xfId="1446" applyFont="1" applyFill="1" applyBorder="1" applyAlignment="1">
      <alignment horizontal="center" vertical="center" wrapText="1"/>
    </xf>
    <xf numFmtId="164" fontId="85" fillId="0" borderId="0" xfId="1446" applyFont="1" applyFill="1" applyBorder="1" applyAlignment="1">
      <alignment horizontal="left" vertical="center" wrapText="1"/>
    </xf>
    <xf numFmtId="0" fontId="85" fillId="0" borderId="0" xfId="954" applyFont="1" applyAlignment="1">
      <alignment horizontal="left" vertical="center"/>
    </xf>
    <xf numFmtId="0" fontId="85" fillId="0" borderId="33" xfId="954" applyFont="1" applyBorder="1" applyAlignment="1">
      <alignment horizontal="center" vertical="center"/>
    </xf>
    <xf numFmtId="0" fontId="85" fillId="0" borderId="58" xfId="954" applyFont="1" applyBorder="1" applyAlignment="1">
      <alignment horizontal="left"/>
    </xf>
    <xf numFmtId="0" fontId="85" fillId="0" borderId="54" xfId="954" applyFont="1" applyBorder="1" applyAlignment="1">
      <alignment vertical="center"/>
    </xf>
    <xf numFmtId="164" fontId="85" fillId="0" borderId="33" xfId="1446" applyFont="1" applyFill="1" applyBorder="1" applyAlignment="1">
      <alignment horizontal="left" vertical="center" wrapText="1"/>
    </xf>
    <xf numFmtId="164" fontId="85" fillId="0" borderId="33" xfId="1446" applyFont="1" applyFill="1" applyBorder="1" applyAlignment="1">
      <alignment horizontal="center" vertical="center" wrapText="1"/>
    </xf>
    <xf numFmtId="164" fontId="85" fillId="0" borderId="33" xfId="1446" applyFont="1" applyFill="1" applyBorder="1" applyAlignment="1">
      <alignment vertical="center" wrapText="1"/>
    </xf>
    <xf numFmtId="0" fontId="86" fillId="0" borderId="56" xfId="954" applyFont="1" applyBorder="1" applyAlignment="1">
      <alignment horizontal="center" vertical="top"/>
    </xf>
    <xf numFmtId="0" fontId="86" fillId="0" borderId="51" xfId="954" applyFont="1" applyBorder="1" applyAlignment="1">
      <alignment horizontal="left" vertical="top" wrapText="1"/>
    </xf>
    <xf numFmtId="164" fontId="86" fillId="0" borderId="11" xfId="1446" applyFont="1" applyFill="1" applyBorder="1" applyAlignment="1">
      <alignment horizontal="left" vertical="top" wrapText="1"/>
    </xf>
    <xf numFmtId="164" fontId="86" fillId="0" borderId="11" xfId="244" applyFont="1" applyFill="1" applyBorder="1" applyAlignment="1">
      <alignment horizontal="center" vertical="top" wrapText="1"/>
    </xf>
    <xf numFmtId="164" fontId="86" fillId="0" borderId="11" xfId="244" applyFont="1" applyFill="1" applyBorder="1" applyAlignment="1">
      <alignment horizontal="left" vertical="top" wrapText="1"/>
    </xf>
    <xf numFmtId="164" fontId="86" fillId="0" borderId="11" xfId="244" applyFont="1" applyFill="1" applyBorder="1" applyAlignment="1">
      <alignment vertical="top" wrapText="1"/>
    </xf>
    <xf numFmtId="164" fontId="85" fillId="0" borderId="11" xfId="1446" applyFont="1" applyFill="1" applyBorder="1" applyAlignment="1">
      <alignment horizontal="left" vertical="top" wrapText="1"/>
    </xf>
    <xf numFmtId="0" fontId="86" fillId="0" borderId="51" xfId="954" applyFont="1" applyBorder="1" applyAlignment="1">
      <alignment horizontal="left" vertical="center"/>
    </xf>
    <xf numFmtId="164" fontId="86" fillId="0" borderId="11" xfId="1446" applyFont="1" applyFill="1" applyBorder="1" applyAlignment="1">
      <alignment horizontal="left" vertical="center" wrapText="1"/>
    </xf>
    <xf numFmtId="164" fontId="86" fillId="0" borderId="11" xfId="244" applyFont="1" applyFill="1" applyBorder="1" applyAlignment="1">
      <alignment horizontal="center" vertical="center" wrapText="1"/>
    </xf>
    <xf numFmtId="164" fontId="86" fillId="0" borderId="11" xfId="244" applyFont="1" applyFill="1" applyBorder="1" applyAlignment="1">
      <alignment horizontal="left" vertical="center" wrapText="1"/>
    </xf>
    <xf numFmtId="164" fontId="86" fillId="0" borderId="11" xfId="244" applyFont="1" applyFill="1" applyBorder="1" applyAlignment="1">
      <alignment vertical="center" wrapText="1"/>
    </xf>
    <xf numFmtId="164" fontId="85" fillId="0" borderId="11" xfId="1446" applyFont="1" applyFill="1" applyBorder="1" applyAlignment="1">
      <alignment horizontal="left" vertical="center" wrapText="1"/>
    </xf>
    <xf numFmtId="0" fontId="86" fillId="0" borderId="51" xfId="954" applyFont="1" applyBorder="1" applyAlignment="1">
      <alignment horizontal="left" vertical="center" wrapText="1"/>
    </xf>
    <xf numFmtId="0" fontId="85" fillId="0" borderId="56" xfId="954" applyFont="1" applyBorder="1" applyAlignment="1">
      <alignment horizontal="left"/>
    </xf>
    <xf numFmtId="0" fontId="85" fillId="0" borderId="51" xfId="954" applyFont="1" applyBorder="1" applyAlignment="1">
      <alignment vertical="center" wrapText="1"/>
    </xf>
    <xf numFmtId="164" fontId="85" fillId="0" borderId="11" xfId="1446" applyFont="1" applyFill="1" applyBorder="1" applyAlignment="1">
      <alignment horizontal="center" vertical="center" wrapText="1"/>
    </xf>
    <xf numFmtId="164" fontId="85" fillId="0" borderId="11" xfId="1446" applyFont="1" applyFill="1" applyBorder="1" applyAlignment="1">
      <alignment vertical="center" wrapText="1"/>
    </xf>
    <xf numFmtId="0" fontId="86" fillId="0" borderId="58" xfId="954" applyFont="1" applyBorder="1" applyAlignment="1">
      <alignment horizontal="center" vertical="center"/>
    </xf>
    <xf numFmtId="0" fontId="86" fillId="0" borderId="54" xfId="954" applyFont="1" applyBorder="1" applyAlignment="1">
      <alignment horizontal="left" vertical="center"/>
    </xf>
    <xf numFmtId="164" fontId="86" fillId="0" borderId="33" xfId="1446" applyFont="1" applyFill="1" applyBorder="1" applyAlignment="1">
      <alignment horizontal="left" vertical="center" wrapText="1"/>
    </xf>
    <xf numFmtId="164" fontId="86" fillId="0" borderId="33" xfId="244" applyFont="1" applyFill="1" applyBorder="1" applyAlignment="1">
      <alignment horizontal="center" vertical="center" wrapText="1"/>
    </xf>
    <xf numFmtId="164" fontId="86" fillId="0" borderId="33" xfId="244" applyFont="1" applyFill="1" applyBorder="1" applyAlignment="1">
      <alignment horizontal="left" vertical="center" wrapText="1"/>
    </xf>
    <xf numFmtId="164" fontId="86" fillId="0" borderId="33" xfId="244" applyFont="1" applyFill="1" applyBorder="1" applyAlignment="1">
      <alignment vertical="center" wrapText="1"/>
    </xf>
    <xf numFmtId="0" fontId="85" fillId="0" borderId="51" xfId="954" applyFont="1" applyBorder="1" applyAlignment="1">
      <alignment vertical="center"/>
    </xf>
    <xf numFmtId="0" fontId="86" fillId="0" borderId="11" xfId="954" applyFont="1" applyBorder="1" applyAlignment="1">
      <alignment horizontal="center" vertical="center" wrapText="1"/>
    </xf>
    <xf numFmtId="0" fontId="86" fillId="0" borderId="56" xfId="954" applyFont="1" applyBorder="1" applyAlignment="1">
      <alignment horizontal="center" vertical="center" wrapText="1"/>
    </xf>
    <xf numFmtId="0" fontId="86" fillId="0" borderId="11" xfId="954" applyFont="1" applyBorder="1" applyAlignment="1">
      <alignment horizontal="center" vertical="top" wrapText="1"/>
    </xf>
    <xf numFmtId="0" fontId="86" fillId="0" borderId="56" xfId="954" applyFont="1" applyBorder="1" applyAlignment="1">
      <alignment horizontal="center" vertical="top" wrapText="1"/>
    </xf>
    <xf numFmtId="0" fontId="86" fillId="0" borderId="0" xfId="954" applyFont="1" applyAlignment="1">
      <alignment horizontal="left" vertical="top" wrapText="1"/>
    </xf>
    <xf numFmtId="0" fontId="86" fillId="0" borderId="33" xfId="954" applyFont="1" applyBorder="1" applyAlignment="1">
      <alignment horizontal="center" vertical="center" wrapText="1"/>
    </xf>
    <xf numFmtId="0" fontId="86" fillId="0" borderId="58" xfId="954" applyFont="1" applyBorder="1" applyAlignment="1">
      <alignment horizontal="center" vertical="center" wrapText="1"/>
    </xf>
    <xf numFmtId="0" fontId="86" fillId="0" borderId="54" xfId="954" applyFont="1" applyBorder="1" applyAlignment="1">
      <alignment horizontal="left" vertical="center" wrapText="1"/>
    </xf>
    <xf numFmtId="0" fontId="86" fillId="0" borderId="51" xfId="954" applyFont="1" applyBorder="1" applyAlignment="1">
      <alignment horizontal="left" vertical="top"/>
    </xf>
    <xf numFmtId="164" fontId="86" fillId="0" borderId="11" xfId="1446" applyFont="1" applyFill="1" applyBorder="1" applyAlignment="1">
      <alignment horizontal="left" vertical="top"/>
    </xf>
    <xf numFmtId="164" fontId="86" fillId="0" borderId="11" xfId="244" applyFont="1" applyFill="1" applyBorder="1" applyAlignment="1">
      <alignment horizontal="center" vertical="top"/>
    </xf>
    <xf numFmtId="164" fontId="86" fillId="0" borderId="11" xfId="244" applyFont="1" applyFill="1" applyBorder="1" applyAlignment="1">
      <alignment horizontal="left" vertical="top"/>
    </xf>
    <xf numFmtId="164" fontId="85" fillId="0" borderId="11" xfId="1446" applyFont="1" applyFill="1" applyBorder="1" applyAlignment="1">
      <alignment horizontal="left" vertical="top"/>
    </xf>
    <xf numFmtId="164" fontId="85" fillId="0" borderId="67" xfId="244" applyFont="1" applyFill="1" applyBorder="1" applyAlignment="1">
      <alignment horizontal="left"/>
    </xf>
    <xf numFmtId="0" fontId="85" fillId="0" borderId="65" xfId="954" applyFont="1" applyBorder="1" applyAlignment="1">
      <alignment horizontal="center" vertical="center" wrapText="1"/>
    </xf>
    <xf numFmtId="164" fontId="85" fillId="0" borderId="12" xfId="1446" applyFont="1" applyFill="1" applyBorder="1" applyAlignment="1">
      <alignment horizontal="left" vertical="center"/>
    </xf>
    <xf numFmtId="164" fontId="85" fillId="0" borderId="12" xfId="244" applyFont="1" applyFill="1" applyBorder="1" applyAlignment="1">
      <alignment horizontal="center" vertical="center"/>
    </xf>
    <xf numFmtId="164" fontId="85" fillId="0" borderId="12" xfId="244" applyFont="1" applyFill="1" applyBorder="1" applyAlignment="1">
      <alignment horizontal="left" vertical="center"/>
    </xf>
    <xf numFmtId="164" fontId="85" fillId="0" borderId="0" xfId="244" applyFont="1" applyFill="1" applyBorder="1" applyAlignment="1">
      <alignment horizontal="left" vertical="center"/>
    </xf>
    <xf numFmtId="164" fontId="86" fillId="0" borderId="0" xfId="244" applyFont="1" applyFill="1" applyBorder="1" applyAlignment="1">
      <alignment horizontal="left" vertical="center"/>
    </xf>
    <xf numFmtId="0" fontId="85" fillId="0" borderId="64" xfId="954" applyFont="1" applyBorder="1" applyAlignment="1">
      <alignment horizontal="left"/>
    </xf>
    <xf numFmtId="0" fontId="85" fillId="0" borderId="69" xfId="954" applyFont="1" applyBorder="1" applyAlignment="1">
      <alignment vertical="center"/>
    </xf>
    <xf numFmtId="164" fontId="85" fillId="0" borderId="9" xfId="1446" applyFont="1" applyFill="1" applyBorder="1" applyAlignment="1">
      <alignment horizontal="left" vertical="center" wrapText="1"/>
    </xf>
    <xf numFmtId="164" fontId="85" fillId="0" borderId="9" xfId="244" applyFont="1" applyFill="1" applyBorder="1" applyAlignment="1">
      <alignment horizontal="center" vertical="center" wrapText="1"/>
    </xf>
    <xf numFmtId="164" fontId="85" fillId="0" borderId="9" xfId="244" applyFont="1" applyFill="1" applyBorder="1" applyAlignment="1">
      <alignment horizontal="left" vertical="center" wrapText="1"/>
    </xf>
    <xf numFmtId="164" fontId="85" fillId="0" borderId="9" xfId="244" applyFont="1" applyFill="1" applyBorder="1" applyAlignment="1">
      <alignment vertical="center" wrapText="1"/>
    </xf>
    <xf numFmtId="164" fontId="85" fillId="0" borderId="0" xfId="244" applyFont="1" applyFill="1" applyBorder="1" applyAlignment="1">
      <alignment horizontal="left" vertical="center" wrapText="1"/>
    </xf>
    <xf numFmtId="0" fontId="86" fillId="0" borderId="58" xfId="954" applyFont="1" applyBorder="1" applyAlignment="1">
      <alignment horizontal="center"/>
    </xf>
    <xf numFmtId="164" fontId="86" fillId="0" borderId="33" xfId="244" applyFont="1" applyFill="1" applyBorder="1" applyAlignment="1">
      <alignment horizontal="center" vertical="center"/>
    </xf>
    <xf numFmtId="164" fontId="86" fillId="0" borderId="0" xfId="244" applyFont="1" applyFill="1" applyBorder="1" applyAlignment="1">
      <alignment horizontal="left" vertical="center" wrapText="1"/>
    </xf>
    <xf numFmtId="0" fontId="85" fillId="0" borderId="65" xfId="954" applyFont="1" applyBorder="1" applyAlignment="1">
      <alignment horizontal="center" vertical="center"/>
    </xf>
    <xf numFmtId="0" fontId="85" fillId="0" borderId="54" xfId="954" applyFont="1" applyBorder="1" applyAlignment="1">
      <alignment horizontal="left" vertical="center"/>
    </xf>
    <xf numFmtId="0" fontId="86" fillId="0" borderId="56" xfId="954" applyFont="1" applyBorder="1" applyAlignment="1">
      <alignment horizontal="center"/>
    </xf>
    <xf numFmtId="164" fontId="86" fillId="0" borderId="11" xfId="244" applyFont="1" applyFill="1" applyBorder="1" applyAlignment="1">
      <alignment horizontal="center" vertical="center"/>
    </xf>
    <xf numFmtId="164" fontId="86" fillId="0" borderId="0" xfId="244" applyFont="1" applyFill="1" applyBorder="1" applyAlignment="1">
      <alignment horizontal="center" vertical="center" wrapText="1"/>
    </xf>
    <xf numFmtId="164" fontId="86" fillId="0" borderId="11" xfId="1474" applyFont="1" applyFill="1" applyBorder="1" applyAlignment="1">
      <alignment horizontal="left" vertical="center"/>
    </xf>
    <xf numFmtId="164" fontId="86" fillId="0" borderId="11" xfId="1474" applyFont="1" applyFill="1" applyBorder="1" applyAlignment="1">
      <alignment horizontal="left" vertical="center" wrapText="1"/>
    </xf>
    <xf numFmtId="164" fontId="86" fillId="0" borderId="11" xfId="1474" applyFont="1" applyFill="1" applyBorder="1" applyAlignment="1">
      <alignment horizontal="left" vertical="top"/>
    </xf>
    <xf numFmtId="164" fontId="86" fillId="0" borderId="11" xfId="1474" applyFont="1" applyFill="1" applyBorder="1" applyAlignment="1">
      <alignment horizontal="left" vertical="top" wrapText="1"/>
    </xf>
    <xf numFmtId="164" fontId="86" fillId="0" borderId="0" xfId="244" applyFont="1" applyFill="1" applyBorder="1" applyAlignment="1">
      <alignment horizontal="center" vertical="top" wrapText="1"/>
    </xf>
    <xf numFmtId="164" fontId="86" fillId="0" borderId="11" xfId="244" applyFont="1" applyFill="1" applyBorder="1" applyAlignment="1">
      <alignment horizontal="left" vertical="center"/>
    </xf>
    <xf numFmtId="0" fontId="86" fillId="0" borderId="51" xfId="873" applyFont="1" applyBorder="1"/>
    <xf numFmtId="164" fontId="86" fillId="0" borderId="11" xfId="1446" applyFont="1" applyFill="1" applyBorder="1" applyAlignment="1"/>
    <xf numFmtId="164" fontId="86" fillId="0" borderId="11" xfId="244" applyFont="1" applyFill="1" applyBorder="1"/>
    <xf numFmtId="164" fontId="86" fillId="0" borderId="0" xfId="244" applyFont="1" applyFill="1" applyBorder="1"/>
    <xf numFmtId="164" fontId="85" fillId="0" borderId="70" xfId="244" applyFont="1" applyFill="1" applyBorder="1" applyAlignment="1">
      <alignment horizontal="left" vertical="center"/>
    </xf>
    <xf numFmtId="0" fontId="85" fillId="0" borderId="70" xfId="954" applyFont="1" applyBorder="1" applyAlignment="1">
      <alignment horizontal="left" vertical="center"/>
    </xf>
    <xf numFmtId="164" fontId="86" fillId="0" borderId="0" xfId="1446" applyFont="1" applyFill="1" applyAlignment="1">
      <alignment horizontal="left" vertical="center" wrapText="1"/>
    </xf>
    <xf numFmtId="0" fontId="86" fillId="0" borderId="0" xfId="954" applyFont="1"/>
    <xf numFmtId="164" fontId="86" fillId="0" borderId="0" xfId="1446" applyFont="1" applyFill="1" applyBorder="1" applyAlignment="1">
      <alignment vertical="center"/>
    </xf>
    <xf numFmtId="0" fontId="101" fillId="0" borderId="0" xfId="873" applyFont="1" applyAlignment="1">
      <alignment vertical="center"/>
    </xf>
    <xf numFmtId="164" fontId="86" fillId="0" borderId="0" xfId="1446" applyFont="1" applyFill="1" applyAlignment="1"/>
    <xf numFmtId="43" fontId="86" fillId="0" borderId="0" xfId="100" applyFont="1" applyFill="1" applyAlignment="1">
      <alignment horizontal="left" vertical="center"/>
    </xf>
    <xf numFmtId="43" fontId="102" fillId="0" borderId="0" xfId="454" applyFont="1" applyFill="1" applyBorder="1" applyAlignment="1"/>
    <xf numFmtId="43" fontId="86" fillId="0" borderId="0" xfId="100" applyFont="1" applyFill="1" applyBorder="1" applyAlignment="1">
      <alignment horizontal="left" vertical="center"/>
    </xf>
    <xf numFmtId="0" fontId="86" fillId="0" borderId="0" xfId="954" applyFont="1" applyAlignment="1">
      <alignment horizontal="center" vertical="center" wrapText="1"/>
    </xf>
    <xf numFmtId="43" fontId="102" fillId="0" borderId="0" xfId="454" applyFont="1" applyFill="1" applyBorder="1" applyAlignment="1">
      <alignment vertical="center"/>
    </xf>
    <xf numFmtId="164" fontId="86" fillId="0" borderId="0" xfId="1446" applyFont="1" applyFill="1" applyBorder="1" applyAlignment="1"/>
    <xf numFmtId="165" fontId="86" fillId="0" borderId="0" xfId="244" applyNumberFormat="1" applyFont="1" applyFill="1" applyAlignment="1"/>
    <xf numFmtId="0" fontId="86" fillId="0" borderId="0" xfId="954" applyFont="1" applyAlignment="1">
      <alignment horizontal="left" wrapText="1"/>
    </xf>
    <xf numFmtId="164" fontId="86" fillId="0" borderId="0" xfId="1446" applyFont="1" applyFill="1" applyAlignment="1">
      <alignment horizontal="center" vertical="center" wrapText="1"/>
    </xf>
    <xf numFmtId="0" fontId="85" fillId="0" borderId="0" xfId="1481" applyFont="1" applyAlignment="1">
      <alignment vertical="center"/>
    </xf>
    <xf numFmtId="0" fontId="85" fillId="0" borderId="65" xfId="1481" applyFont="1" applyBorder="1" applyAlignment="1">
      <alignment horizontal="center" vertical="center"/>
    </xf>
    <xf numFmtId="0" fontId="86" fillId="0" borderId="9" xfId="1473" applyFont="1" applyBorder="1" applyAlignment="1">
      <alignment horizontal="center" vertical="center"/>
    </xf>
    <xf numFmtId="0" fontId="86" fillId="0" borderId="0" xfId="1481" applyFont="1" applyAlignment="1">
      <alignment vertical="center"/>
    </xf>
    <xf numFmtId="0" fontId="86" fillId="0" borderId="0" xfId="1473" applyFont="1" applyAlignment="1">
      <alignment horizontal="center" vertical="center"/>
    </xf>
    <xf numFmtId="43" fontId="86" fillId="0" borderId="55" xfId="1478" applyFont="1" applyFill="1" applyBorder="1" applyAlignment="1">
      <alignment horizontal="center" vertical="center"/>
    </xf>
    <xf numFmtId="43" fontId="86" fillId="0" borderId="11" xfId="1478" applyFont="1" applyFill="1" applyBorder="1" applyAlignment="1">
      <alignment horizontal="center" vertical="center"/>
    </xf>
    <xf numFmtId="43" fontId="86" fillId="0" borderId="0" xfId="1478" applyFont="1" applyFill="1" applyBorder="1" applyAlignment="1">
      <alignment vertical="center"/>
    </xf>
    <xf numFmtId="43" fontId="86" fillId="0" borderId="33" xfId="1478" applyFont="1" applyFill="1" applyBorder="1" applyAlignment="1">
      <alignment vertical="center"/>
    </xf>
    <xf numFmtId="43" fontId="86" fillId="0" borderId="33" xfId="1478" applyFont="1" applyFill="1" applyBorder="1" applyAlignment="1">
      <alignment horizontal="center" vertical="center"/>
    </xf>
    <xf numFmtId="43" fontId="85" fillId="0" borderId="12" xfId="1478" applyFont="1" applyFill="1" applyBorder="1" applyAlignment="1">
      <alignment horizontal="center" vertical="center"/>
    </xf>
    <xf numFmtId="43" fontId="86" fillId="0" borderId="55" xfId="1478" applyFont="1" applyFill="1" applyBorder="1" applyAlignment="1">
      <alignment vertical="center"/>
    </xf>
    <xf numFmtId="43" fontId="86" fillId="0" borderId="11" xfId="1478" applyFont="1" applyFill="1" applyBorder="1" applyAlignment="1">
      <alignment vertical="center"/>
    </xf>
    <xf numFmtId="0" fontId="86" fillId="0" borderId="0" xfId="1473" applyFont="1" applyAlignment="1">
      <alignment horizontal="left"/>
    </xf>
    <xf numFmtId="0" fontId="86" fillId="0" borderId="0" xfId="1473" applyFont="1" applyAlignment="1">
      <alignment horizontal="left" vertical="center" indent="1"/>
    </xf>
    <xf numFmtId="0" fontId="86" fillId="0" borderId="0" xfId="1473" applyFont="1" applyAlignment="1">
      <alignment horizontal="left" vertical="center"/>
    </xf>
    <xf numFmtId="0" fontId="86" fillId="0" borderId="0" xfId="1473" applyFont="1" applyAlignment="1">
      <alignment horizontal="left" vertical="top"/>
    </xf>
    <xf numFmtId="168" fontId="86" fillId="0" borderId="0" xfId="1473" applyNumberFormat="1" applyFont="1" applyAlignment="1">
      <alignment vertical="top"/>
    </xf>
    <xf numFmtId="168" fontId="86" fillId="0" borderId="0" xfId="1473" applyNumberFormat="1" applyFont="1" applyAlignment="1">
      <alignment horizontal="right" vertical="top"/>
    </xf>
    <xf numFmtId="0" fontId="86" fillId="0" borderId="0" xfId="1473" applyFont="1" applyAlignment="1">
      <alignment horizontal="left" vertical="top" indent="1"/>
    </xf>
    <xf numFmtId="168" fontId="86" fillId="0" borderId="0" xfId="1473" applyNumberFormat="1" applyFont="1" applyAlignment="1">
      <alignment horizontal="left" vertical="top" indent="2"/>
    </xf>
    <xf numFmtId="0" fontId="86" fillId="0" borderId="0" xfId="1473" applyFont="1" applyAlignment="1">
      <alignment horizontal="center" vertical="top"/>
    </xf>
    <xf numFmtId="0" fontId="86" fillId="0" borderId="0" xfId="1481" applyFont="1"/>
    <xf numFmtId="0" fontId="86" fillId="0" borderId="56" xfId="1481" applyFont="1" applyBorder="1" applyAlignment="1">
      <alignment horizontal="center" vertical="center"/>
    </xf>
    <xf numFmtId="0" fontId="86" fillId="0" borderId="51" xfId="1481" applyFont="1" applyBorder="1" applyAlignment="1">
      <alignment horizontal="left" vertical="center"/>
    </xf>
    <xf numFmtId="0" fontId="85" fillId="0" borderId="11" xfId="1473" applyFont="1" applyBorder="1" applyAlignment="1">
      <alignment horizontal="center" vertical="center"/>
    </xf>
    <xf numFmtId="0" fontId="85" fillId="0" borderId="9" xfId="1473" applyFont="1" applyBorder="1" applyAlignment="1">
      <alignment horizontal="center" vertical="center"/>
    </xf>
    <xf numFmtId="0" fontId="86" fillId="0" borderId="59" xfId="1473" applyFont="1" applyBorder="1" applyAlignment="1">
      <alignment horizontal="center" vertical="center"/>
    </xf>
    <xf numFmtId="0" fontId="86" fillId="0" borderId="28" xfId="1473" applyFont="1" applyBorder="1" applyAlignment="1">
      <alignment horizontal="center"/>
    </xf>
    <xf numFmtId="0" fontId="85" fillId="0" borderId="56" xfId="1481" applyFont="1" applyBorder="1" applyAlignment="1">
      <alignment horizontal="center" vertical="center"/>
    </xf>
    <xf numFmtId="0" fontId="88" fillId="0" borderId="0" xfId="1473" applyFont="1" applyAlignment="1">
      <alignment horizontal="left"/>
    </xf>
    <xf numFmtId="164" fontId="86" fillId="0" borderId="0" xfId="1446" applyFont="1" applyFill="1" applyAlignment="1">
      <alignment horizontal="right"/>
    </xf>
    <xf numFmtId="164" fontId="86" fillId="0" borderId="0" xfId="1446" applyFont="1" applyFill="1" applyAlignment="1">
      <alignment horizontal="left"/>
    </xf>
    <xf numFmtId="0" fontId="86" fillId="0" borderId="0" xfId="1473" applyFont="1" applyAlignment="1">
      <alignment horizontal="right" vertical="center"/>
    </xf>
    <xf numFmtId="0" fontId="86" fillId="0" borderId="0" xfId="1473" applyFont="1" applyAlignment="1">
      <alignment horizontal="right" vertical="top"/>
    </xf>
    <xf numFmtId="0" fontId="86" fillId="0" borderId="0" xfId="953" applyFont="1"/>
    <xf numFmtId="168" fontId="86" fillId="0" borderId="0" xfId="1473" applyNumberFormat="1" applyFont="1" applyAlignment="1">
      <alignment horizontal="left" vertical="top"/>
    </xf>
    <xf numFmtId="0" fontId="88" fillId="0" borderId="0" xfId="0" applyFont="1" applyAlignment="1">
      <alignment horizontal="left" vertical="center"/>
    </xf>
    <xf numFmtId="43" fontId="86" fillId="0" borderId="5" xfId="1478" applyFont="1" applyFill="1" applyBorder="1" applyAlignment="1">
      <alignment vertical="center"/>
    </xf>
    <xf numFmtId="43" fontId="86" fillId="0" borderId="5" xfId="1478" applyFont="1" applyFill="1" applyBorder="1" applyAlignment="1">
      <alignment horizontal="center" vertical="center"/>
    </xf>
    <xf numFmtId="43" fontId="86" fillId="0" borderId="0" xfId="1478" applyFont="1" applyFill="1" applyBorder="1" applyAlignment="1">
      <alignment horizontal="left" vertical="center"/>
    </xf>
    <xf numFmtId="43" fontId="86" fillId="0" borderId="9" xfId="1478" applyFont="1" applyFill="1" applyBorder="1" applyAlignment="1">
      <alignment vertical="center"/>
    </xf>
    <xf numFmtId="43" fontId="86" fillId="0" borderId="9" xfId="1478" applyFont="1" applyFill="1" applyBorder="1" applyAlignment="1">
      <alignment horizontal="center" vertical="center"/>
    </xf>
    <xf numFmtId="0" fontId="85" fillId="0" borderId="33" xfId="1473" applyFont="1" applyBorder="1" applyAlignment="1">
      <alignment horizontal="center" vertical="center"/>
    </xf>
    <xf numFmtId="0" fontId="86" fillId="0" borderId="51" xfId="1481" applyFont="1" applyBorder="1" applyAlignment="1">
      <alignment vertical="center"/>
    </xf>
    <xf numFmtId="43" fontId="86" fillId="0" borderId="0" xfId="1446" applyNumberFormat="1" applyFont="1" applyFill="1" applyBorder="1" applyAlignment="1">
      <alignment horizontal="left" vertical="center"/>
    </xf>
    <xf numFmtId="0" fontId="86" fillId="0" borderId="54" xfId="1481" applyFont="1" applyBorder="1" applyAlignment="1">
      <alignment vertical="center"/>
    </xf>
    <xf numFmtId="0" fontId="85" fillId="0" borderId="58" xfId="1473" applyFont="1" applyBorder="1" applyAlignment="1">
      <alignment horizontal="left" vertical="center"/>
    </xf>
    <xf numFmtId="43" fontId="85" fillId="0" borderId="65" xfId="1478" applyFont="1" applyFill="1" applyBorder="1" applyAlignment="1">
      <alignment vertical="center"/>
    </xf>
    <xf numFmtId="43" fontId="85" fillId="0" borderId="12" xfId="1478" applyFont="1" applyFill="1" applyBorder="1" applyAlignment="1">
      <alignment vertical="center"/>
    </xf>
    <xf numFmtId="0" fontId="85" fillId="0" borderId="0" xfId="1473" applyFont="1" applyAlignment="1">
      <alignment horizontal="left" vertical="center"/>
    </xf>
    <xf numFmtId="0" fontId="86" fillId="0" borderId="10" xfId="1473" applyFont="1" applyBorder="1" applyAlignment="1">
      <alignment horizontal="center" vertical="center"/>
    </xf>
    <xf numFmtId="4" fontId="86" fillId="0" borderId="56" xfId="1471" applyNumberFormat="1" applyFont="1" applyBorder="1" applyAlignment="1" applyProtection="1">
      <alignment horizontal="center" vertical="center"/>
      <protection locked="0"/>
    </xf>
    <xf numFmtId="4" fontId="86" fillId="0" borderId="61" xfId="455" applyNumberFormat="1" applyFont="1" applyFill="1" applyBorder="1" applyAlignment="1">
      <alignment vertical="center"/>
    </xf>
    <xf numFmtId="4" fontId="86" fillId="0" borderId="55" xfId="854" applyNumberFormat="1" applyFont="1" applyBorder="1" applyAlignment="1">
      <alignment vertical="center"/>
    </xf>
    <xf numFmtId="4" fontId="86" fillId="0" borderId="0" xfId="854" applyNumberFormat="1" applyFont="1" applyAlignment="1">
      <alignment vertical="center"/>
    </xf>
    <xf numFmtId="164" fontId="86" fillId="0" borderId="0" xfId="1446" applyFont="1" applyFill="1" applyBorder="1" applyAlignment="1">
      <alignment horizontal="left" vertical="center"/>
    </xf>
    <xf numFmtId="43" fontId="86" fillId="0" borderId="11" xfId="0" applyNumberFormat="1" applyFont="1" applyBorder="1" applyAlignment="1" applyProtection="1">
      <alignment horizontal="right" vertical="center"/>
      <protection locked="0"/>
    </xf>
    <xf numFmtId="0" fontId="86" fillId="0" borderId="61" xfId="1481" applyFont="1" applyBorder="1" applyAlignment="1">
      <alignment horizontal="center" vertical="center"/>
    </xf>
    <xf numFmtId="43" fontId="86" fillId="0" borderId="51" xfId="1478" applyFont="1" applyFill="1" applyBorder="1" applyAlignment="1">
      <alignment vertical="center"/>
    </xf>
    <xf numFmtId="44" fontId="86" fillId="0" borderId="0" xfId="0" applyNumberFormat="1" applyFont="1"/>
    <xf numFmtId="4" fontId="86" fillId="0" borderId="51" xfId="455" applyNumberFormat="1" applyFont="1" applyFill="1" applyBorder="1" applyAlignment="1">
      <alignment vertical="center"/>
    </xf>
    <xf numFmtId="43" fontId="86" fillId="0" borderId="9" xfId="1446" applyNumberFormat="1" applyFont="1" applyFill="1" applyBorder="1" applyAlignment="1">
      <alignment vertical="center"/>
    </xf>
    <xf numFmtId="43" fontId="86" fillId="0" borderId="9" xfId="1446" applyNumberFormat="1" applyFont="1" applyFill="1" applyBorder="1" applyAlignment="1">
      <alignment horizontal="center" vertical="center"/>
    </xf>
    <xf numFmtId="43" fontId="86" fillId="0" borderId="9" xfId="455" applyFont="1" applyFill="1" applyBorder="1" applyAlignment="1">
      <alignment horizontal="center" vertical="center"/>
    </xf>
    <xf numFmtId="43" fontId="86" fillId="0" borderId="9" xfId="455" applyFont="1" applyFill="1" applyBorder="1" applyAlignment="1">
      <alignment vertical="center"/>
    </xf>
    <xf numFmtId="43" fontId="86" fillId="0" borderId="9" xfId="455" applyFont="1" applyFill="1" applyBorder="1"/>
    <xf numFmtId="43" fontId="86" fillId="0" borderId="9" xfId="854" applyNumberFormat="1" applyFont="1" applyBorder="1" applyAlignment="1">
      <alignment vertical="center"/>
    </xf>
    <xf numFmtId="43" fontId="86" fillId="0" borderId="0" xfId="854" applyNumberFormat="1" applyFont="1" applyAlignment="1">
      <alignment horizontal="left" vertical="center"/>
    </xf>
    <xf numFmtId="4" fontId="85" fillId="0" borderId="33" xfId="455" applyNumberFormat="1" applyFont="1" applyFill="1" applyBorder="1" applyAlignment="1">
      <alignment horizontal="center" vertical="center"/>
    </xf>
    <xf numFmtId="4" fontId="85" fillId="0" borderId="58" xfId="1471" applyNumberFormat="1" applyFont="1" applyBorder="1" applyAlignment="1" applyProtection="1">
      <alignment horizontal="left" vertical="center"/>
      <protection locked="0"/>
    </xf>
    <xf numFmtId="4" fontId="86" fillId="0" borderId="54" xfId="455" applyNumberFormat="1" applyFont="1" applyFill="1" applyBorder="1" applyAlignment="1">
      <alignment vertical="center"/>
    </xf>
    <xf numFmtId="4" fontId="85" fillId="0" borderId="11" xfId="455" applyNumberFormat="1" applyFont="1" applyFill="1" applyBorder="1" applyAlignment="1">
      <alignment horizontal="center" vertical="center"/>
    </xf>
    <xf numFmtId="164" fontId="85" fillId="0" borderId="51" xfId="1446" applyFont="1" applyFill="1" applyBorder="1" applyAlignment="1">
      <alignment horizontal="center" vertical="center"/>
    </xf>
    <xf numFmtId="164" fontId="85" fillId="0" borderId="11" xfId="1446" applyFont="1" applyFill="1" applyBorder="1" applyAlignment="1">
      <alignment horizontal="center" vertical="center"/>
    </xf>
    <xf numFmtId="164" fontId="85" fillId="0" borderId="11" xfId="1446" applyFont="1" applyFill="1" applyBorder="1" applyAlignment="1">
      <alignment vertical="center"/>
    </xf>
    <xf numFmtId="4" fontId="85" fillId="0" borderId="0" xfId="455" applyNumberFormat="1" applyFont="1" applyFill="1" applyBorder="1" applyAlignment="1">
      <alignment horizontal="left" vertical="center"/>
    </xf>
    <xf numFmtId="4" fontId="85" fillId="0" borderId="0" xfId="854" applyNumberFormat="1" applyFont="1" applyAlignment="1">
      <alignment horizontal="left" vertical="center"/>
    </xf>
    <xf numFmtId="164" fontId="85" fillId="0" borderId="0" xfId="1446" applyFont="1" applyFill="1" applyAlignment="1">
      <alignment vertical="center"/>
    </xf>
    <xf numFmtId="0" fontId="85" fillId="0" borderId="0" xfId="854" applyFont="1" applyAlignment="1">
      <alignment vertical="center"/>
    </xf>
    <xf numFmtId="0" fontId="85" fillId="0" borderId="56" xfId="455" applyNumberFormat="1" applyFont="1" applyFill="1" applyBorder="1" applyAlignment="1">
      <alignment horizontal="center" vertical="center"/>
    </xf>
    <xf numFmtId="164" fontId="86" fillId="0" borderId="51" xfId="1446" applyFont="1" applyFill="1" applyBorder="1" applyAlignment="1">
      <alignment vertical="center"/>
    </xf>
    <xf numFmtId="164" fontId="86" fillId="0" borderId="54" xfId="1446" applyFont="1" applyFill="1" applyBorder="1" applyAlignment="1">
      <alignment horizontal="center" vertical="center"/>
    </xf>
    <xf numFmtId="4" fontId="86" fillId="0" borderId="0" xfId="455" applyNumberFormat="1" applyFont="1" applyFill="1" applyBorder="1" applyAlignment="1">
      <alignment horizontal="left" vertical="center"/>
    </xf>
    <xf numFmtId="0" fontId="85" fillId="0" borderId="2" xfId="1473" applyFont="1" applyBorder="1" applyAlignment="1">
      <alignment horizontal="center" vertical="center"/>
    </xf>
    <xf numFmtId="0" fontId="85" fillId="0" borderId="71" xfId="1481" applyFont="1" applyBorder="1" applyAlignment="1">
      <alignment horizontal="center" vertical="center"/>
    </xf>
    <xf numFmtId="43" fontId="85" fillId="0" borderId="5" xfId="1478" applyFont="1" applyFill="1" applyBorder="1" applyAlignment="1">
      <alignment vertical="center"/>
    </xf>
    <xf numFmtId="43" fontId="85" fillId="0" borderId="5" xfId="1478" applyFont="1" applyFill="1" applyBorder="1" applyAlignment="1">
      <alignment horizontal="center" vertical="center"/>
    </xf>
    <xf numFmtId="0" fontId="85" fillId="0" borderId="85" xfId="1473" applyFont="1" applyBorder="1" applyAlignment="1">
      <alignment horizontal="center" vertical="center" wrapText="1"/>
    </xf>
    <xf numFmtId="0" fontId="85" fillId="0" borderId="89" xfId="1473" applyFont="1" applyBorder="1" applyAlignment="1">
      <alignment horizontal="center" vertical="center" wrapText="1"/>
    </xf>
    <xf numFmtId="164" fontId="85" fillId="0" borderId="85" xfId="1446" applyFont="1" applyFill="1" applyBorder="1" applyAlignment="1">
      <alignment horizontal="left" vertical="center" wrapText="1"/>
    </xf>
    <xf numFmtId="0" fontId="85" fillId="0" borderId="0" xfId="1473" applyFont="1" applyAlignment="1">
      <alignment horizontal="center" vertical="center" wrapText="1"/>
    </xf>
    <xf numFmtId="0" fontId="101" fillId="0" borderId="0" xfId="1481" applyFont="1" applyAlignment="1">
      <alignment vertical="center"/>
    </xf>
    <xf numFmtId="0" fontId="85" fillId="0" borderId="0" xfId="1481" applyFont="1" applyAlignment="1">
      <alignment vertical="center" wrapText="1"/>
    </xf>
    <xf numFmtId="0" fontId="85" fillId="0" borderId="0" xfId="1481" applyFont="1" applyAlignment="1">
      <alignment horizontal="left" vertical="center" wrapText="1"/>
    </xf>
    <xf numFmtId="43" fontId="102" fillId="0" borderId="0" xfId="1478" applyFont="1" applyFill="1" applyBorder="1" applyAlignment="1"/>
    <xf numFmtId="43" fontId="102" fillId="0" borderId="0" xfId="1478" applyFont="1" applyFill="1" applyBorder="1" applyAlignment="1">
      <alignment horizontal="left" vertical="center"/>
    </xf>
    <xf numFmtId="0" fontId="86" fillId="0" borderId="0" xfId="1481" applyFont="1" applyAlignment="1">
      <alignment wrapText="1"/>
    </xf>
    <xf numFmtId="43" fontId="102" fillId="0" borderId="0" xfId="1478" applyFont="1" applyFill="1" applyBorder="1" applyAlignment="1">
      <alignment vertical="center"/>
    </xf>
    <xf numFmtId="0" fontId="86" fillId="0" borderId="0" xfId="1481" applyFont="1" applyAlignment="1">
      <alignment horizontal="left" wrapText="1"/>
    </xf>
    <xf numFmtId="43" fontId="86" fillId="0" borderId="0" xfId="1478" applyFont="1" applyFill="1" applyBorder="1" applyAlignment="1"/>
    <xf numFmtId="43" fontId="86" fillId="0" borderId="0" xfId="1478" applyFont="1" applyFill="1" applyBorder="1" applyAlignment="1">
      <alignment horizontal="left"/>
    </xf>
    <xf numFmtId="0" fontId="86" fillId="0" borderId="0" xfId="1473" applyFont="1" applyAlignment="1">
      <alignment horizontal="center"/>
    </xf>
    <xf numFmtId="43" fontId="86" fillId="0" borderId="0" xfId="1478" applyFont="1" applyFill="1" applyBorder="1" applyAlignment="1">
      <alignment horizontal="center" vertical="center"/>
    </xf>
    <xf numFmtId="168" fontId="66" fillId="0" borderId="0" xfId="954" applyNumberFormat="1" applyFont="1" applyAlignment="1">
      <alignment vertical="top"/>
    </xf>
    <xf numFmtId="168" fontId="66" fillId="0" borderId="0" xfId="954" applyNumberFormat="1" applyFont="1" applyAlignment="1">
      <alignment horizontal="right" vertical="top"/>
    </xf>
    <xf numFmtId="168" fontId="66" fillId="0" borderId="0" xfId="954" applyNumberFormat="1" applyFont="1" applyAlignment="1">
      <alignment horizontal="left" vertical="top" indent="2"/>
    </xf>
    <xf numFmtId="168" fontId="66" fillId="0" borderId="0" xfId="954" applyNumberFormat="1" applyFont="1" applyAlignment="1">
      <alignment horizontal="center"/>
    </xf>
    <xf numFmtId="0" fontId="66" fillId="0" borderId="0" xfId="953" applyFont="1"/>
    <xf numFmtId="0" fontId="98" fillId="0" borderId="0" xfId="873" applyFont="1"/>
    <xf numFmtId="0" fontId="67" fillId="0" borderId="5" xfId="954" applyFont="1" applyBorder="1" applyAlignment="1">
      <alignment horizontal="center"/>
    </xf>
    <xf numFmtId="3" fontId="67" fillId="0" borderId="5" xfId="873" applyNumberFormat="1" applyFont="1" applyBorder="1" applyAlignment="1">
      <alignment vertical="center"/>
    </xf>
    <xf numFmtId="0" fontId="67" fillId="0" borderId="0" xfId="873" applyFont="1"/>
    <xf numFmtId="3" fontId="67" fillId="0" borderId="5" xfId="954" applyNumberFormat="1" applyFont="1" applyBorder="1" applyAlignment="1">
      <alignment vertical="center" wrapText="1"/>
    </xf>
    <xf numFmtId="0" fontId="67" fillId="0" borderId="33" xfId="0" applyFont="1" applyBorder="1" applyAlignment="1">
      <alignment horizontal="center"/>
    </xf>
    <xf numFmtId="0" fontId="67" fillId="0" borderId="33" xfId="0" applyFont="1" applyBorder="1"/>
    <xf numFmtId="0" fontId="67" fillId="0" borderId="0" xfId="0" applyFont="1"/>
    <xf numFmtId="0" fontId="66" fillId="0" borderId="11" xfId="954" applyFont="1" applyBorder="1" applyAlignment="1">
      <alignment horizontal="center" vertical="center"/>
    </xf>
    <xf numFmtId="3" fontId="66" fillId="0" borderId="11" xfId="954" applyNumberFormat="1" applyFont="1" applyBorder="1" applyAlignment="1">
      <alignment vertical="center" wrapText="1"/>
    </xf>
    <xf numFmtId="2" fontId="66" fillId="0" borderId="11" xfId="954" applyNumberFormat="1" applyFont="1" applyBorder="1" applyAlignment="1">
      <alignment horizontal="center" vertical="center"/>
    </xf>
    <xf numFmtId="0" fontId="66" fillId="0" borderId="55" xfId="954" applyFont="1" applyBorder="1" applyAlignment="1">
      <alignment horizontal="center" vertical="center"/>
    </xf>
    <xf numFmtId="3" fontId="66" fillId="0" borderId="55" xfId="954" applyNumberFormat="1" applyFont="1" applyBorder="1" applyAlignment="1">
      <alignment vertical="center" wrapText="1"/>
    </xf>
    <xf numFmtId="0" fontId="67" fillId="0" borderId="12" xfId="873" applyFont="1" applyBorder="1" applyAlignment="1">
      <alignment horizontal="center" vertical="center" wrapText="1"/>
    </xf>
    <xf numFmtId="0" fontId="67" fillId="0" borderId="0" xfId="0" applyFont="1" applyAlignment="1">
      <alignment vertical="center"/>
    </xf>
    <xf numFmtId="164" fontId="67" fillId="0" borderId="12" xfId="954" applyNumberFormat="1" applyFont="1" applyBorder="1"/>
    <xf numFmtId="3" fontId="67" fillId="0" borderId="11" xfId="954" applyNumberFormat="1" applyFont="1" applyBorder="1" applyAlignment="1">
      <alignment vertical="center" wrapText="1"/>
    </xf>
    <xf numFmtId="0" fontId="66" fillId="0" borderId="0" xfId="0" applyFont="1" applyAlignment="1">
      <alignment vertical="center"/>
    </xf>
    <xf numFmtId="0" fontId="66" fillId="0" borderId="20" xfId="954" applyFont="1" applyBorder="1" applyAlignment="1">
      <alignment horizontal="center" vertical="center"/>
    </xf>
    <xf numFmtId="3" fontId="66" fillId="0" borderId="20" xfId="954" applyNumberFormat="1" applyFont="1" applyBorder="1" applyAlignment="1">
      <alignment vertical="center" wrapText="1"/>
    </xf>
    <xf numFmtId="0" fontId="66" fillId="0" borderId="5" xfId="954" applyFont="1" applyBorder="1" applyAlignment="1">
      <alignment horizontal="center" vertical="center"/>
    </xf>
    <xf numFmtId="0" fontId="66" fillId="0" borderId="33" xfId="954" applyFont="1" applyBorder="1" applyAlignment="1">
      <alignment horizontal="center" vertical="center"/>
    </xf>
    <xf numFmtId="3" fontId="66" fillId="0" borderId="33" xfId="954" applyNumberFormat="1" applyFont="1" applyBorder="1" applyAlignment="1">
      <alignment vertical="center" wrapText="1"/>
    </xf>
    <xf numFmtId="0" fontId="66" fillId="0" borderId="11" xfId="954" applyFont="1" applyBorder="1" applyAlignment="1">
      <alignment horizontal="left" vertical="center" wrapText="1"/>
    </xf>
    <xf numFmtId="0" fontId="66" fillId="0" borderId="11" xfId="954" applyFont="1" applyBorder="1" applyAlignment="1">
      <alignment horizontal="left" vertical="center"/>
    </xf>
    <xf numFmtId="2" fontId="66" fillId="0" borderId="33" xfId="954" applyNumberFormat="1" applyFont="1" applyBorder="1" applyAlignment="1">
      <alignment horizontal="center" vertical="center"/>
    </xf>
    <xf numFmtId="0" fontId="66" fillId="0" borderId="33" xfId="954" applyFont="1" applyBorder="1" applyAlignment="1">
      <alignment horizontal="left" vertical="center" wrapText="1"/>
    </xf>
    <xf numFmtId="2" fontId="66" fillId="0" borderId="20" xfId="954" applyNumberFormat="1" applyFont="1" applyBorder="1" applyAlignment="1">
      <alignment horizontal="center" vertical="center"/>
    </xf>
    <xf numFmtId="0" fontId="66" fillId="0" borderId="20" xfId="954" applyFont="1" applyBorder="1" applyAlignment="1">
      <alignment horizontal="left" vertical="center" wrapText="1"/>
    </xf>
    <xf numFmtId="0" fontId="66" fillId="0" borderId="11" xfId="954" applyFont="1" applyBorder="1" applyAlignment="1">
      <alignment horizontal="center"/>
    </xf>
    <xf numFmtId="3" fontId="66" fillId="0" borderId="11" xfId="954" applyNumberFormat="1" applyFont="1" applyBorder="1" applyAlignment="1">
      <alignment horizontal="left" vertical="center" wrapText="1"/>
    </xf>
    <xf numFmtId="0" fontId="66" fillId="0" borderId="55" xfId="873" applyFont="1" applyBorder="1" applyAlignment="1">
      <alignment horizontal="left" vertical="center"/>
    </xf>
    <xf numFmtId="0" fontId="67" fillId="0" borderId="68" xfId="1473" applyFont="1" applyBorder="1" applyAlignment="1">
      <alignment horizontal="center"/>
    </xf>
    <xf numFmtId="0" fontId="67" fillId="0" borderId="9" xfId="1473" applyFont="1" applyBorder="1" applyAlignment="1">
      <alignment horizontal="center"/>
    </xf>
    <xf numFmtId="3" fontId="67" fillId="0" borderId="9" xfId="1473" applyNumberFormat="1" applyFont="1" applyBorder="1" applyAlignment="1">
      <alignment vertical="center" wrapText="1"/>
    </xf>
    <xf numFmtId="0" fontId="67" fillId="0" borderId="11" xfId="1473" applyFont="1" applyBorder="1" applyAlignment="1">
      <alignment horizontal="center"/>
    </xf>
    <xf numFmtId="3" fontId="67" fillId="0" borderId="11" xfId="1473" applyNumberFormat="1" applyFont="1" applyBorder="1" applyAlignment="1">
      <alignment horizontal="left" vertical="center" wrapText="1"/>
    </xf>
    <xf numFmtId="43" fontId="67" fillId="0" borderId="12" xfId="1481" applyNumberFormat="1" applyFont="1" applyBorder="1" applyAlignment="1">
      <alignment horizontal="center" vertical="center" wrapText="1"/>
    </xf>
    <xf numFmtId="0" fontId="67" fillId="0" borderId="5" xfId="1473" applyFont="1" applyBorder="1" applyAlignment="1">
      <alignment horizontal="center"/>
    </xf>
    <xf numFmtId="3" fontId="67" fillId="0" borderId="5" xfId="1473" applyNumberFormat="1" applyFont="1" applyBorder="1" applyAlignment="1">
      <alignment vertical="center" wrapText="1"/>
    </xf>
    <xf numFmtId="0" fontId="87" fillId="0" borderId="11" xfId="954" applyFont="1" applyBorder="1" applyAlignment="1">
      <alignment horizontal="center" vertical="center"/>
    </xf>
    <xf numFmtId="43" fontId="87" fillId="0" borderId="11" xfId="454" applyFont="1" applyFill="1" applyBorder="1" applyAlignment="1">
      <alignment vertical="center"/>
    </xf>
    <xf numFmtId="164" fontId="86" fillId="12" borderId="11" xfId="1474" applyFont="1" applyFill="1" applyBorder="1" applyAlignment="1">
      <alignment vertical="center"/>
    </xf>
    <xf numFmtId="0" fontId="86" fillId="12" borderId="0" xfId="0" applyFont="1" applyFill="1"/>
    <xf numFmtId="164" fontId="86" fillId="12" borderId="0" xfId="1474" applyFont="1" applyFill="1" applyBorder="1" applyAlignment="1">
      <alignment vertical="center"/>
    </xf>
    <xf numFmtId="0" fontId="86" fillId="12" borderId="0" xfId="1473" applyFont="1" applyFill="1" applyAlignment="1">
      <alignment vertical="center"/>
    </xf>
    <xf numFmtId="164" fontId="85" fillId="12" borderId="0" xfId="1474" applyFont="1" applyFill="1" applyBorder="1" applyAlignment="1">
      <alignment vertical="center"/>
    </xf>
    <xf numFmtId="0" fontId="85" fillId="12" borderId="0" xfId="1473" applyFont="1" applyFill="1" applyAlignment="1">
      <alignment vertical="center"/>
    </xf>
    <xf numFmtId="43" fontId="86" fillId="12" borderId="0" xfId="1446" applyNumberFormat="1" applyFont="1" applyFill="1" applyAlignment="1">
      <alignment horizontal="left" vertical="center"/>
    </xf>
    <xf numFmtId="0" fontId="89" fillId="0" borderId="11" xfId="1473" applyFont="1" applyBorder="1" applyAlignment="1">
      <alignment horizontal="center" vertical="center"/>
    </xf>
    <xf numFmtId="164" fontId="89" fillId="0" borderId="11" xfId="1474" applyFont="1" applyFill="1" applyBorder="1" applyAlignment="1">
      <alignment vertical="center"/>
    </xf>
    <xf numFmtId="164" fontId="89" fillId="0" borderId="0" xfId="1474" applyFont="1" applyFill="1" applyBorder="1" applyAlignment="1">
      <alignment vertical="center"/>
    </xf>
    <xf numFmtId="43" fontId="89" fillId="0" borderId="0" xfId="1473" applyNumberFormat="1" applyFont="1" applyAlignment="1">
      <alignment vertical="center"/>
    </xf>
    <xf numFmtId="0" fontId="89" fillId="0" borderId="0" xfId="1473" applyFont="1" applyAlignment="1">
      <alignment vertical="center"/>
    </xf>
    <xf numFmtId="164" fontId="85" fillId="12" borderId="0" xfId="1474" applyFont="1" applyFill="1" applyAlignment="1">
      <alignment vertical="center"/>
    </xf>
    <xf numFmtId="164" fontId="86" fillId="12" borderId="0" xfId="1474" applyFont="1" applyFill="1" applyAlignment="1">
      <alignment vertical="center"/>
    </xf>
    <xf numFmtId="164" fontId="86" fillId="12" borderId="0" xfId="1474" applyFont="1" applyFill="1" applyBorder="1" applyAlignment="1">
      <alignment vertical="top"/>
    </xf>
    <xf numFmtId="43" fontId="85" fillId="12" borderId="0" xfId="1446" applyNumberFormat="1" applyFont="1" applyFill="1" applyAlignment="1">
      <alignment vertical="center"/>
    </xf>
    <xf numFmtId="0" fontId="86" fillId="12" borderId="0" xfId="1473" applyFont="1" applyFill="1" applyAlignment="1">
      <alignment vertical="top"/>
    </xf>
    <xf numFmtId="43" fontId="86" fillId="12" borderId="0" xfId="1446" applyNumberFormat="1" applyFont="1" applyFill="1" applyAlignment="1">
      <alignment vertical="top"/>
    </xf>
    <xf numFmtId="164" fontId="89" fillId="12" borderId="0" xfId="1474" applyFont="1" applyFill="1" applyBorder="1" applyAlignment="1">
      <alignment vertical="center"/>
    </xf>
    <xf numFmtId="0" fontId="89" fillId="12" borderId="0" xfId="0" applyFont="1" applyFill="1"/>
    <xf numFmtId="0" fontId="89" fillId="12" borderId="0" xfId="1473" applyFont="1" applyFill="1" applyAlignment="1">
      <alignment vertical="center"/>
    </xf>
    <xf numFmtId="164" fontId="85" fillId="12" borderId="0" xfId="1474" applyFont="1" applyFill="1" applyBorder="1"/>
    <xf numFmtId="164" fontId="85" fillId="12" borderId="0" xfId="1474" applyFont="1" applyFill="1"/>
    <xf numFmtId="0" fontId="85" fillId="12" borderId="0" xfId="1466" applyFont="1" applyFill="1"/>
    <xf numFmtId="164" fontId="86" fillId="12" borderId="0" xfId="1474" applyFont="1" applyFill="1" applyBorder="1"/>
    <xf numFmtId="164" fontId="86" fillId="12" borderId="0" xfId="1474" applyFont="1" applyFill="1"/>
    <xf numFmtId="0" fontId="86" fillId="12" borderId="0" xfId="1473" applyFont="1" applyFill="1"/>
    <xf numFmtId="0" fontId="86" fillId="12" borderId="0" xfId="0" applyFont="1" applyFill="1" applyAlignment="1">
      <alignment vertical="top"/>
    </xf>
    <xf numFmtId="43" fontId="86" fillId="12" borderId="0" xfId="1446" applyNumberFormat="1" applyFont="1" applyFill="1" applyAlignment="1">
      <alignment vertical="center"/>
    </xf>
    <xf numFmtId="164" fontId="101" fillId="12" borderId="0" xfId="1474" applyFont="1" applyFill="1" applyBorder="1"/>
    <xf numFmtId="164" fontId="101" fillId="12" borderId="0" xfId="1474" applyFont="1" applyFill="1"/>
    <xf numFmtId="0" fontId="101" fillId="12" borderId="0" xfId="1473" applyFont="1" applyFill="1"/>
    <xf numFmtId="43" fontId="81" fillId="0" borderId="0" xfId="854" applyNumberFormat="1" applyFont="1" applyAlignment="1">
      <alignment vertical="center"/>
    </xf>
    <xf numFmtId="0" fontId="87" fillId="0" borderId="0" xfId="0" applyFont="1"/>
    <xf numFmtId="0" fontId="103" fillId="0" borderId="0" xfId="1473" applyFont="1"/>
    <xf numFmtId="43" fontId="87" fillId="0" borderId="11" xfId="854" applyNumberFormat="1" applyFont="1" applyBorder="1" applyAlignment="1">
      <alignment vertical="center"/>
    </xf>
    <xf numFmtId="0" fontId="81" fillId="0" borderId="0" xfId="1473" applyFont="1"/>
    <xf numFmtId="0" fontId="87" fillId="11" borderId="0" xfId="1473" applyFont="1" applyFill="1"/>
    <xf numFmtId="0" fontId="87" fillId="0" borderId="0" xfId="1473" applyFont="1" applyAlignment="1">
      <alignment vertical="top"/>
    </xf>
    <xf numFmtId="43" fontId="87" fillId="0" borderId="20" xfId="854" applyNumberFormat="1" applyFont="1" applyBorder="1" applyAlignment="1">
      <alignment vertical="center"/>
    </xf>
    <xf numFmtId="164" fontId="81" fillId="0" borderId="0" xfId="244" applyFont="1" applyFill="1" applyBorder="1" applyAlignment="1">
      <alignment horizontal="left" vertical="center" wrapText="1"/>
    </xf>
    <xf numFmtId="0" fontId="87" fillId="0" borderId="0" xfId="954" applyFont="1" applyAlignment="1">
      <alignment horizontal="left" vertical="center"/>
    </xf>
    <xf numFmtId="164" fontId="81" fillId="0" borderId="70" xfId="244" applyFont="1" applyFill="1" applyBorder="1" applyAlignment="1">
      <alignment horizontal="left" vertical="center"/>
    </xf>
    <xf numFmtId="0" fontId="81" fillId="0" borderId="70" xfId="954" applyFont="1" applyBorder="1" applyAlignment="1">
      <alignment horizontal="left" vertical="center"/>
    </xf>
    <xf numFmtId="0" fontId="86" fillId="0" borderId="51" xfId="873" applyFont="1" applyBorder="1" applyAlignment="1">
      <alignment wrapText="1"/>
    </xf>
    <xf numFmtId="0" fontId="89" fillId="0" borderId="0" xfId="954" applyFont="1" applyAlignment="1">
      <alignment horizontal="left" vertical="top"/>
    </xf>
    <xf numFmtId="164" fontId="104" fillId="0" borderId="0" xfId="1446" applyFont="1" applyFill="1" applyBorder="1" applyAlignment="1">
      <alignment horizontal="left" vertical="center"/>
    </xf>
    <xf numFmtId="164" fontId="89" fillId="0" borderId="0" xfId="1446" applyFont="1" applyFill="1" applyAlignment="1">
      <alignment horizontal="left" vertical="center" wrapText="1"/>
    </xf>
    <xf numFmtId="0" fontId="89" fillId="0" borderId="0" xfId="954" applyFont="1" applyAlignment="1">
      <alignment horizontal="left" vertical="center" wrapText="1"/>
    </xf>
    <xf numFmtId="164" fontId="81" fillId="0" borderId="0" xfId="244" applyFont="1" applyFill="1" applyBorder="1"/>
    <xf numFmtId="0" fontId="81" fillId="0" borderId="0" xfId="954" applyFont="1" applyAlignment="1">
      <alignment horizontal="left" vertical="center"/>
    </xf>
    <xf numFmtId="0" fontId="86" fillId="0" borderId="55" xfId="954" applyFont="1" applyBorder="1" applyAlignment="1">
      <alignment horizontal="center" vertical="top"/>
    </xf>
    <xf numFmtId="0" fontId="86" fillId="0" borderId="50" xfId="954" applyFont="1" applyBorder="1" applyAlignment="1">
      <alignment horizontal="center" vertical="top"/>
    </xf>
    <xf numFmtId="0" fontId="86" fillId="0" borderId="8" xfId="954" applyFont="1" applyBorder="1" applyAlignment="1">
      <alignment horizontal="left" vertical="top" wrapText="1"/>
    </xf>
    <xf numFmtId="164" fontId="86" fillId="0" borderId="55" xfId="1446" applyFont="1" applyFill="1" applyBorder="1" applyAlignment="1">
      <alignment horizontal="left" vertical="top" wrapText="1"/>
    </xf>
    <xf numFmtId="164" fontId="86" fillId="0" borderId="55" xfId="244" applyFont="1" applyFill="1" applyBorder="1" applyAlignment="1">
      <alignment horizontal="center" vertical="top" wrapText="1"/>
    </xf>
    <xf numFmtId="164" fontId="86" fillId="0" borderId="55" xfId="244" applyFont="1" applyFill="1" applyBorder="1" applyAlignment="1">
      <alignment horizontal="left" vertical="top" wrapText="1"/>
    </xf>
    <xf numFmtId="164" fontId="86" fillId="0" borderId="55" xfId="244" applyFont="1" applyFill="1" applyBorder="1" applyAlignment="1">
      <alignment vertical="top" wrapText="1"/>
    </xf>
    <xf numFmtId="164" fontId="85" fillId="0" borderId="55" xfId="1446" applyFont="1" applyFill="1" applyBorder="1" applyAlignment="1">
      <alignment horizontal="left" vertical="top" wrapText="1"/>
    </xf>
    <xf numFmtId="164" fontId="86" fillId="0" borderId="0" xfId="244" applyFont="1" applyFill="1" applyBorder="1" applyAlignment="1">
      <alignment horizontal="left" vertical="top" wrapText="1"/>
    </xf>
    <xf numFmtId="0" fontId="86" fillId="0" borderId="55" xfId="954" applyFont="1" applyBorder="1" applyAlignment="1">
      <alignment horizontal="center" vertical="center"/>
    </xf>
    <xf numFmtId="0" fontId="86" fillId="0" borderId="50" xfId="954" applyFont="1" applyBorder="1" applyAlignment="1">
      <alignment horizontal="center"/>
    </xf>
    <xf numFmtId="0" fontId="86" fillId="0" borderId="8" xfId="954" applyFont="1" applyBorder="1" applyAlignment="1">
      <alignment horizontal="left" vertical="center"/>
    </xf>
    <xf numFmtId="164" fontId="86" fillId="0" borderId="55" xfId="1446" applyFont="1" applyFill="1" applyBorder="1" applyAlignment="1">
      <alignment horizontal="left" vertical="center" wrapText="1"/>
    </xf>
    <xf numFmtId="164" fontId="86" fillId="0" borderId="55" xfId="244" applyFont="1" applyFill="1" applyBorder="1" applyAlignment="1">
      <alignment horizontal="center" vertical="center"/>
    </xf>
    <xf numFmtId="164" fontId="86" fillId="0" borderId="55" xfId="244" applyFont="1" applyFill="1" applyBorder="1" applyAlignment="1">
      <alignment horizontal="left" vertical="center" wrapText="1"/>
    </xf>
    <xf numFmtId="164" fontId="86" fillId="0" borderId="55" xfId="244" applyFont="1" applyFill="1" applyBorder="1" applyAlignment="1">
      <alignment vertical="center" wrapText="1"/>
    </xf>
    <xf numFmtId="0" fontId="86" fillId="0" borderId="50" xfId="954" applyFont="1" applyBorder="1" applyAlignment="1">
      <alignment horizontal="center" vertical="center"/>
    </xf>
    <xf numFmtId="0" fontId="86" fillId="0" borderId="8" xfId="873" applyFont="1" applyBorder="1"/>
    <xf numFmtId="164" fontId="86" fillId="0" borderId="55" xfId="1446" applyFont="1" applyFill="1" applyBorder="1" applyAlignment="1"/>
    <xf numFmtId="164" fontId="86" fillId="0" borderId="55" xfId="244" applyFont="1" applyFill="1" applyBorder="1" applyAlignment="1">
      <alignment vertical="center"/>
    </xf>
    <xf numFmtId="164" fontId="86" fillId="0" borderId="55" xfId="244" applyFont="1" applyFill="1" applyBorder="1"/>
    <xf numFmtId="0" fontId="86" fillId="0" borderId="8" xfId="1481" applyFont="1" applyBorder="1" applyAlignment="1">
      <alignment vertical="center"/>
    </xf>
    <xf numFmtId="43" fontId="86" fillId="0" borderId="8" xfId="1478" applyFont="1" applyFill="1" applyBorder="1" applyAlignment="1">
      <alignment vertical="center"/>
    </xf>
    <xf numFmtId="0" fontId="86" fillId="0" borderId="50" xfId="1481" applyFont="1" applyBorder="1" applyAlignment="1">
      <alignment horizontal="center" vertical="center"/>
    </xf>
    <xf numFmtId="0" fontId="86" fillId="0" borderId="8" xfId="1481" applyFont="1" applyBorder="1" applyAlignment="1">
      <alignment horizontal="left" vertical="center"/>
    </xf>
    <xf numFmtId="164" fontId="86" fillId="0" borderId="8" xfId="1474" applyFont="1" applyFill="1" applyBorder="1" applyAlignment="1">
      <alignment horizontal="center" vertical="center"/>
    </xf>
    <xf numFmtId="43" fontId="86" fillId="0" borderId="55" xfId="0" applyNumberFormat="1" applyFont="1" applyBorder="1" applyAlignment="1" applyProtection="1">
      <alignment horizontal="right" vertical="center"/>
      <protection locked="0"/>
    </xf>
    <xf numFmtId="4" fontId="86" fillId="0" borderId="50" xfId="1471" applyNumberFormat="1" applyFont="1" applyBorder="1" applyAlignment="1" applyProtection="1">
      <alignment horizontal="center" vertical="center"/>
      <protection locked="0"/>
    </xf>
    <xf numFmtId="4" fontId="86" fillId="0" borderId="8" xfId="455" applyNumberFormat="1" applyFont="1" applyFill="1" applyBorder="1" applyAlignment="1">
      <alignment vertical="center"/>
    </xf>
    <xf numFmtId="164" fontId="86" fillId="0" borderId="8" xfId="1446" applyFont="1" applyFill="1" applyBorder="1" applyAlignment="1">
      <alignment horizontal="center" vertical="center"/>
    </xf>
    <xf numFmtId="4" fontId="86" fillId="0" borderId="55" xfId="455" applyNumberFormat="1" applyFont="1" applyFill="1" applyBorder="1" applyAlignment="1">
      <alignment horizontal="center" vertical="center"/>
    </xf>
    <xf numFmtId="0" fontId="87" fillId="0" borderId="51" xfId="873" applyFont="1" applyBorder="1" applyAlignment="1">
      <alignment vertical="center" wrapText="1"/>
    </xf>
    <xf numFmtId="0" fontId="87" fillId="0" borderId="0" xfId="873" applyFont="1" applyAlignment="1">
      <alignment vertical="center"/>
    </xf>
    <xf numFmtId="0" fontId="99" fillId="0" borderId="11" xfId="954" applyFont="1" applyBorder="1" applyAlignment="1">
      <alignment horizontal="center"/>
    </xf>
    <xf numFmtId="3" fontId="99" fillId="0" borderId="11" xfId="954" applyNumberFormat="1" applyFont="1" applyBorder="1" applyAlignment="1">
      <alignment horizontal="left" vertical="center" wrapText="1"/>
    </xf>
    <xf numFmtId="164" fontId="99" fillId="0" borderId="11" xfId="244" applyFont="1" applyFill="1" applyBorder="1" applyAlignment="1"/>
    <xf numFmtId="164" fontId="99" fillId="0" borderId="11" xfId="244" applyFont="1" applyFill="1" applyBorder="1"/>
    <xf numFmtId="164" fontId="99" fillId="0" borderId="11" xfId="244" applyFont="1" applyFill="1" applyBorder="1" applyAlignment="1">
      <alignment horizontal="center"/>
    </xf>
    <xf numFmtId="0" fontId="99" fillId="0" borderId="0" xfId="954" applyFont="1"/>
    <xf numFmtId="0" fontId="99" fillId="0" borderId="11" xfId="954" applyFont="1" applyBorder="1" applyAlignment="1">
      <alignment horizontal="center" vertical="center"/>
    </xf>
    <xf numFmtId="0" fontId="99" fillId="0" borderId="11" xfId="873" applyFont="1" applyBorder="1" applyAlignment="1">
      <alignment horizontal="left" vertical="center"/>
    </xf>
    <xf numFmtId="164" fontId="99" fillId="0" borderId="11" xfId="244" applyFont="1" applyFill="1" applyBorder="1" applyAlignment="1">
      <alignment vertical="center"/>
    </xf>
    <xf numFmtId="164" fontId="99" fillId="0" borderId="11" xfId="244" applyFont="1" applyFill="1" applyBorder="1" applyAlignment="1">
      <alignment horizontal="center" vertical="center"/>
    </xf>
    <xf numFmtId="0" fontId="99" fillId="0" borderId="0" xfId="954" applyFont="1" applyAlignment="1">
      <alignment vertical="center"/>
    </xf>
    <xf numFmtId="0" fontId="103" fillId="0" borderId="85" xfId="954" applyFont="1" applyBorder="1" applyAlignment="1">
      <alignment horizontal="center" vertical="center"/>
    </xf>
    <xf numFmtId="3" fontId="71" fillId="0" borderId="54" xfId="1481" applyNumberFormat="1" applyFont="1" applyBorder="1" applyAlignment="1">
      <alignment vertical="center" wrapText="1"/>
    </xf>
    <xf numFmtId="3" fontId="71" fillId="0" borderId="51" xfId="1481" applyNumberFormat="1" applyFont="1" applyBorder="1" applyAlignment="1">
      <alignment vertical="center" wrapText="1"/>
    </xf>
    <xf numFmtId="3" fontId="71" fillId="0" borderId="71" xfId="1481" applyNumberFormat="1" applyFont="1" applyBorder="1" applyAlignment="1">
      <alignment vertical="center" wrapText="1"/>
    </xf>
    <xf numFmtId="164" fontId="75" fillId="13" borderId="11" xfId="1446" applyFont="1" applyFill="1" applyBorder="1" applyAlignment="1">
      <alignment horizontal="center" vertical="top" wrapText="1"/>
    </xf>
    <xf numFmtId="169" fontId="70" fillId="0" borderId="54" xfId="1481" applyNumberFormat="1" applyFont="1" applyFill="1" applyBorder="1" applyAlignment="1">
      <alignment horizontal="center" vertical="center" wrapText="1"/>
    </xf>
    <xf numFmtId="164" fontId="71" fillId="0" borderId="88" xfId="1446" applyFont="1" applyFill="1" applyBorder="1" applyAlignment="1">
      <alignment vertical="center" wrapText="1"/>
    </xf>
    <xf numFmtId="164" fontId="71" fillId="0" borderId="54" xfId="1446" applyNumberFormat="1" applyFont="1" applyFill="1" applyBorder="1" applyAlignment="1">
      <alignment vertical="center" wrapText="1"/>
    </xf>
    <xf numFmtId="0" fontId="70" fillId="0" borderId="51" xfId="873" applyFont="1" applyBorder="1" applyAlignment="1">
      <alignment vertical="center" wrapText="1"/>
    </xf>
    <xf numFmtId="3" fontId="86" fillId="0" borderId="51" xfId="1477" applyNumberFormat="1" applyFont="1" applyBorder="1" applyAlignment="1">
      <alignment horizontal="left" vertical="center" wrapText="1"/>
    </xf>
    <xf numFmtId="0" fontId="70" fillId="0" borderId="58" xfId="1476" applyFont="1" applyBorder="1" applyAlignment="1" applyProtection="1">
      <alignment horizontal="left" vertical="center"/>
      <protection locked="0"/>
    </xf>
    <xf numFmtId="0" fontId="85" fillId="0" borderId="5" xfId="1473" applyFont="1" applyFill="1" applyBorder="1" applyAlignment="1">
      <alignment horizontal="center" vertical="center"/>
    </xf>
    <xf numFmtId="190" fontId="86" fillId="0" borderId="33" xfId="1474" applyNumberFormat="1" applyFont="1" applyFill="1" applyBorder="1" applyAlignment="1">
      <alignment horizontal="center" vertical="center" wrapText="1"/>
    </xf>
    <xf numFmtId="164" fontId="86" fillId="0" borderId="10" xfId="1474" applyFont="1" applyFill="1" applyBorder="1" applyAlignment="1">
      <alignment vertical="center"/>
    </xf>
    <xf numFmtId="0" fontId="86" fillId="0" borderId="51" xfId="1473" applyFont="1" applyFill="1" applyBorder="1" applyAlignment="1">
      <alignment horizontal="left" vertical="center" wrapText="1"/>
    </xf>
    <xf numFmtId="164" fontId="86" fillId="0" borderId="20" xfId="1474" applyFont="1" applyFill="1" applyBorder="1" applyAlignment="1">
      <alignment vertical="center"/>
    </xf>
    <xf numFmtId="2" fontId="85" fillId="0" borderId="5" xfId="1473" applyNumberFormat="1" applyFont="1" applyFill="1" applyBorder="1" applyAlignment="1">
      <alignment horizontal="center" vertical="center"/>
    </xf>
    <xf numFmtId="0" fontId="86" fillId="0" borderId="33" xfId="1473" applyFont="1" applyFill="1" applyBorder="1" applyAlignment="1">
      <alignment horizontal="center" vertical="center"/>
    </xf>
    <xf numFmtId="0" fontId="86" fillId="0" borderId="11" xfId="1473" applyFont="1" applyFill="1" applyBorder="1" applyAlignment="1">
      <alignment horizontal="center" vertical="center"/>
    </xf>
    <xf numFmtId="0" fontId="86" fillId="0" borderId="56" xfId="1473" applyFont="1" applyFill="1" applyBorder="1" applyAlignment="1">
      <alignment horizontal="center" vertical="center"/>
    </xf>
    <xf numFmtId="0" fontId="86" fillId="0" borderId="51" xfId="1457" quotePrefix="1" applyFont="1" applyFill="1" applyBorder="1" applyAlignment="1">
      <alignment horizontal="left" vertical="center"/>
    </xf>
    <xf numFmtId="0" fontId="86" fillId="0" borderId="11" xfId="1473" applyFont="1" applyFill="1" applyBorder="1" applyAlignment="1">
      <alignment horizontal="center" vertical="top"/>
    </xf>
    <xf numFmtId="0" fontId="86" fillId="0" borderId="51" xfId="1466" applyFont="1" applyFill="1" applyBorder="1" applyAlignment="1">
      <alignment horizontal="left" vertical="top"/>
    </xf>
    <xf numFmtId="0" fontId="86" fillId="0" borderId="51" xfId="1466" quotePrefix="1" applyFont="1" applyFill="1" applyBorder="1" applyAlignment="1">
      <alignment horizontal="left" vertical="center"/>
    </xf>
    <xf numFmtId="0" fontId="86" fillId="0" borderId="51" xfId="1466" applyFont="1" applyFill="1" applyBorder="1" applyAlignment="1">
      <alignment horizontal="left" vertical="center"/>
    </xf>
    <xf numFmtId="0" fontId="86" fillId="0" borderId="56" xfId="1473" applyFont="1" applyFill="1" applyBorder="1" applyAlignment="1">
      <alignment horizontal="center" vertical="top"/>
    </xf>
    <xf numFmtId="0" fontId="86" fillId="0" borderId="55" xfId="1473" applyFont="1" applyFill="1" applyBorder="1" applyAlignment="1">
      <alignment horizontal="center" vertical="top"/>
    </xf>
    <xf numFmtId="164" fontId="86" fillId="0" borderId="50" xfId="1474" applyFont="1" applyFill="1" applyBorder="1" applyAlignment="1">
      <alignment horizontal="center" vertical="top"/>
    </xf>
    <xf numFmtId="0" fontId="86" fillId="0" borderId="8" xfId="1466" applyFont="1" applyFill="1" applyBorder="1" applyAlignment="1">
      <alignment horizontal="left" vertical="top" wrapText="1"/>
    </xf>
    <xf numFmtId="164" fontId="86" fillId="0" borderId="55" xfId="1474" applyFont="1" applyFill="1" applyBorder="1" applyAlignment="1">
      <alignment horizontal="center" vertical="top"/>
    </xf>
    <xf numFmtId="0" fontId="85" fillId="0" borderId="12" xfId="1473" applyFont="1" applyFill="1" applyBorder="1" applyAlignment="1">
      <alignment horizontal="center" vertical="center"/>
    </xf>
    <xf numFmtId="0" fontId="85" fillId="0" borderId="65" xfId="1457" applyFont="1" applyFill="1" applyBorder="1" applyAlignment="1">
      <alignment horizontal="center" vertical="center"/>
    </xf>
    <xf numFmtId="2" fontId="85" fillId="0" borderId="9" xfId="1473" applyNumberFormat="1" applyFont="1" applyFill="1" applyBorder="1" applyAlignment="1">
      <alignment horizontal="center"/>
    </xf>
    <xf numFmtId="164" fontId="85" fillId="0" borderId="9" xfId="1446" applyFont="1" applyFill="1" applyBorder="1"/>
    <xf numFmtId="0" fontId="86" fillId="0" borderId="33" xfId="1466" applyFont="1" applyFill="1" applyBorder="1" applyAlignment="1">
      <alignment horizontal="center"/>
    </xf>
    <xf numFmtId="0" fontId="86" fillId="0" borderId="11" xfId="1466" applyFont="1" applyFill="1" applyBorder="1" applyAlignment="1">
      <alignment horizontal="center"/>
    </xf>
    <xf numFmtId="0" fontId="86" fillId="0" borderId="56" xfId="1473" applyFont="1" applyFill="1" applyBorder="1" applyAlignment="1">
      <alignment horizontal="center"/>
    </xf>
    <xf numFmtId="0" fontId="86" fillId="0" borderId="11" xfId="1473" applyFont="1" applyFill="1" applyBorder="1" applyAlignment="1">
      <alignment horizontal="center"/>
    </xf>
    <xf numFmtId="0" fontId="86" fillId="0" borderId="51" xfId="1466" applyFont="1" applyFill="1" applyBorder="1"/>
    <xf numFmtId="0" fontId="86" fillId="0" borderId="33" xfId="1473" applyFont="1" applyFill="1" applyBorder="1" applyAlignment="1">
      <alignment horizontal="center" vertical="top"/>
    </xf>
    <xf numFmtId="0" fontId="86" fillId="0" borderId="58" xfId="1473" applyFont="1" applyFill="1" applyBorder="1" applyAlignment="1">
      <alignment horizontal="center" vertical="top"/>
    </xf>
    <xf numFmtId="0" fontId="86" fillId="0" borderId="54" xfId="1466" applyFont="1" applyFill="1" applyBorder="1" applyAlignment="1">
      <alignment vertical="top" wrapText="1"/>
    </xf>
    <xf numFmtId="0" fontId="86" fillId="0" borderId="51" xfId="1466" applyFont="1" applyFill="1" applyBorder="1" applyAlignment="1">
      <alignment horizontal="left"/>
    </xf>
    <xf numFmtId="0" fontId="86" fillId="0" borderId="55" xfId="1473" applyFont="1" applyFill="1" applyBorder="1" applyAlignment="1">
      <alignment horizontal="center"/>
    </xf>
    <xf numFmtId="0" fontId="86" fillId="0" borderId="50" xfId="1473" applyFont="1" applyFill="1" applyBorder="1" applyAlignment="1">
      <alignment horizontal="center" vertical="center"/>
    </xf>
    <xf numFmtId="0" fontId="86" fillId="0" borderId="8" xfId="1466" quotePrefix="1" applyFont="1" applyFill="1" applyBorder="1" applyAlignment="1">
      <alignment horizontal="left" vertical="center"/>
    </xf>
    <xf numFmtId="2" fontId="101" fillId="0" borderId="5" xfId="1473" applyNumberFormat="1" applyFont="1" applyFill="1" applyBorder="1" applyAlignment="1">
      <alignment horizontal="center"/>
    </xf>
    <xf numFmtId="164" fontId="101" fillId="0" borderId="5" xfId="1446" applyFont="1" applyFill="1" applyBorder="1"/>
    <xf numFmtId="164" fontId="101" fillId="0" borderId="5" xfId="1474" applyFont="1" applyFill="1" applyBorder="1" applyAlignment="1">
      <alignment horizontal="center" vertical="center"/>
    </xf>
    <xf numFmtId="0" fontId="86" fillId="0" borderId="33" xfId="1473" applyFont="1" applyFill="1" applyBorder="1" applyAlignment="1">
      <alignment horizontal="center"/>
    </xf>
    <xf numFmtId="0" fontId="86" fillId="0" borderId="58" xfId="1473" applyFont="1" applyFill="1" applyBorder="1" applyAlignment="1">
      <alignment horizontal="center" vertical="center"/>
    </xf>
    <xf numFmtId="0" fontId="86" fillId="0" borderId="54" xfId="1457" quotePrefix="1" applyFont="1" applyFill="1" applyBorder="1" applyAlignment="1">
      <alignment horizontal="left" vertical="center"/>
    </xf>
    <xf numFmtId="0" fontId="86" fillId="0" borderId="58" xfId="1473" applyFont="1" applyFill="1" applyBorder="1" applyAlignment="1">
      <alignment horizontal="left" vertical="center"/>
    </xf>
    <xf numFmtId="0" fontId="86" fillId="0" borderId="56" xfId="1466" applyFont="1" applyFill="1" applyBorder="1"/>
    <xf numFmtId="0" fontId="86" fillId="0" borderId="11" xfId="1466" applyFont="1" applyFill="1" applyBorder="1"/>
    <xf numFmtId="0" fontId="86" fillId="0" borderId="56" xfId="1466" applyFont="1" applyFill="1" applyBorder="1" applyAlignment="1">
      <alignment vertical="center"/>
    </xf>
    <xf numFmtId="0" fontId="86" fillId="0" borderId="51" xfId="1466" applyFont="1" applyFill="1" applyBorder="1" applyAlignment="1">
      <alignment vertical="center"/>
    </xf>
    <xf numFmtId="0" fontId="86" fillId="0" borderId="56" xfId="1466" applyFont="1" applyFill="1" applyBorder="1" applyAlignment="1">
      <alignment horizontal="left" vertical="center"/>
    </xf>
    <xf numFmtId="0" fontId="86" fillId="0" borderId="58" xfId="1466" applyFont="1" applyFill="1" applyBorder="1" applyAlignment="1">
      <alignment horizontal="left" vertical="center"/>
    </xf>
    <xf numFmtId="0" fontId="86" fillId="0" borderId="54" xfId="1466" applyFont="1" applyFill="1" applyBorder="1" applyAlignment="1">
      <alignment vertical="center"/>
    </xf>
    <xf numFmtId="0" fontId="86" fillId="0" borderId="51" xfId="1466" quotePrefix="1" applyFont="1" applyFill="1" applyBorder="1" applyAlignment="1">
      <alignment horizontal="left" vertical="top" wrapText="1"/>
    </xf>
    <xf numFmtId="0" fontId="86" fillId="0" borderId="51" xfId="1466" applyFont="1" applyFill="1" applyBorder="1" applyAlignment="1">
      <alignment vertical="top" wrapText="1"/>
    </xf>
    <xf numFmtId="0" fontId="86" fillId="0" borderId="51" xfId="0" applyFont="1" applyFill="1" applyBorder="1" applyAlignment="1">
      <alignment vertical="center"/>
    </xf>
    <xf numFmtId="43" fontId="105" fillId="0" borderId="51" xfId="455" applyFont="1" applyFill="1" applyBorder="1" applyAlignment="1">
      <alignment vertical="center"/>
    </xf>
    <xf numFmtId="43" fontId="105" fillId="0" borderId="11" xfId="854" applyNumberFormat="1" applyFont="1" applyBorder="1" applyAlignment="1">
      <alignment vertical="center"/>
    </xf>
    <xf numFmtId="0" fontId="71" fillId="0" borderId="11" xfId="1473" applyFont="1" applyBorder="1" applyAlignment="1">
      <alignment horizontal="center" vertical="top"/>
    </xf>
    <xf numFmtId="167" fontId="70" fillId="0" borderId="20" xfId="455" applyNumberFormat="1" applyFont="1" applyFill="1" applyBorder="1" applyAlignment="1">
      <alignment horizontal="center" vertical="center"/>
    </xf>
    <xf numFmtId="0" fontId="70" fillId="0" borderId="60" xfId="1476" applyFont="1" applyBorder="1" applyAlignment="1" applyProtection="1">
      <alignment horizontal="center" vertical="center"/>
      <protection locked="0"/>
    </xf>
    <xf numFmtId="43" fontId="70" fillId="0" borderId="86" xfId="455" applyFont="1" applyFill="1" applyBorder="1" applyAlignment="1">
      <alignment vertical="center"/>
    </xf>
    <xf numFmtId="164" fontId="70" fillId="0" borderId="20" xfId="1446" applyFont="1" applyFill="1" applyBorder="1"/>
    <xf numFmtId="43" fontId="70" fillId="0" borderId="20" xfId="1446" applyNumberFormat="1" applyFont="1" applyFill="1" applyBorder="1" applyAlignment="1">
      <alignment horizontal="center"/>
    </xf>
    <xf numFmtId="43" fontId="70" fillId="0" borderId="20" xfId="455" applyFont="1" applyFill="1" applyBorder="1" applyAlignment="1">
      <alignment horizontal="center"/>
    </xf>
    <xf numFmtId="43" fontId="70" fillId="0" borderId="20" xfId="455" applyFont="1" applyFill="1" applyBorder="1"/>
    <xf numFmtId="43" fontId="70" fillId="0" borderId="54" xfId="455" applyFont="1" applyFill="1" applyBorder="1" applyAlignment="1">
      <alignment vertical="center"/>
    </xf>
    <xf numFmtId="0" fontId="71" fillId="0" borderId="64" xfId="954" applyFont="1" applyBorder="1" applyAlignment="1">
      <alignment horizontal="left"/>
    </xf>
    <xf numFmtId="0" fontId="71" fillId="0" borderId="69" xfId="954" applyFont="1" applyBorder="1" applyAlignment="1">
      <alignment vertical="center"/>
    </xf>
    <xf numFmtId="164" fontId="71" fillId="0" borderId="9" xfId="1446" applyFont="1" applyFill="1" applyBorder="1" applyAlignment="1">
      <alignment horizontal="left" vertical="center" wrapText="1"/>
    </xf>
    <xf numFmtId="164" fontId="71" fillId="0" borderId="9" xfId="244" applyFont="1" applyFill="1" applyBorder="1" applyAlignment="1">
      <alignment horizontal="center" vertical="center" wrapText="1"/>
    </xf>
    <xf numFmtId="164" fontId="71" fillId="0" borderId="9" xfId="244" applyFont="1" applyFill="1" applyBorder="1" applyAlignment="1">
      <alignment horizontal="left" vertical="center" wrapText="1"/>
    </xf>
    <xf numFmtId="164" fontId="71" fillId="0" borderId="9" xfId="244" applyFont="1" applyFill="1" applyBorder="1" applyAlignment="1">
      <alignment vertical="center" wrapText="1"/>
    </xf>
    <xf numFmtId="0" fontId="73" fillId="0" borderId="56" xfId="1476" applyFont="1" applyBorder="1" applyAlignment="1" applyProtection="1">
      <alignment horizontal="left" vertical="center"/>
      <protection locked="0"/>
    </xf>
    <xf numFmtId="164" fontId="71" fillId="0" borderId="67" xfId="244" applyFont="1" applyFill="1" applyBorder="1" applyAlignment="1">
      <alignment horizontal="left"/>
    </xf>
    <xf numFmtId="0" fontId="71" fillId="0" borderId="65" xfId="954" applyFont="1" applyBorder="1" applyAlignment="1">
      <alignment horizontal="center" vertical="center"/>
    </xf>
    <xf numFmtId="164" fontId="71" fillId="0" borderId="12" xfId="1446" applyFont="1" applyFill="1" applyBorder="1" applyAlignment="1">
      <alignment horizontal="left" vertical="center"/>
    </xf>
    <xf numFmtId="164" fontId="71" fillId="0" borderId="12" xfId="244" applyFont="1" applyFill="1" applyBorder="1" applyAlignment="1">
      <alignment horizontal="left" vertical="center"/>
    </xf>
    <xf numFmtId="164" fontId="71" fillId="0" borderId="12" xfId="244" applyFont="1" applyFill="1" applyBorder="1" applyAlignment="1">
      <alignment vertical="center"/>
    </xf>
    <xf numFmtId="0" fontId="71" fillId="0" borderId="51" xfId="873" applyFont="1" applyBorder="1"/>
    <xf numFmtId="164" fontId="71" fillId="0" borderId="11" xfId="1446" applyFont="1" applyFill="1" applyBorder="1" applyAlignment="1"/>
    <xf numFmtId="164" fontId="71" fillId="0" borderId="11" xfId="244" applyFont="1" applyFill="1" applyBorder="1" applyAlignment="1">
      <alignment vertical="center"/>
    </xf>
    <xf numFmtId="164" fontId="71" fillId="0" borderId="11" xfId="244" applyFont="1" applyFill="1" applyBorder="1" applyAlignment="1">
      <alignment vertical="center" wrapText="1"/>
    </xf>
    <xf numFmtId="164" fontId="71" fillId="0" borderId="11" xfId="244" applyFont="1" applyFill="1" applyBorder="1"/>
    <xf numFmtId="0" fontId="86" fillId="0" borderId="56" xfId="1476" applyFont="1" applyBorder="1" applyAlignment="1" applyProtection="1">
      <alignment horizontal="center" vertical="top"/>
      <protection locked="0"/>
    </xf>
    <xf numFmtId="0" fontId="102" fillId="0" borderId="1" xfId="873" applyFont="1" applyBorder="1" applyAlignment="1">
      <alignment horizontal="left" vertical="top" wrapText="1"/>
    </xf>
    <xf numFmtId="164" fontId="66" fillId="0" borderId="33" xfId="244" applyFont="1" applyFill="1" applyBorder="1" applyAlignment="1">
      <alignment vertical="top"/>
    </xf>
    <xf numFmtId="0" fontId="66" fillId="0" borderId="33" xfId="0" applyFont="1" applyBorder="1" applyAlignment="1">
      <alignment horizontal="center" vertical="top"/>
    </xf>
    <xf numFmtId="0" fontId="102" fillId="0" borderId="61" xfId="873" applyFont="1" applyBorder="1" applyAlignment="1">
      <alignment horizontal="left" vertical="top" wrapText="1"/>
    </xf>
    <xf numFmtId="164" fontId="66" fillId="0" borderId="11" xfId="244" applyFont="1" applyFill="1" applyBorder="1" applyAlignment="1">
      <alignment vertical="top"/>
    </xf>
    <xf numFmtId="0" fontId="66" fillId="0" borderId="11" xfId="0" applyFont="1" applyBorder="1" applyAlignment="1">
      <alignment horizontal="center" vertical="top"/>
    </xf>
    <xf numFmtId="0" fontId="85" fillId="0" borderId="85" xfId="954" applyFont="1" applyBorder="1" applyAlignment="1">
      <alignment horizontal="center" vertical="center"/>
    </xf>
    <xf numFmtId="0" fontId="85" fillId="0" borderId="89" xfId="954" applyFont="1" applyBorder="1" applyAlignment="1">
      <alignment horizontal="left"/>
    </xf>
    <xf numFmtId="0" fontId="85" fillId="0" borderId="88" xfId="0" applyFont="1" applyBorder="1" applyAlignment="1">
      <alignment horizontal="center" vertical="center"/>
    </xf>
    <xf numFmtId="164" fontId="85" fillId="0" borderId="85" xfId="1446" applyFont="1" applyFill="1" applyBorder="1" applyAlignment="1">
      <alignment horizontal="left" vertical="center"/>
    </xf>
    <xf numFmtId="0" fontId="85" fillId="0" borderId="85" xfId="0" applyFont="1" applyBorder="1" applyAlignment="1">
      <alignment horizontal="center" vertical="center"/>
    </xf>
    <xf numFmtId="43" fontId="70" fillId="0" borderId="0" xfId="454" applyFont="1" applyFill="1" applyBorder="1" applyAlignment="1"/>
    <xf numFmtId="43" fontId="70" fillId="0" borderId="0" xfId="454" applyFont="1" applyFill="1" applyBorder="1" applyAlignment="1">
      <alignment horizontal="left" vertical="center"/>
    </xf>
    <xf numFmtId="0" fontId="70" fillId="0" borderId="0" xfId="0" applyFont="1"/>
    <xf numFmtId="0" fontId="85" fillId="0" borderId="0" xfId="954" applyFont="1" applyAlignment="1">
      <alignment horizontal="center" vertical="center"/>
    </xf>
    <xf numFmtId="43" fontId="86" fillId="0" borderId="0" xfId="454" applyFont="1" applyFill="1" applyBorder="1" applyAlignment="1">
      <alignment horizontal="left"/>
    </xf>
    <xf numFmtId="43" fontId="86" fillId="0" borderId="0" xfId="454" applyFont="1" applyFill="1" applyBorder="1" applyAlignment="1">
      <alignment horizontal="left" vertical="center"/>
    </xf>
    <xf numFmtId="0" fontId="70" fillId="0" borderId="0" xfId="954" applyFont="1" applyAlignment="1">
      <alignment horizontal="center"/>
    </xf>
    <xf numFmtId="43" fontId="67" fillId="13" borderId="12" xfId="454" applyFont="1" applyFill="1" applyBorder="1" applyAlignment="1"/>
    <xf numFmtId="164" fontId="67" fillId="13" borderId="85" xfId="1446" applyFont="1" applyFill="1" applyBorder="1"/>
    <xf numFmtId="2" fontId="66" fillId="0" borderId="0" xfId="954" applyNumberFormat="1" applyFont="1" applyBorder="1" applyAlignment="1">
      <alignment horizontal="center" vertical="center"/>
    </xf>
    <xf numFmtId="0" fontId="66" fillId="0" borderId="0" xfId="954" applyFont="1" applyBorder="1" applyAlignment="1">
      <alignment horizontal="left" vertical="center" wrapText="1"/>
    </xf>
    <xf numFmtId="164" fontId="66" fillId="0" borderId="0" xfId="244" applyFont="1" applyFill="1" applyBorder="1" applyAlignment="1">
      <alignment horizontal="center" vertical="center"/>
    </xf>
    <xf numFmtId="43" fontId="67" fillId="0" borderId="8" xfId="454" applyFont="1" applyFill="1" applyBorder="1" applyAlignment="1">
      <alignment horizontal="center"/>
    </xf>
    <xf numFmtId="164" fontId="66" fillId="0" borderId="7" xfId="1446" applyFont="1" applyFill="1" applyBorder="1" applyAlignment="1">
      <alignment vertical="center"/>
    </xf>
    <xf numFmtId="0" fontId="70" fillId="13" borderId="11" xfId="954" applyFont="1" applyFill="1" applyBorder="1" applyAlignment="1">
      <alignment horizontal="center" vertical="top"/>
    </xf>
    <xf numFmtId="0" fontId="70" fillId="13" borderId="56" xfId="873" applyFont="1" applyFill="1" applyBorder="1" applyAlignment="1">
      <alignment horizontal="center" vertical="top"/>
    </xf>
    <xf numFmtId="0" fontId="70" fillId="13" borderId="51" xfId="873" applyFont="1" applyFill="1" applyBorder="1" applyAlignment="1">
      <alignment horizontal="left" vertical="top" wrapText="1"/>
    </xf>
    <xf numFmtId="164" fontId="70" fillId="13" borderId="11" xfId="1446" applyFont="1" applyFill="1" applyBorder="1" applyAlignment="1">
      <alignment horizontal="center" vertical="top"/>
    </xf>
    <xf numFmtId="164" fontId="70" fillId="13" borderId="11" xfId="244" applyFont="1" applyFill="1" applyBorder="1" applyAlignment="1">
      <alignment horizontal="center" vertical="top"/>
    </xf>
    <xf numFmtId="164" fontId="70" fillId="13" borderId="11" xfId="244" applyFont="1" applyFill="1" applyBorder="1" applyAlignment="1">
      <alignment vertical="top"/>
    </xf>
    <xf numFmtId="164" fontId="70" fillId="13" borderId="11" xfId="1446" applyFont="1" applyFill="1" applyBorder="1" applyAlignment="1">
      <alignment vertical="top"/>
    </xf>
    <xf numFmtId="43" fontId="70" fillId="13" borderId="11" xfId="454" applyFont="1" applyFill="1" applyBorder="1" applyAlignment="1">
      <alignment vertical="top"/>
    </xf>
    <xf numFmtId="43" fontId="70" fillId="13" borderId="0" xfId="454" applyFont="1" applyFill="1" applyBorder="1" applyAlignment="1">
      <alignment vertical="top"/>
    </xf>
    <xf numFmtId="0" fontId="70" fillId="13" borderId="0" xfId="1446" applyNumberFormat="1" applyFont="1" applyFill="1" applyBorder="1" applyAlignment="1">
      <alignment horizontal="left" vertical="top"/>
    </xf>
    <xf numFmtId="0" fontId="70" fillId="13" borderId="0" xfId="954" applyFont="1" applyFill="1" applyAlignment="1">
      <alignment vertical="top"/>
    </xf>
    <xf numFmtId="0" fontId="70" fillId="13" borderId="0" xfId="0" applyFont="1" applyFill="1" applyAlignment="1">
      <alignment vertical="top"/>
    </xf>
    <xf numFmtId="0" fontId="70" fillId="13" borderId="28" xfId="954" applyFont="1" applyFill="1" applyBorder="1" applyAlignment="1">
      <alignment horizontal="center" vertical="center"/>
    </xf>
    <xf numFmtId="0" fontId="70" fillId="13" borderId="59" xfId="873" applyFont="1" applyFill="1" applyBorder="1" applyAlignment="1">
      <alignment horizontal="center" vertical="center"/>
    </xf>
    <xf numFmtId="0" fontId="70" fillId="13" borderId="52" xfId="873" applyFont="1" applyFill="1" applyBorder="1" applyAlignment="1">
      <alignment horizontal="left" vertical="center"/>
    </xf>
    <xf numFmtId="164" fontId="70" fillId="13" borderId="28" xfId="1446" applyFont="1" applyFill="1" applyBorder="1" applyAlignment="1">
      <alignment horizontal="center" vertical="center"/>
    </xf>
    <xf numFmtId="164" fontId="70" fillId="13" borderId="28" xfId="244" applyFont="1" applyFill="1" applyBorder="1" applyAlignment="1">
      <alignment horizontal="center" vertical="center"/>
    </xf>
    <xf numFmtId="164" fontId="70" fillId="13" borderId="11" xfId="1446" applyFont="1" applyFill="1" applyBorder="1" applyAlignment="1">
      <alignment vertical="center"/>
    </xf>
    <xf numFmtId="164" fontId="70" fillId="13" borderId="28" xfId="1446" applyFont="1" applyFill="1" applyBorder="1" applyAlignment="1">
      <alignment vertical="center"/>
    </xf>
    <xf numFmtId="164" fontId="70" fillId="13" borderId="55" xfId="244" applyFont="1" applyFill="1" applyBorder="1"/>
    <xf numFmtId="0" fontId="70" fillId="13" borderId="56" xfId="954" applyFont="1" applyFill="1" applyBorder="1" applyAlignment="1">
      <alignment horizontal="center" vertical="center"/>
    </xf>
    <xf numFmtId="0" fontId="70" fillId="13" borderId="56" xfId="873" applyFont="1" applyFill="1" applyBorder="1" applyAlignment="1">
      <alignment horizontal="center" vertical="center"/>
    </xf>
    <xf numFmtId="0" fontId="70" fillId="13" borderId="51" xfId="873" applyFont="1" applyFill="1" applyBorder="1" applyAlignment="1">
      <alignment horizontal="left" vertical="center"/>
    </xf>
    <xf numFmtId="164" fontId="70" fillId="13" borderId="11" xfId="1446" applyFont="1" applyFill="1" applyBorder="1" applyAlignment="1">
      <alignment horizontal="center" vertical="center"/>
    </xf>
    <xf numFmtId="164" fontId="70" fillId="13" borderId="11" xfId="244" applyFont="1" applyFill="1" applyBorder="1" applyAlignment="1">
      <alignment horizontal="center" vertical="center"/>
    </xf>
    <xf numFmtId="43" fontId="70" fillId="13" borderId="11" xfId="0" applyNumberFormat="1" applyFont="1" applyFill="1" applyBorder="1" applyAlignment="1" applyProtection="1">
      <alignment horizontal="right" vertical="center"/>
      <protection locked="0"/>
    </xf>
    <xf numFmtId="164" fontId="70" fillId="13" borderId="51" xfId="1446" applyFont="1" applyFill="1" applyBorder="1" applyAlignment="1">
      <alignment vertical="center"/>
    </xf>
    <xf numFmtId="0" fontId="70" fillId="13" borderId="55" xfId="954" applyFont="1" applyFill="1" applyBorder="1"/>
    <xf numFmtId="0" fontId="69" fillId="13" borderId="0" xfId="0" applyFont="1" applyFill="1" applyAlignment="1">
      <alignment horizontal="center"/>
    </xf>
    <xf numFmtId="0" fontId="69" fillId="13" borderId="0" xfId="0" applyFont="1" applyFill="1"/>
    <xf numFmtId="0" fontId="69" fillId="13" borderId="0" xfId="1446" applyNumberFormat="1" applyFont="1" applyFill="1" applyBorder="1"/>
    <xf numFmtId="0" fontId="69" fillId="13" borderId="0" xfId="954" applyFont="1" applyFill="1"/>
    <xf numFmtId="164" fontId="69" fillId="13" borderId="0" xfId="1446" applyFont="1" applyFill="1"/>
    <xf numFmtId="0" fontId="70" fillId="13" borderId="0" xfId="0" applyFont="1" applyFill="1"/>
    <xf numFmtId="164" fontId="70" fillId="13" borderId="0" xfId="1446" applyFont="1" applyFill="1"/>
    <xf numFmtId="0" fontId="70" fillId="13" borderId="0" xfId="0" applyFont="1" applyFill="1" applyAlignment="1">
      <alignment horizontal="center"/>
    </xf>
    <xf numFmtId="0" fontId="70" fillId="13" borderId="0" xfId="1446" applyNumberFormat="1" applyFont="1" applyFill="1" applyBorder="1"/>
    <xf numFmtId="0" fontId="71" fillId="13" borderId="0" xfId="873" applyFont="1" applyFill="1"/>
    <xf numFmtId="164" fontId="69" fillId="13" borderId="5" xfId="244" applyFont="1" applyFill="1" applyBorder="1" applyAlignment="1">
      <alignment horizontal="center" vertical="center" wrapText="1"/>
    </xf>
    <xf numFmtId="0" fontId="71" fillId="13" borderId="0" xfId="873" applyFont="1" applyFill="1" applyAlignment="1">
      <alignment horizontal="center" vertical="center"/>
    </xf>
    <xf numFmtId="164" fontId="69" fillId="13" borderId="5" xfId="244" applyFont="1" applyFill="1" applyBorder="1" applyAlignment="1">
      <alignment horizontal="center" vertical="center"/>
    </xf>
    <xf numFmtId="0" fontId="71" fillId="13" borderId="5" xfId="873" applyFont="1" applyFill="1" applyBorder="1" applyAlignment="1">
      <alignment horizontal="center" vertical="center"/>
    </xf>
    <xf numFmtId="0" fontId="71" fillId="13" borderId="2" xfId="873" applyFont="1" applyFill="1" applyBorder="1" applyAlignment="1">
      <alignment horizontal="left" vertical="center"/>
    </xf>
    <xf numFmtId="0" fontId="71" fillId="13" borderId="2" xfId="873" applyFont="1" applyFill="1" applyBorder="1" applyAlignment="1">
      <alignment horizontal="center" vertical="center"/>
    </xf>
    <xf numFmtId="164" fontId="71" fillId="13" borderId="5" xfId="1446" applyFont="1" applyFill="1" applyBorder="1" applyAlignment="1">
      <alignment horizontal="center" vertical="center"/>
    </xf>
    <xf numFmtId="0" fontId="71" fillId="13" borderId="5" xfId="0" applyFont="1" applyFill="1" applyBorder="1" applyAlignment="1">
      <alignment horizontal="center"/>
    </xf>
    <xf numFmtId="164" fontId="71" fillId="13" borderId="5" xfId="1446" applyFont="1" applyFill="1" applyBorder="1" applyAlignment="1">
      <alignment horizontal="center"/>
    </xf>
    <xf numFmtId="164" fontId="71" fillId="13" borderId="5" xfId="1446" applyFont="1" applyFill="1" applyBorder="1"/>
    <xf numFmtId="0" fontId="71" fillId="13" borderId="5" xfId="0" applyFont="1" applyFill="1" applyBorder="1"/>
    <xf numFmtId="0" fontId="71" fillId="13" borderId="0" xfId="0" applyFont="1" applyFill="1"/>
    <xf numFmtId="0" fontId="70" fillId="13" borderId="33" xfId="954" applyFont="1" applyFill="1" applyBorder="1" applyAlignment="1">
      <alignment horizontal="center" vertical="center"/>
    </xf>
    <xf numFmtId="0" fontId="70" fillId="13" borderId="58" xfId="873" applyFont="1" applyFill="1" applyBorder="1" applyAlignment="1">
      <alignment horizontal="center" vertical="center"/>
    </xf>
    <xf numFmtId="3" fontId="70" fillId="13" borderId="54" xfId="956" applyNumberFormat="1" applyFont="1" applyFill="1" applyBorder="1" applyAlignment="1">
      <alignment vertical="center"/>
    </xf>
    <xf numFmtId="164" fontId="70" fillId="13" borderId="33" xfId="1446" applyFont="1" applyFill="1" applyBorder="1" applyAlignment="1">
      <alignment horizontal="center" vertical="center"/>
    </xf>
    <xf numFmtId="164" fontId="70" fillId="13" borderId="33" xfId="244" applyFont="1" applyFill="1" applyBorder="1" applyAlignment="1">
      <alignment horizontal="center" vertical="center"/>
    </xf>
    <xf numFmtId="164" fontId="70" fillId="13" borderId="33" xfId="1446" applyFont="1" applyFill="1" applyBorder="1" applyAlignment="1">
      <alignment vertical="center"/>
    </xf>
    <xf numFmtId="43" fontId="70" fillId="13" borderId="11" xfId="454" applyFont="1" applyFill="1" applyBorder="1" applyAlignment="1">
      <alignment vertical="center"/>
    </xf>
    <xf numFmtId="43" fontId="70" fillId="13" borderId="33" xfId="454" applyFont="1" applyFill="1" applyBorder="1" applyAlignment="1">
      <alignment vertical="center"/>
    </xf>
    <xf numFmtId="0" fontId="70" fillId="13" borderId="0" xfId="1446" applyNumberFormat="1" applyFont="1" applyFill="1" applyBorder="1" applyAlignment="1">
      <alignment horizontal="left" vertical="center"/>
    </xf>
    <xf numFmtId="0" fontId="70" fillId="13" borderId="0" xfId="954" applyFont="1" applyFill="1"/>
    <xf numFmtId="0" fontId="70" fillId="13" borderId="11" xfId="954" applyFont="1" applyFill="1" applyBorder="1" applyAlignment="1">
      <alignment horizontal="center" vertical="center"/>
    </xf>
    <xf numFmtId="3" fontId="70" fillId="13" borderId="51" xfId="956" applyNumberFormat="1" applyFont="1" applyFill="1" applyBorder="1" applyAlignment="1">
      <alignment vertical="center"/>
    </xf>
    <xf numFmtId="43" fontId="70" fillId="13" borderId="11" xfId="1887" applyFont="1" applyFill="1" applyBorder="1" applyAlignment="1">
      <alignment vertical="center"/>
    </xf>
    <xf numFmtId="0" fontId="70" fillId="13" borderId="55" xfId="954" applyFont="1" applyFill="1" applyBorder="1" applyAlignment="1">
      <alignment horizontal="center" vertical="center"/>
    </xf>
    <xf numFmtId="0" fontId="70" fillId="13" borderId="50" xfId="873" applyFont="1" applyFill="1" applyBorder="1" applyAlignment="1">
      <alignment horizontal="center" vertical="center"/>
    </xf>
    <xf numFmtId="0" fontId="70" fillId="13" borderId="8" xfId="873" applyFont="1" applyFill="1" applyBorder="1" applyAlignment="1">
      <alignment horizontal="left" vertical="center"/>
    </xf>
    <xf numFmtId="164" fontId="70" fillId="13" borderId="55" xfId="1446" applyFont="1" applyFill="1" applyBorder="1" applyAlignment="1">
      <alignment horizontal="center" vertical="center"/>
    </xf>
    <xf numFmtId="164" fontId="70" fillId="13" borderId="55" xfId="244" applyFont="1" applyFill="1" applyBorder="1" applyAlignment="1">
      <alignment horizontal="center" vertical="center"/>
    </xf>
    <xf numFmtId="164" fontId="70" fillId="13" borderId="55" xfId="1446" applyFont="1" applyFill="1" applyBorder="1" applyAlignment="1">
      <alignment vertical="center"/>
    </xf>
    <xf numFmtId="43" fontId="70" fillId="13" borderId="0" xfId="454" applyFont="1" applyFill="1" applyBorder="1" applyAlignment="1">
      <alignment vertical="center"/>
    </xf>
    <xf numFmtId="0" fontId="71" fillId="13" borderId="12" xfId="954" applyFont="1" applyFill="1" applyBorder="1" applyAlignment="1">
      <alignment horizontal="center" vertical="center"/>
    </xf>
    <xf numFmtId="0" fontId="71" fillId="13" borderId="67" xfId="873" applyFont="1" applyFill="1" applyBorder="1" applyAlignment="1">
      <alignment vertical="center"/>
    </xf>
    <xf numFmtId="0" fontId="71" fillId="13" borderId="65" xfId="873" applyFont="1" applyFill="1" applyBorder="1" applyAlignment="1">
      <alignment horizontal="center" vertical="center"/>
    </xf>
    <xf numFmtId="164" fontId="71" fillId="13" borderId="12" xfId="1446" applyFont="1" applyFill="1" applyBorder="1" applyAlignment="1">
      <alignment horizontal="center" vertical="center"/>
    </xf>
    <xf numFmtId="164" fontId="71" fillId="13" borderId="12" xfId="244" applyFont="1" applyFill="1" applyBorder="1" applyAlignment="1">
      <alignment horizontal="center" vertical="center"/>
    </xf>
    <xf numFmtId="164" fontId="71" fillId="13" borderId="12" xfId="1446" applyFont="1" applyFill="1" applyBorder="1" applyAlignment="1">
      <alignment vertical="center"/>
    </xf>
    <xf numFmtId="43" fontId="71" fillId="13" borderId="12" xfId="454" applyFont="1" applyFill="1" applyBorder="1" applyAlignment="1">
      <alignment vertical="center"/>
    </xf>
    <xf numFmtId="43" fontId="71" fillId="13" borderId="0" xfId="454" applyFont="1" applyFill="1" applyBorder="1" applyAlignment="1">
      <alignment vertical="center"/>
    </xf>
    <xf numFmtId="0" fontId="71" fillId="13" borderId="9" xfId="954" applyFont="1" applyFill="1" applyBorder="1" applyAlignment="1">
      <alignment horizontal="center" vertical="center"/>
    </xf>
    <xf numFmtId="164" fontId="71" fillId="13" borderId="9" xfId="1446" applyFont="1" applyFill="1" applyBorder="1" applyAlignment="1">
      <alignment horizontal="center" vertical="center"/>
    </xf>
    <xf numFmtId="164" fontId="71" fillId="13" borderId="9" xfId="244" applyFont="1" applyFill="1" applyBorder="1" applyAlignment="1">
      <alignment horizontal="center" vertical="center"/>
    </xf>
    <xf numFmtId="164" fontId="71" fillId="13" borderId="9" xfId="1446" applyFont="1" applyFill="1" applyBorder="1" applyAlignment="1">
      <alignment vertical="center"/>
    </xf>
    <xf numFmtId="43" fontId="71" fillId="13" borderId="9" xfId="454" applyFont="1" applyFill="1" applyBorder="1" applyAlignment="1">
      <alignment vertical="center"/>
    </xf>
    <xf numFmtId="0" fontId="71" fillId="13" borderId="0" xfId="954" applyFont="1" applyFill="1"/>
    <xf numFmtId="164" fontId="70" fillId="13" borderId="11" xfId="244" applyFont="1" applyFill="1" applyBorder="1" applyAlignment="1">
      <alignment vertical="center"/>
    </xf>
    <xf numFmtId="0" fontId="71" fillId="13" borderId="11" xfId="954" applyFont="1" applyFill="1" applyBorder="1" applyAlignment="1">
      <alignment horizontal="center" vertical="center"/>
    </xf>
    <xf numFmtId="164" fontId="71" fillId="13" borderId="11" xfId="1446" applyFont="1" applyFill="1" applyBorder="1" applyAlignment="1">
      <alignment horizontal="center" vertical="center"/>
    </xf>
    <xf numFmtId="164" fontId="71" fillId="13" borderId="11" xfId="244" applyFont="1" applyFill="1" applyBorder="1" applyAlignment="1">
      <alignment horizontal="center" vertical="center"/>
    </xf>
    <xf numFmtId="164" fontId="71" fillId="13" borderId="11" xfId="1446" applyFont="1" applyFill="1" applyBorder="1" applyAlignment="1">
      <alignment vertical="center"/>
    </xf>
    <xf numFmtId="43" fontId="71" fillId="13" borderId="11" xfId="454" applyFont="1" applyFill="1" applyBorder="1" applyAlignment="1">
      <alignment vertical="center"/>
    </xf>
    <xf numFmtId="164" fontId="70" fillId="13" borderId="33" xfId="244" applyFont="1" applyFill="1" applyBorder="1" applyAlignment="1">
      <alignment vertical="center"/>
    </xf>
    <xf numFmtId="0" fontId="70" fillId="13" borderId="54" xfId="873" applyFont="1" applyFill="1" applyBorder="1" applyAlignment="1">
      <alignment horizontal="left" vertical="center"/>
    </xf>
    <xf numFmtId="43" fontId="70" fillId="13" borderId="28" xfId="0" applyNumberFormat="1" applyFont="1" applyFill="1" applyBorder="1" applyAlignment="1" applyProtection="1">
      <alignment horizontal="right" vertical="center"/>
      <protection locked="0"/>
    </xf>
    <xf numFmtId="164" fontId="70" fillId="13" borderId="28" xfId="244" applyFont="1" applyFill="1" applyBorder="1" applyAlignment="1">
      <alignment vertical="center"/>
    </xf>
    <xf numFmtId="43" fontId="70" fillId="13" borderId="28" xfId="454" applyFont="1" applyFill="1" applyBorder="1" applyAlignment="1">
      <alignment vertical="center"/>
    </xf>
    <xf numFmtId="43" fontId="70" fillId="13" borderId="33" xfId="0" applyNumberFormat="1" applyFont="1" applyFill="1" applyBorder="1" applyAlignment="1" applyProtection="1">
      <alignment horizontal="right" vertical="center"/>
      <protection locked="0"/>
    </xf>
    <xf numFmtId="0" fontId="71" fillId="13" borderId="56" xfId="873" applyFont="1" applyFill="1" applyBorder="1" applyAlignment="1">
      <alignment horizontal="left" vertical="center"/>
    </xf>
    <xf numFmtId="0" fontId="70" fillId="13" borderId="69" xfId="873" applyFont="1" applyFill="1" applyBorder="1" applyAlignment="1">
      <alignment horizontal="left" vertical="center"/>
    </xf>
    <xf numFmtId="43" fontId="70" fillId="13" borderId="9" xfId="0" applyNumberFormat="1" applyFont="1" applyFill="1" applyBorder="1" applyAlignment="1" applyProtection="1">
      <alignment horizontal="right" vertical="center"/>
      <protection locked="0"/>
    </xf>
    <xf numFmtId="43" fontId="70" fillId="13" borderId="55" xfId="0" applyNumberFormat="1" applyFont="1" applyFill="1" applyBorder="1" applyAlignment="1" applyProtection="1">
      <alignment horizontal="right" vertical="center"/>
      <protection locked="0"/>
    </xf>
    <xf numFmtId="43" fontId="70" fillId="13" borderId="55" xfId="454" applyFont="1" applyFill="1" applyBorder="1" applyAlignment="1">
      <alignment vertical="center"/>
    </xf>
    <xf numFmtId="0" fontId="71" fillId="13" borderId="67" xfId="873" applyFont="1" applyFill="1" applyBorder="1" applyAlignment="1">
      <alignment horizontal="center" vertical="center"/>
    </xf>
    <xf numFmtId="164" fontId="70" fillId="13" borderId="54" xfId="1446" applyFont="1" applyFill="1" applyBorder="1" applyAlignment="1">
      <alignment vertical="center"/>
    </xf>
    <xf numFmtId="0" fontId="71" fillId="13" borderId="59" xfId="873" applyFont="1" applyFill="1" applyBorder="1" applyAlignment="1">
      <alignment horizontal="left" vertical="center"/>
    </xf>
    <xf numFmtId="0" fontId="71" fillId="13" borderId="58" xfId="873" applyFont="1" applyFill="1" applyBorder="1" applyAlignment="1">
      <alignment horizontal="left" vertical="center"/>
    </xf>
    <xf numFmtId="0" fontId="70" fillId="13" borderId="50" xfId="954" applyFont="1" applyFill="1" applyBorder="1" applyAlignment="1">
      <alignment horizontal="center" vertical="center"/>
    </xf>
    <xf numFmtId="164" fontId="70" fillId="13" borderId="8" xfId="1446" applyFont="1" applyFill="1" applyBorder="1" applyAlignment="1">
      <alignment vertical="center"/>
    </xf>
    <xf numFmtId="164" fontId="71" fillId="13" borderId="0" xfId="1446" applyFont="1" applyFill="1" applyBorder="1" applyAlignment="1">
      <alignment vertical="center"/>
    </xf>
    <xf numFmtId="0" fontId="70" fillId="13" borderId="58" xfId="954" applyFont="1" applyFill="1" applyBorder="1" applyAlignment="1">
      <alignment horizontal="center" vertical="center"/>
    </xf>
    <xf numFmtId="164" fontId="70" fillId="13" borderId="11" xfId="244" applyFont="1" applyFill="1" applyBorder="1"/>
    <xf numFmtId="164" fontId="70" fillId="13" borderId="0" xfId="244" applyFont="1" applyFill="1" applyBorder="1"/>
    <xf numFmtId="0" fontId="70" fillId="13" borderId="0" xfId="1446" applyNumberFormat="1" applyFont="1" applyFill="1" applyAlignment="1">
      <alignment horizontal="left" vertical="center"/>
    </xf>
    <xf numFmtId="0" fontId="70" fillId="13" borderId="61" xfId="956" applyFont="1" applyFill="1" applyBorder="1" applyAlignment="1">
      <alignment vertical="center"/>
    </xf>
    <xf numFmtId="164" fontId="70" fillId="13" borderId="11" xfId="1446" applyFont="1" applyFill="1" applyBorder="1" applyAlignment="1">
      <alignment horizontal="center" wrapText="1"/>
    </xf>
    <xf numFmtId="0" fontId="70" fillId="13" borderId="11" xfId="954" applyFont="1" applyFill="1" applyBorder="1" applyAlignment="1">
      <alignment horizontal="center"/>
    </xf>
    <xf numFmtId="43" fontId="70" fillId="13" borderId="11" xfId="455" applyFont="1" applyFill="1" applyBorder="1" applyAlignment="1">
      <alignment vertical="center"/>
    </xf>
    <xf numFmtId="0" fontId="71" fillId="13" borderId="0" xfId="954" applyFont="1" applyFill="1" applyAlignment="1">
      <alignment horizontal="center" vertical="center"/>
    </xf>
    <xf numFmtId="0" fontId="70" fillId="13" borderId="0" xfId="873" applyFont="1" applyFill="1" applyAlignment="1">
      <alignment vertical="center"/>
    </xf>
    <xf numFmtId="0" fontId="70" fillId="13" borderId="0" xfId="244" applyNumberFormat="1" applyFont="1" applyFill="1" applyAlignment="1">
      <alignment vertical="center"/>
    </xf>
    <xf numFmtId="0" fontId="71" fillId="13" borderId="56" xfId="954" applyFont="1" applyFill="1" applyBorder="1" applyAlignment="1">
      <alignment horizontal="left" vertical="center"/>
    </xf>
    <xf numFmtId="0" fontId="71" fillId="13" borderId="0" xfId="1446" applyNumberFormat="1" applyFont="1" applyFill="1" applyBorder="1" applyAlignment="1">
      <alignment horizontal="left" vertical="center"/>
    </xf>
    <xf numFmtId="0" fontId="70" fillId="13" borderId="59" xfId="954" applyFont="1" applyFill="1" applyBorder="1" applyAlignment="1">
      <alignment horizontal="center" vertical="center"/>
    </xf>
    <xf numFmtId="164" fontId="70" fillId="13" borderId="28" xfId="1446" applyFont="1" applyFill="1" applyBorder="1" applyAlignment="1">
      <alignment horizontal="center" vertical="top" wrapText="1"/>
    </xf>
    <xf numFmtId="0" fontId="70" fillId="13" borderId="28" xfId="947" applyFont="1" applyFill="1" applyBorder="1" applyAlignment="1">
      <alignment horizontal="center"/>
    </xf>
    <xf numFmtId="43" fontId="70" fillId="13" borderId="28" xfId="484" applyFont="1" applyFill="1" applyBorder="1" applyAlignment="1">
      <alignment horizontal="center"/>
    </xf>
    <xf numFmtId="43" fontId="70" fillId="13" borderId="28" xfId="484" applyFont="1" applyFill="1" applyBorder="1" applyAlignment="1">
      <alignment vertical="center"/>
    </xf>
    <xf numFmtId="164" fontId="70" fillId="13" borderId="52" xfId="244" applyFont="1" applyFill="1" applyBorder="1" applyAlignment="1">
      <alignment vertical="center"/>
    </xf>
    <xf numFmtId="0" fontId="70" fillId="13" borderId="0" xfId="244" applyNumberFormat="1" applyFont="1" applyFill="1" applyBorder="1" applyAlignment="1">
      <alignment vertical="center"/>
    </xf>
    <xf numFmtId="0" fontId="70" fillId="13" borderId="0" xfId="954" applyFont="1" applyFill="1" applyAlignment="1">
      <alignment horizontal="center" vertical="center"/>
    </xf>
    <xf numFmtId="0" fontId="70" fillId="13" borderId="0" xfId="854" applyFont="1" applyFill="1" applyAlignment="1">
      <alignment vertical="center"/>
    </xf>
    <xf numFmtId="0" fontId="70" fillId="13" borderId="20" xfId="954" applyFont="1" applyFill="1" applyBorder="1" applyAlignment="1">
      <alignment horizontal="center" vertical="center"/>
    </xf>
    <xf numFmtId="0" fontId="70" fillId="13" borderId="60" xfId="873" applyFont="1" applyFill="1" applyBorder="1" applyAlignment="1">
      <alignment horizontal="center" vertical="center"/>
    </xf>
    <xf numFmtId="0" fontId="70" fillId="13" borderId="86" xfId="873" applyFont="1" applyFill="1" applyBorder="1" applyAlignment="1">
      <alignment horizontal="left" vertical="center"/>
    </xf>
    <xf numFmtId="164" fontId="70" fillId="13" borderId="20" xfId="1446" applyFont="1" applyFill="1" applyBorder="1" applyAlignment="1">
      <alignment horizontal="center" vertical="center"/>
    </xf>
    <xf numFmtId="164" fontId="70" fillId="13" borderId="20" xfId="244" applyFont="1" applyFill="1" applyBorder="1" applyAlignment="1">
      <alignment horizontal="center" vertical="center"/>
    </xf>
    <xf numFmtId="164" fontId="70" fillId="13" borderId="20" xfId="244" applyFont="1" applyFill="1" applyBorder="1" applyAlignment="1">
      <alignment vertical="center"/>
    </xf>
    <xf numFmtId="164" fontId="70" fillId="13" borderId="20" xfId="1446" applyFont="1" applyFill="1" applyBorder="1" applyAlignment="1">
      <alignment vertical="center"/>
    </xf>
    <xf numFmtId="43" fontId="70" fillId="13" borderId="20" xfId="454" applyFont="1" applyFill="1" applyBorder="1" applyAlignment="1">
      <alignment vertical="center"/>
    </xf>
    <xf numFmtId="164" fontId="70" fillId="13" borderId="86" xfId="1446" applyFont="1" applyFill="1" applyBorder="1" applyAlignment="1">
      <alignment vertical="center"/>
    </xf>
    <xf numFmtId="2" fontId="71" fillId="13" borderId="9" xfId="954" applyNumberFormat="1" applyFont="1" applyFill="1" applyBorder="1" applyAlignment="1">
      <alignment horizontal="center" vertical="center"/>
    </xf>
    <xf numFmtId="0" fontId="70" fillId="13" borderId="55" xfId="0" applyFont="1" applyFill="1" applyBorder="1"/>
    <xf numFmtId="192" fontId="70" fillId="13" borderId="0" xfId="954" applyNumberFormat="1" applyFont="1" applyFill="1"/>
    <xf numFmtId="164" fontId="70" fillId="13" borderId="11" xfId="1446" applyFont="1" applyFill="1" applyBorder="1" applyAlignment="1">
      <alignment horizontal="center" vertical="top" wrapText="1"/>
    </xf>
    <xf numFmtId="0" fontId="70" fillId="13" borderId="11" xfId="947" applyFont="1" applyFill="1" applyBorder="1" applyAlignment="1">
      <alignment horizontal="center"/>
    </xf>
    <xf numFmtId="43" fontId="70" fillId="13" borderId="11" xfId="484" applyFont="1" applyFill="1" applyBorder="1" applyAlignment="1">
      <alignment horizontal="center"/>
    </xf>
    <xf numFmtId="43" fontId="70" fillId="13" borderId="11" xfId="484" applyFont="1" applyFill="1" applyBorder="1" applyAlignment="1">
      <alignment vertical="center"/>
    </xf>
    <xf numFmtId="0" fontId="71" fillId="13" borderId="28" xfId="954" applyFont="1" applyFill="1" applyBorder="1" applyAlignment="1">
      <alignment horizontal="center" vertical="center"/>
    </xf>
    <xf numFmtId="0" fontId="70" fillId="13" borderId="93" xfId="956" applyFont="1" applyFill="1" applyBorder="1" applyAlignment="1">
      <alignment vertical="center"/>
    </xf>
    <xf numFmtId="164" fontId="70" fillId="13" borderId="28" xfId="1446" applyFont="1" applyFill="1" applyBorder="1" applyAlignment="1">
      <alignment horizontal="center" wrapText="1"/>
    </xf>
    <xf numFmtId="0" fontId="70" fillId="13" borderId="28" xfId="954" applyFont="1" applyFill="1" applyBorder="1" applyAlignment="1">
      <alignment horizontal="center"/>
    </xf>
    <xf numFmtId="43" fontId="70" fillId="13" borderId="28" xfId="455" applyFont="1" applyFill="1" applyBorder="1" applyAlignment="1">
      <alignment vertical="center"/>
    </xf>
    <xf numFmtId="164" fontId="70" fillId="13" borderId="52" xfId="1446" applyFont="1" applyFill="1" applyBorder="1" applyAlignment="1">
      <alignment vertical="center"/>
    </xf>
    <xf numFmtId="43" fontId="70" fillId="13" borderId="51" xfId="454" applyFont="1" applyFill="1" applyBorder="1" applyAlignment="1">
      <alignment vertical="center"/>
    </xf>
    <xf numFmtId="3" fontId="70" fillId="13" borderId="52" xfId="956" applyNumberFormat="1" applyFont="1" applyFill="1" applyBorder="1" applyAlignment="1">
      <alignment vertical="center"/>
    </xf>
    <xf numFmtId="3" fontId="70" fillId="13" borderId="51" xfId="956" applyNumberFormat="1" applyFont="1" applyFill="1" applyBorder="1" applyAlignment="1">
      <alignment vertical="top" wrapText="1"/>
    </xf>
    <xf numFmtId="164" fontId="70" fillId="13" borderId="0" xfId="1446" applyFont="1" applyFill="1" applyAlignment="1">
      <alignment vertical="top"/>
    </xf>
    <xf numFmtId="3" fontId="70" fillId="13" borderId="51" xfId="956" applyNumberFormat="1" applyFont="1" applyFill="1" applyBorder="1" applyAlignment="1">
      <alignment vertical="top"/>
    </xf>
    <xf numFmtId="164" fontId="70" fillId="13" borderId="11" xfId="1446" applyFont="1" applyFill="1" applyBorder="1" applyAlignment="1">
      <alignment horizontal="center" vertical="center" wrapText="1"/>
    </xf>
    <xf numFmtId="0" fontId="70" fillId="13" borderId="11" xfId="954" applyFont="1" applyFill="1" applyBorder="1" applyAlignment="1">
      <alignment horizontal="center" vertical="center" wrapText="1"/>
    </xf>
    <xf numFmtId="43" fontId="70" fillId="13" borderId="11" xfId="456" applyFont="1" applyFill="1" applyBorder="1" applyAlignment="1">
      <alignment vertical="center"/>
    </xf>
    <xf numFmtId="0" fontId="70" fillId="13" borderId="55" xfId="0" applyFont="1" applyFill="1" applyBorder="1" applyAlignment="1">
      <alignment horizontal="center"/>
    </xf>
    <xf numFmtId="3" fontId="70" fillId="13" borderId="8" xfId="956" applyNumberFormat="1" applyFont="1" applyFill="1" applyBorder="1" applyAlignment="1">
      <alignment vertical="center"/>
    </xf>
    <xf numFmtId="164" fontId="70" fillId="13" borderId="55" xfId="1446" applyFont="1" applyFill="1" applyBorder="1" applyAlignment="1">
      <alignment horizontal="center" vertical="center" wrapText="1"/>
    </xf>
    <xf numFmtId="0" fontId="70" fillId="13" borderId="55" xfId="954" applyFont="1" applyFill="1" applyBorder="1" applyAlignment="1">
      <alignment horizontal="center" vertical="center" wrapText="1"/>
    </xf>
    <xf numFmtId="43" fontId="70" fillId="13" borderId="55" xfId="456" applyFont="1" applyFill="1" applyBorder="1" applyAlignment="1">
      <alignment vertical="center"/>
    </xf>
    <xf numFmtId="0" fontId="71" fillId="13" borderId="85" xfId="0" applyFont="1" applyFill="1" applyBorder="1" applyAlignment="1">
      <alignment horizontal="center"/>
    </xf>
    <xf numFmtId="0" fontId="71" fillId="13" borderId="89" xfId="0" applyFont="1" applyFill="1" applyBorder="1"/>
    <xf numFmtId="164" fontId="71" fillId="13" borderId="88" xfId="1446" applyFont="1" applyFill="1" applyBorder="1" applyAlignment="1">
      <alignment horizontal="center"/>
    </xf>
    <xf numFmtId="164" fontId="71" fillId="13" borderId="85" xfId="1446" applyFont="1" applyFill="1" applyBorder="1" applyAlignment="1">
      <alignment horizontal="center"/>
    </xf>
    <xf numFmtId="164" fontId="71" fillId="13" borderId="85" xfId="1446" applyFont="1" applyFill="1" applyBorder="1"/>
    <xf numFmtId="164" fontId="71" fillId="13" borderId="0" xfId="1446" applyFont="1" applyFill="1" applyBorder="1"/>
    <xf numFmtId="0" fontId="70" fillId="13" borderId="7" xfId="0" applyFont="1" applyFill="1" applyBorder="1"/>
    <xf numFmtId="164" fontId="70" fillId="13" borderId="0" xfId="244" applyFont="1" applyFill="1" applyBorder="1" applyAlignment="1">
      <alignment horizontal="center" vertical="center"/>
    </xf>
    <xf numFmtId="164" fontId="70" fillId="13" borderId="7" xfId="244" applyFont="1" applyFill="1" applyBorder="1"/>
    <xf numFmtId="0" fontId="71" fillId="13" borderId="0" xfId="1446" applyNumberFormat="1" applyFont="1" applyFill="1" applyBorder="1"/>
    <xf numFmtId="0" fontId="71" fillId="13" borderId="0" xfId="873" applyFont="1" applyFill="1" applyAlignment="1">
      <alignment horizontal="left" vertical="center" wrapText="1"/>
    </xf>
    <xf numFmtId="43" fontId="70" fillId="13" borderId="0" xfId="454" applyFont="1" applyFill="1" applyBorder="1" applyAlignment="1"/>
    <xf numFmtId="43" fontId="70" fillId="13" borderId="0" xfId="454" applyFont="1" applyFill="1" applyBorder="1" applyAlignment="1">
      <alignment horizontal="left"/>
    </xf>
    <xf numFmtId="0" fontId="70" fillId="13" borderId="0" xfId="954" applyFont="1" applyFill="1" applyAlignment="1">
      <alignment vertical="center"/>
    </xf>
    <xf numFmtId="43" fontId="70" fillId="13" borderId="0" xfId="454" applyFont="1" applyFill="1" applyAlignment="1">
      <alignment horizontal="left" vertical="center"/>
    </xf>
    <xf numFmtId="0" fontId="71" fillId="13" borderId="0" xfId="873" applyFont="1" applyFill="1" applyAlignment="1">
      <alignment vertical="top" wrapText="1"/>
    </xf>
    <xf numFmtId="43" fontId="70" fillId="13" borderId="0" xfId="454" applyFont="1" applyFill="1" applyAlignment="1">
      <alignment vertical="center"/>
    </xf>
    <xf numFmtId="164" fontId="70" fillId="13" borderId="0" xfId="1446" applyFont="1" applyFill="1" applyBorder="1"/>
    <xf numFmtId="0" fontId="88" fillId="13" borderId="0" xfId="1474" applyNumberFormat="1" applyFont="1" applyFill="1" applyAlignment="1">
      <alignment vertical="center"/>
    </xf>
    <xf numFmtId="0" fontId="88" fillId="13" borderId="0" xfId="1473" applyFont="1" applyFill="1"/>
    <xf numFmtId="0" fontId="86" fillId="13" borderId="0" xfId="1473" applyFont="1" applyFill="1" applyAlignment="1">
      <alignment vertical="center"/>
    </xf>
    <xf numFmtId="0" fontId="86" fillId="13" borderId="0" xfId="1473" applyFont="1" applyFill="1" applyAlignment="1">
      <alignment horizontal="left"/>
    </xf>
    <xf numFmtId="164" fontId="86" fillId="13" borderId="0" xfId="1446" applyFont="1" applyFill="1" applyAlignment="1">
      <alignment vertical="center"/>
    </xf>
    <xf numFmtId="0" fontId="86" fillId="13" borderId="0" xfId="1473" applyFont="1" applyFill="1" applyAlignment="1">
      <alignment horizontal="center" vertical="center"/>
    </xf>
    <xf numFmtId="164" fontId="86" fillId="13" borderId="0" xfId="1474" applyFont="1" applyFill="1" applyAlignment="1">
      <alignment vertical="center"/>
    </xf>
    <xf numFmtId="0" fontId="86" fillId="13" borderId="0" xfId="1473" applyFont="1" applyFill="1" applyAlignment="1">
      <alignment horizontal="left" vertical="center" indent="1"/>
    </xf>
    <xf numFmtId="0" fontId="86" fillId="13" borderId="0" xfId="1473" applyFont="1" applyFill="1" applyAlignment="1">
      <alignment horizontal="left" vertical="center"/>
    </xf>
    <xf numFmtId="0" fontId="86" fillId="13" borderId="0" xfId="1473" applyFont="1" applyFill="1" applyAlignment="1">
      <alignment vertical="top"/>
    </xf>
    <xf numFmtId="0" fontId="86" fillId="13" borderId="0" xfId="1473" applyFont="1" applyFill="1" applyAlignment="1">
      <alignment horizontal="left" vertical="top"/>
    </xf>
    <xf numFmtId="164" fontId="86" fillId="13" borderId="0" xfId="1446" applyFont="1" applyFill="1" applyAlignment="1">
      <alignment vertical="top"/>
    </xf>
    <xf numFmtId="168" fontId="86" fillId="13" borderId="0" xfId="1473" applyNumberFormat="1" applyFont="1" applyFill="1" applyAlignment="1">
      <alignment vertical="top"/>
    </xf>
    <xf numFmtId="168" fontId="86" fillId="13" borderId="0" xfId="1473" applyNumberFormat="1" applyFont="1" applyFill="1" applyAlignment="1">
      <alignment horizontal="right" vertical="top"/>
    </xf>
    <xf numFmtId="164" fontId="86" fillId="13" borderId="0" xfId="1474" applyFont="1" applyFill="1" applyAlignment="1">
      <alignment vertical="top"/>
    </xf>
    <xf numFmtId="0" fontId="86" fillId="13" borderId="0" xfId="1473" applyFont="1" applyFill="1" applyAlignment="1">
      <alignment horizontal="left" vertical="top" indent="1"/>
    </xf>
    <xf numFmtId="168" fontId="86" fillId="13" borderId="0" xfId="1473" applyNumberFormat="1" applyFont="1" applyFill="1" applyAlignment="1">
      <alignment horizontal="left" vertical="top" indent="2"/>
    </xf>
    <xf numFmtId="0" fontId="86" fillId="13" borderId="0" xfId="1473" applyFont="1" applyFill="1" applyAlignment="1">
      <alignment horizontal="center" vertical="top"/>
    </xf>
    <xf numFmtId="0" fontId="86" fillId="13" borderId="0" xfId="1481" applyFont="1" applyFill="1"/>
    <xf numFmtId="164" fontId="86" fillId="13" borderId="0" xfId="1446" applyFont="1" applyFill="1" applyBorder="1" applyAlignment="1">
      <alignment horizontal="center" vertical="top"/>
    </xf>
    <xf numFmtId="164" fontId="86" fillId="13" borderId="0" xfId="1474" applyFont="1" applyFill="1" applyBorder="1" applyAlignment="1"/>
    <xf numFmtId="0" fontId="86" fillId="13" borderId="0" xfId="1474" applyNumberFormat="1" applyFont="1" applyFill="1" applyBorder="1" applyAlignment="1"/>
    <xf numFmtId="0" fontId="88" fillId="13" borderId="0" xfId="1481" applyFont="1" applyFill="1" applyAlignment="1">
      <alignment vertical="center"/>
    </xf>
    <xf numFmtId="0" fontId="88" fillId="13" borderId="0" xfId="1481" applyFont="1" applyFill="1" applyAlignment="1">
      <alignment horizontal="center" vertical="center"/>
    </xf>
    <xf numFmtId="0" fontId="85" fillId="13" borderId="0" xfId="1473" applyFont="1" applyFill="1" applyAlignment="1">
      <alignment horizontal="center" vertical="center"/>
    </xf>
    <xf numFmtId="0" fontId="85" fillId="13" borderId="0" xfId="1481" applyFont="1" applyFill="1" applyAlignment="1">
      <alignment vertical="center"/>
    </xf>
    <xf numFmtId="0" fontId="86" fillId="13" borderId="0" xfId="1481" applyFont="1" applyFill="1" applyAlignment="1">
      <alignment vertical="center"/>
    </xf>
    <xf numFmtId="0" fontId="86" fillId="13" borderId="0" xfId="1481" applyFont="1" applyFill="1" applyAlignment="1">
      <alignment vertical="top"/>
    </xf>
    <xf numFmtId="0" fontId="86" fillId="13" borderId="98" xfId="1473" applyFont="1" applyFill="1" applyBorder="1" applyAlignment="1">
      <alignment horizontal="center" vertical="center"/>
    </xf>
    <xf numFmtId="0" fontId="86" fillId="13" borderId="98" xfId="1481" applyFont="1" applyFill="1" applyBorder="1" applyAlignment="1">
      <alignment horizontal="center" vertical="center"/>
    </xf>
    <xf numFmtId="0" fontId="86" fillId="13" borderId="98" xfId="1481" applyFont="1" applyFill="1" applyBorder="1" applyAlignment="1">
      <alignment horizontal="left" vertical="center"/>
    </xf>
    <xf numFmtId="164" fontId="86" fillId="13" borderId="98" xfId="1446" applyFont="1" applyFill="1" applyBorder="1" applyAlignment="1">
      <alignment horizontal="center" vertical="center"/>
    </xf>
    <xf numFmtId="43" fontId="86" fillId="13" borderId="98" xfId="1478" applyFont="1" applyFill="1" applyBorder="1" applyAlignment="1">
      <alignment horizontal="center" vertical="center"/>
    </xf>
    <xf numFmtId="164" fontId="86" fillId="13" borderId="98" xfId="1474" applyFont="1" applyFill="1" applyBorder="1" applyAlignment="1">
      <alignment vertical="center"/>
    </xf>
    <xf numFmtId="43" fontId="86" fillId="13" borderId="98" xfId="1478" applyFont="1" applyFill="1" applyBorder="1" applyAlignment="1">
      <alignment vertical="center"/>
    </xf>
    <xf numFmtId="164" fontId="86" fillId="13" borderId="0" xfId="1474" applyFont="1" applyFill="1" applyBorder="1" applyAlignment="1">
      <alignment vertical="center"/>
    </xf>
    <xf numFmtId="43" fontId="86" fillId="13" borderId="0" xfId="1478" applyFont="1" applyFill="1" applyBorder="1" applyAlignment="1">
      <alignment vertical="center"/>
    </xf>
    <xf numFmtId="0" fontId="86" fillId="13" borderId="0" xfId="854" applyFont="1" applyFill="1"/>
    <xf numFmtId="0" fontId="86" fillId="13" borderId="0" xfId="854" applyFont="1" applyFill="1" applyAlignment="1">
      <alignment vertical="top"/>
    </xf>
    <xf numFmtId="0" fontId="86" fillId="13" borderId="0" xfId="1481" applyFont="1" applyFill="1" applyAlignment="1">
      <alignment horizontal="center" vertical="center"/>
    </xf>
    <xf numFmtId="0" fontId="86" fillId="13" borderId="0" xfId="854" applyFont="1" applyFill="1" applyAlignment="1">
      <alignment vertical="center"/>
    </xf>
    <xf numFmtId="0" fontId="86" fillId="13" borderId="0" xfId="0" applyFont="1" applyFill="1" applyAlignment="1">
      <alignment horizontal="left" vertical="center"/>
    </xf>
    <xf numFmtId="0" fontId="86" fillId="13" borderId="9" xfId="1473" applyFont="1" applyFill="1" applyBorder="1" applyAlignment="1">
      <alignment horizontal="center" vertical="center"/>
    </xf>
    <xf numFmtId="0" fontId="86" fillId="13" borderId="50" xfId="1473" applyFont="1" applyFill="1" applyBorder="1" applyAlignment="1">
      <alignment horizontal="center" vertical="center"/>
    </xf>
    <xf numFmtId="0" fontId="86" fillId="13" borderId="8" xfId="1477" applyFont="1" applyFill="1" applyBorder="1" applyAlignment="1">
      <alignment vertical="center"/>
    </xf>
    <xf numFmtId="164" fontId="86" fillId="13" borderId="55" xfId="1446" applyFont="1" applyFill="1" applyBorder="1" applyAlignment="1">
      <alignment horizontal="center" wrapText="1"/>
    </xf>
    <xf numFmtId="0" fontId="86" fillId="13" borderId="55" xfId="1473" applyFont="1" applyFill="1" applyBorder="1" applyAlignment="1">
      <alignment horizontal="center"/>
    </xf>
    <xf numFmtId="43" fontId="86" fillId="13" borderId="55" xfId="455" applyFont="1" applyFill="1" applyBorder="1" applyAlignment="1">
      <alignment vertical="center"/>
    </xf>
    <xf numFmtId="164" fontId="86" fillId="13" borderId="55" xfId="1446" applyFont="1" applyFill="1" applyBorder="1" applyAlignment="1">
      <alignment vertical="center"/>
    </xf>
    <xf numFmtId="43" fontId="86" fillId="13" borderId="55" xfId="1478" applyFont="1" applyFill="1" applyBorder="1" applyAlignment="1">
      <alignment vertical="center"/>
    </xf>
    <xf numFmtId="0" fontId="86" fillId="13" borderId="0" xfId="1446" applyNumberFormat="1" applyFont="1" applyFill="1" applyBorder="1" applyAlignment="1">
      <alignment horizontal="left" vertical="center"/>
    </xf>
    <xf numFmtId="0" fontId="85" fillId="13" borderId="12" xfId="1473" applyFont="1" applyFill="1" applyBorder="1" applyAlignment="1">
      <alignment horizontal="center" vertical="center"/>
    </xf>
    <xf numFmtId="0" fontId="85" fillId="13" borderId="67" xfId="1481" applyFont="1" applyFill="1" applyBorder="1" applyAlignment="1">
      <alignment horizontal="center" vertical="center"/>
    </xf>
    <xf numFmtId="0" fontId="85" fillId="13" borderId="65" xfId="1481" applyFont="1" applyFill="1" applyBorder="1" applyAlignment="1">
      <alignment horizontal="center" vertical="center"/>
    </xf>
    <xf numFmtId="164" fontId="85" fillId="13" borderId="12" xfId="1446" applyFont="1" applyFill="1" applyBorder="1" applyAlignment="1">
      <alignment horizontal="center" vertical="center"/>
    </xf>
    <xf numFmtId="43" fontId="85" fillId="13" borderId="12" xfId="1478" applyFont="1" applyFill="1" applyBorder="1" applyAlignment="1">
      <alignment horizontal="center" vertical="center"/>
    </xf>
    <xf numFmtId="164" fontId="85" fillId="13" borderId="12" xfId="1474" applyFont="1" applyFill="1" applyBorder="1" applyAlignment="1">
      <alignment vertical="center"/>
    </xf>
    <xf numFmtId="0" fontId="85" fillId="13" borderId="0" xfId="1474" applyNumberFormat="1" applyFont="1" applyFill="1" applyBorder="1" applyAlignment="1">
      <alignment vertical="center"/>
    </xf>
    <xf numFmtId="0" fontId="85" fillId="13" borderId="9" xfId="1473" applyFont="1" applyFill="1" applyBorder="1" applyAlignment="1">
      <alignment horizontal="center" vertical="center"/>
    </xf>
    <xf numFmtId="164" fontId="85" fillId="13" borderId="9" xfId="1446" applyFont="1" applyFill="1" applyBorder="1" applyAlignment="1">
      <alignment horizontal="center" vertical="center"/>
    </xf>
    <xf numFmtId="43" fontId="85" fillId="13" borderId="9" xfId="1478" applyFont="1" applyFill="1" applyBorder="1" applyAlignment="1">
      <alignment horizontal="center" vertical="center"/>
    </xf>
    <xf numFmtId="164" fontId="85" fillId="13" borderId="9" xfId="1474" applyFont="1" applyFill="1" applyBorder="1" applyAlignment="1">
      <alignment vertical="center"/>
    </xf>
    <xf numFmtId="0" fontId="86" fillId="13" borderId="33" xfId="1473" applyFont="1" applyFill="1" applyBorder="1" applyAlignment="1">
      <alignment horizontal="center" vertical="center"/>
    </xf>
    <xf numFmtId="164" fontId="86" fillId="13" borderId="33" xfId="1446" applyFont="1" applyFill="1" applyBorder="1" applyAlignment="1">
      <alignment horizontal="center" vertical="center"/>
    </xf>
    <xf numFmtId="43" fontId="86" fillId="13" borderId="33" xfId="1478" applyFont="1" applyFill="1" applyBorder="1" applyAlignment="1">
      <alignment horizontal="center" vertical="center"/>
    </xf>
    <xf numFmtId="164" fontId="86" fillId="13" borderId="33" xfId="1474" applyFont="1" applyFill="1" applyBorder="1" applyAlignment="1">
      <alignment vertical="center"/>
    </xf>
    <xf numFmtId="43" fontId="86" fillId="13" borderId="33" xfId="1478" applyFont="1" applyFill="1" applyBorder="1" applyAlignment="1">
      <alignment vertical="center"/>
    </xf>
    <xf numFmtId="0" fontId="86" fillId="13" borderId="0" xfId="1474" applyNumberFormat="1" applyFont="1" applyFill="1" applyBorder="1" applyAlignment="1">
      <alignment vertical="center"/>
    </xf>
    <xf numFmtId="0" fontId="86" fillId="13" borderId="11" xfId="1473" applyFont="1" applyFill="1" applyBorder="1" applyAlignment="1">
      <alignment horizontal="center" vertical="center"/>
    </xf>
    <xf numFmtId="0" fontId="86" fillId="13" borderId="56" xfId="1481" applyFont="1" applyFill="1" applyBorder="1" applyAlignment="1">
      <alignment horizontal="center" vertical="center"/>
    </xf>
    <xf numFmtId="0" fontId="86" fillId="13" borderId="51" xfId="1481" applyFont="1" applyFill="1" applyBorder="1" applyAlignment="1">
      <alignment horizontal="left" vertical="center"/>
    </xf>
    <xf numFmtId="164" fontId="86" fillId="13" borderId="11" xfId="1474" applyFont="1" applyFill="1" applyBorder="1" applyAlignment="1">
      <alignment vertical="center"/>
    </xf>
    <xf numFmtId="43" fontId="86" fillId="13" borderId="11" xfId="1478" applyFont="1" applyFill="1" applyBorder="1" applyAlignment="1">
      <alignment vertical="center"/>
    </xf>
    <xf numFmtId="43" fontId="86" fillId="13" borderId="28" xfId="1478" applyFont="1" applyFill="1" applyBorder="1" applyAlignment="1">
      <alignment vertical="center"/>
    </xf>
    <xf numFmtId="164" fontId="86" fillId="13" borderId="11" xfId="1446" applyFont="1" applyFill="1" applyBorder="1" applyAlignment="1">
      <alignment horizontal="center" vertical="center"/>
    </xf>
    <xf numFmtId="43" fontId="86" fillId="13" borderId="11" xfId="1478" applyFont="1" applyFill="1" applyBorder="1" applyAlignment="1">
      <alignment horizontal="center" vertical="center"/>
    </xf>
    <xf numFmtId="0" fontId="86" fillId="13" borderId="11" xfId="1473" applyFont="1" applyFill="1" applyBorder="1" applyAlignment="1">
      <alignment horizontal="center" vertical="top"/>
    </xf>
    <xf numFmtId="0" fontId="86" fillId="13" borderId="56" xfId="1481" applyFont="1" applyFill="1" applyBorder="1" applyAlignment="1">
      <alignment horizontal="center" vertical="top"/>
    </xf>
    <xf numFmtId="0" fontId="86" fillId="13" borderId="51" xfId="1481" applyFont="1" applyFill="1" applyBorder="1" applyAlignment="1">
      <alignment horizontal="left" vertical="top" wrapText="1"/>
    </xf>
    <xf numFmtId="164" fontId="86" fillId="13" borderId="11" xfId="1446" applyFont="1" applyFill="1" applyBorder="1" applyAlignment="1">
      <alignment horizontal="center" vertical="top"/>
    </xf>
    <xf numFmtId="43" fontId="86" fillId="13" borderId="11" xfId="1478" applyFont="1" applyFill="1" applyBorder="1" applyAlignment="1">
      <alignment horizontal="center" vertical="top"/>
    </xf>
    <xf numFmtId="164" fontId="86" fillId="13" borderId="11" xfId="1474" applyFont="1" applyFill="1" applyBorder="1" applyAlignment="1">
      <alignment vertical="top"/>
    </xf>
    <xf numFmtId="43" fontId="86" fillId="13" borderId="11" xfId="1478" applyFont="1" applyFill="1" applyBorder="1" applyAlignment="1">
      <alignment vertical="top"/>
    </xf>
    <xf numFmtId="0" fontId="86" fillId="13" borderId="0" xfId="1446" applyNumberFormat="1" applyFont="1" applyFill="1" applyBorder="1" applyAlignment="1">
      <alignment horizontal="left" vertical="top"/>
    </xf>
    <xf numFmtId="0" fontId="86" fillId="13" borderId="51" xfId="1481" applyFont="1" applyFill="1" applyBorder="1" applyAlignment="1">
      <alignment horizontal="left" vertical="top"/>
    </xf>
    <xf numFmtId="164" fontId="86" fillId="13" borderId="33" xfId="1446" applyFont="1" applyFill="1" applyBorder="1" applyAlignment="1">
      <alignment horizontal="center" vertical="top"/>
    </xf>
    <xf numFmtId="43" fontId="86" fillId="13" borderId="33" xfId="1478" applyFont="1" applyFill="1" applyBorder="1" applyAlignment="1">
      <alignment horizontal="center" vertical="top"/>
    </xf>
    <xf numFmtId="164" fontId="86" fillId="13" borderId="33" xfId="1474" applyFont="1" applyFill="1" applyBorder="1" applyAlignment="1">
      <alignment vertical="top"/>
    </xf>
    <xf numFmtId="0" fontId="86" fillId="13" borderId="33" xfId="1473" applyFont="1" applyFill="1" applyBorder="1" applyAlignment="1">
      <alignment horizontal="center" vertical="top"/>
    </xf>
    <xf numFmtId="0" fontId="86" fillId="13" borderId="58" xfId="1481" applyFont="1" applyFill="1" applyBorder="1" applyAlignment="1">
      <alignment horizontal="center" vertical="top"/>
    </xf>
    <xf numFmtId="0" fontId="86" fillId="13" borderId="54" xfId="1481" applyFont="1" applyFill="1" applyBorder="1" applyAlignment="1">
      <alignment horizontal="left" vertical="top" wrapText="1"/>
    </xf>
    <xf numFmtId="4" fontId="86" fillId="13" borderId="11" xfId="455" applyNumberFormat="1" applyFont="1" applyFill="1" applyBorder="1" applyAlignment="1">
      <alignment horizontal="center" vertical="center"/>
    </xf>
    <xf numFmtId="4" fontId="86" fillId="13" borderId="56" xfId="1469" applyNumberFormat="1" applyFont="1" applyFill="1" applyBorder="1" applyAlignment="1" applyProtection="1">
      <alignment horizontal="center" vertical="center"/>
      <protection locked="0"/>
    </xf>
    <xf numFmtId="0" fontId="86" fillId="13" borderId="61" xfId="455" applyNumberFormat="1" applyFont="1" applyFill="1" applyBorder="1" applyAlignment="1">
      <alignment vertical="center"/>
    </xf>
    <xf numFmtId="164" fontId="86" fillId="13" borderId="11" xfId="1446" applyFont="1" applyFill="1" applyBorder="1" applyAlignment="1">
      <alignment horizontal="right" vertical="center"/>
    </xf>
    <xf numFmtId="164" fontId="86" fillId="13" borderId="11" xfId="1446" applyFont="1" applyFill="1" applyBorder="1" applyAlignment="1">
      <alignment vertical="center"/>
    </xf>
    <xf numFmtId="4" fontId="86" fillId="13" borderId="11" xfId="455" applyNumberFormat="1" applyFont="1" applyFill="1" applyBorder="1" applyAlignment="1">
      <alignment vertical="center"/>
    </xf>
    <xf numFmtId="4" fontId="86" fillId="13" borderId="55" xfId="455" applyNumberFormat="1" applyFont="1" applyFill="1" applyBorder="1" applyAlignment="1">
      <alignment horizontal="center" vertical="top"/>
    </xf>
    <xf numFmtId="4" fontId="86" fillId="13" borderId="59" xfId="1469" applyNumberFormat="1" applyFont="1" applyFill="1" applyBorder="1" applyAlignment="1" applyProtection="1">
      <alignment horizontal="center" vertical="top"/>
      <protection locked="0"/>
    </xf>
    <xf numFmtId="0" fontId="86" fillId="13" borderId="0" xfId="455" applyNumberFormat="1" applyFont="1" applyFill="1" applyBorder="1" applyAlignment="1">
      <alignment vertical="top" wrapText="1"/>
    </xf>
    <xf numFmtId="164" fontId="86" fillId="13" borderId="55" xfId="1446" applyFont="1" applyFill="1" applyBorder="1" applyAlignment="1">
      <alignment horizontal="right" vertical="top"/>
    </xf>
    <xf numFmtId="164" fontId="86" fillId="13" borderId="55" xfId="1446" applyFont="1" applyFill="1" applyBorder="1" applyAlignment="1">
      <alignment vertical="top"/>
    </xf>
    <xf numFmtId="4" fontId="86" fillId="13" borderId="55" xfId="455" applyNumberFormat="1" applyFont="1" applyFill="1" applyBorder="1" applyAlignment="1">
      <alignment vertical="top"/>
    </xf>
    <xf numFmtId="4" fontId="86" fillId="13" borderId="11" xfId="455" applyNumberFormat="1" applyFont="1" applyFill="1" applyBorder="1" applyAlignment="1">
      <alignment horizontal="center" vertical="top"/>
    </xf>
    <xf numFmtId="4" fontId="86" fillId="13" borderId="56" xfId="1469" applyNumberFormat="1" applyFont="1" applyFill="1" applyBorder="1" applyAlignment="1" applyProtection="1">
      <alignment horizontal="center" vertical="top"/>
      <protection locked="0"/>
    </xf>
    <xf numFmtId="0" fontId="86" fillId="13" borderId="61" xfId="455" applyNumberFormat="1" applyFont="1" applyFill="1" applyBorder="1" applyAlignment="1">
      <alignment vertical="top" wrapText="1"/>
    </xf>
    <xf numFmtId="164" fontId="86" fillId="13" borderId="11" xfId="1446" applyFont="1" applyFill="1" applyBorder="1" applyAlignment="1">
      <alignment horizontal="right" vertical="top"/>
    </xf>
    <xf numFmtId="164" fontId="86" fillId="13" borderId="11" xfId="1446" applyFont="1" applyFill="1" applyBorder="1" applyAlignment="1">
      <alignment vertical="top"/>
    </xf>
    <xf numFmtId="4" fontId="86" fillId="13" borderId="11" xfId="455" applyNumberFormat="1" applyFont="1" applyFill="1" applyBorder="1" applyAlignment="1">
      <alignment vertical="top"/>
    </xf>
    <xf numFmtId="4" fontId="86" fillId="13" borderId="33" xfId="455" applyNumberFormat="1" applyFont="1" applyFill="1" applyBorder="1" applyAlignment="1">
      <alignment horizontal="center" vertical="top"/>
    </xf>
    <xf numFmtId="4" fontId="86" fillId="13" borderId="58" xfId="1469" applyNumberFormat="1" applyFont="1" applyFill="1" applyBorder="1" applyAlignment="1" applyProtection="1">
      <alignment horizontal="center" vertical="top"/>
      <protection locked="0"/>
    </xf>
    <xf numFmtId="0" fontId="86" fillId="13" borderId="1" xfId="455" applyNumberFormat="1" applyFont="1" applyFill="1" applyBorder="1" applyAlignment="1">
      <alignment vertical="top" wrapText="1"/>
    </xf>
    <xf numFmtId="164" fontId="86" fillId="13" borderId="33" xfId="1446" applyFont="1" applyFill="1" applyBorder="1" applyAlignment="1">
      <alignment horizontal="right" vertical="top"/>
    </xf>
    <xf numFmtId="164" fontId="86" fillId="13" borderId="33" xfId="1446" applyFont="1" applyFill="1" applyBorder="1" applyAlignment="1">
      <alignment vertical="top"/>
    </xf>
    <xf numFmtId="4" fontId="86" fillId="13" borderId="33" xfId="455" applyNumberFormat="1" applyFont="1" applyFill="1" applyBorder="1" applyAlignment="1">
      <alignment vertical="top"/>
    </xf>
    <xf numFmtId="164" fontId="86" fillId="13" borderId="33" xfId="1446" applyFont="1" applyFill="1" applyBorder="1" applyAlignment="1">
      <alignment vertical="center"/>
    </xf>
    <xf numFmtId="0" fontId="86" fillId="13" borderId="0" xfId="1474" applyNumberFormat="1" applyFont="1" applyFill="1" applyBorder="1" applyAlignment="1">
      <alignment horizontal="center"/>
    </xf>
    <xf numFmtId="0" fontId="86" fillId="13" borderId="0" xfId="0" applyFont="1" applyFill="1"/>
    <xf numFmtId="0" fontId="85" fillId="13" borderId="28" xfId="1473" applyFont="1" applyFill="1" applyBorder="1" applyAlignment="1">
      <alignment horizontal="center" vertical="center"/>
    </xf>
    <xf numFmtId="0" fontId="86" fillId="13" borderId="59" xfId="874" applyFont="1" applyFill="1" applyBorder="1" applyAlignment="1">
      <alignment horizontal="left" vertical="center"/>
    </xf>
    <xf numFmtId="0" fontId="86" fillId="13" borderId="52" xfId="874" quotePrefix="1" applyFont="1" applyFill="1" applyBorder="1" applyAlignment="1">
      <alignment horizontal="left" vertical="center"/>
    </xf>
    <xf numFmtId="164" fontId="86" fillId="13" borderId="28" xfId="1446" applyFont="1" applyFill="1" applyBorder="1" applyAlignment="1">
      <alignment horizontal="center" vertical="center"/>
    </xf>
    <xf numFmtId="43" fontId="86" fillId="13" borderId="28" xfId="455" applyFont="1" applyFill="1" applyBorder="1" applyAlignment="1">
      <alignment horizontal="center" vertical="center"/>
    </xf>
    <xf numFmtId="43" fontId="86" fillId="13" borderId="28" xfId="261" applyFont="1" applyFill="1" applyBorder="1" applyAlignment="1">
      <alignment vertical="center"/>
    </xf>
    <xf numFmtId="43" fontId="86" fillId="13" borderId="96" xfId="261" applyFont="1" applyFill="1" applyBorder="1" applyAlignment="1">
      <alignment horizontal="center" vertical="center"/>
    </xf>
    <xf numFmtId="0" fontId="85" fillId="13" borderId="33" xfId="455" applyNumberFormat="1" applyFont="1" applyFill="1" applyBorder="1" applyAlignment="1">
      <alignment horizontal="center" vertical="center"/>
    </xf>
    <xf numFmtId="0" fontId="86" fillId="13" borderId="58" xfId="1468" applyFont="1" applyFill="1" applyBorder="1" applyAlignment="1" applyProtection="1">
      <alignment horizontal="left" vertical="center"/>
      <protection locked="0"/>
    </xf>
    <xf numFmtId="0" fontId="86" fillId="13" borderId="54" xfId="455" applyNumberFormat="1" applyFont="1" applyFill="1" applyBorder="1" applyAlignment="1">
      <alignment vertical="center"/>
    </xf>
    <xf numFmtId="43" fontId="86" fillId="13" borderId="33" xfId="455" applyFont="1" applyFill="1" applyBorder="1" applyAlignment="1">
      <alignment horizontal="center" vertical="center"/>
    </xf>
    <xf numFmtId="43" fontId="86" fillId="13" borderId="33" xfId="455" applyFont="1" applyFill="1" applyBorder="1" applyAlignment="1">
      <alignment vertical="center"/>
    </xf>
    <xf numFmtId="0" fontId="85" fillId="13" borderId="11" xfId="1473" applyFont="1" applyFill="1" applyBorder="1" applyAlignment="1">
      <alignment horizontal="center" vertical="center"/>
    </xf>
    <xf numFmtId="0" fontId="86" fillId="13" borderId="56" xfId="874" applyFont="1" applyFill="1" applyBorder="1" applyAlignment="1">
      <alignment horizontal="left" vertical="center"/>
    </xf>
    <xf numFmtId="0" fontId="86" fillId="13" borderId="51" xfId="874" quotePrefix="1" applyFont="1" applyFill="1" applyBorder="1" applyAlignment="1">
      <alignment horizontal="left" vertical="center"/>
    </xf>
    <xf numFmtId="43" fontId="86" fillId="13" borderId="11" xfId="455" applyFont="1" applyFill="1" applyBorder="1" applyAlignment="1">
      <alignment horizontal="center" vertical="center"/>
    </xf>
    <xf numFmtId="43" fontId="86" fillId="13" borderId="11" xfId="261" applyFont="1" applyFill="1" applyBorder="1" applyAlignment="1">
      <alignment vertical="center"/>
    </xf>
    <xf numFmtId="43" fontId="86" fillId="13" borderId="87" xfId="261" applyFont="1" applyFill="1" applyBorder="1" applyAlignment="1">
      <alignment horizontal="center" vertical="center"/>
    </xf>
    <xf numFmtId="0" fontId="86" fillId="13" borderId="11" xfId="874" applyFont="1" applyFill="1" applyBorder="1" applyAlignment="1">
      <alignment vertical="center"/>
    </xf>
    <xf numFmtId="0" fontId="85" fillId="13" borderId="11" xfId="455" applyNumberFormat="1" applyFont="1" applyFill="1" applyBorder="1" applyAlignment="1">
      <alignment horizontal="center" vertical="center"/>
    </xf>
    <xf numFmtId="0" fontId="86" fillId="13" borderId="56" xfId="1468" applyFont="1" applyFill="1" applyBorder="1" applyAlignment="1" applyProtection="1">
      <alignment horizontal="left" vertical="center"/>
      <protection locked="0"/>
    </xf>
    <xf numFmtId="0" fontId="86" fillId="13" borderId="51" xfId="455" applyNumberFormat="1" applyFont="1" applyFill="1" applyBorder="1" applyAlignment="1">
      <alignment vertical="center"/>
    </xf>
    <xf numFmtId="43" fontId="86" fillId="13" borderId="11" xfId="455" applyFont="1" applyFill="1" applyBorder="1" applyAlignment="1">
      <alignment vertical="center"/>
    </xf>
    <xf numFmtId="0" fontId="86" fillId="13" borderId="0" xfId="874" applyFont="1" applyFill="1" applyAlignment="1">
      <alignment vertical="center"/>
    </xf>
    <xf numFmtId="0" fontId="85" fillId="13" borderId="11" xfId="854" applyFont="1" applyFill="1" applyBorder="1"/>
    <xf numFmtId="0" fontId="85" fillId="13" borderId="11" xfId="874" applyFont="1" applyFill="1" applyBorder="1" applyAlignment="1">
      <alignment vertical="center"/>
    </xf>
    <xf numFmtId="0" fontId="86" fillId="13" borderId="11" xfId="854" applyFont="1" applyFill="1" applyBorder="1"/>
    <xf numFmtId="0" fontId="86" fillId="13" borderId="51" xfId="1477" applyFont="1" applyFill="1" applyBorder="1" applyAlignment="1">
      <alignment vertical="center"/>
    </xf>
    <xf numFmtId="164" fontId="86" fillId="13" borderId="11" xfId="1446" applyFont="1" applyFill="1" applyBorder="1" applyAlignment="1">
      <alignment horizontal="center" vertical="top" wrapText="1"/>
    </xf>
    <xf numFmtId="164" fontId="86" fillId="13" borderId="11" xfId="1446" applyFont="1" applyFill="1" applyBorder="1" applyAlignment="1">
      <alignment horizontal="center" vertical="center" shrinkToFit="1"/>
    </xf>
    <xf numFmtId="164" fontId="86" fillId="13" borderId="11" xfId="1446" applyFont="1" applyFill="1" applyBorder="1" applyAlignment="1">
      <alignment horizontal="center" shrinkToFit="1"/>
    </xf>
    <xf numFmtId="164" fontId="86" fillId="13" borderId="11" xfId="1446" applyFont="1" applyFill="1" applyBorder="1" applyAlignment="1">
      <alignment shrinkToFit="1"/>
    </xf>
    <xf numFmtId="167" fontId="85" fillId="13" borderId="11" xfId="455" applyNumberFormat="1" applyFont="1" applyFill="1" applyBorder="1" applyAlignment="1">
      <alignment horizontal="center"/>
    </xf>
    <xf numFmtId="0" fontId="86" fillId="13" borderId="56" xfId="1469" applyFont="1" applyFill="1" applyBorder="1" applyAlignment="1" applyProtection="1">
      <alignment horizontal="left" vertical="center"/>
      <protection locked="0"/>
    </xf>
    <xf numFmtId="43" fontId="86" fillId="13" borderId="11" xfId="261" applyFont="1" applyFill="1" applyBorder="1" applyAlignment="1"/>
    <xf numFmtId="43" fontId="86" fillId="13" borderId="11" xfId="455" applyFont="1" applyFill="1" applyBorder="1" applyAlignment="1">
      <alignment vertical="center" shrinkToFit="1"/>
    </xf>
    <xf numFmtId="0" fontId="85" fillId="13" borderId="33" xfId="854" applyFont="1" applyFill="1" applyBorder="1"/>
    <xf numFmtId="0" fontId="86" fillId="13" borderId="61" xfId="1477" applyFont="1" applyFill="1" applyBorder="1" applyAlignment="1">
      <alignment vertical="top" wrapText="1"/>
    </xf>
    <xf numFmtId="164" fontId="86" fillId="13" borderId="33" xfId="1446" applyFont="1" applyFill="1" applyBorder="1" applyAlignment="1">
      <alignment horizontal="center" vertical="top" wrapText="1"/>
    </xf>
    <xf numFmtId="0" fontId="86" fillId="13" borderId="0" xfId="1446" applyNumberFormat="1" applyFont="1" applyFill="1" applyAlignment="1">
      <alignment horizontal="left" vertical="top"/>
    </xf>
    <xf numFmtId="0" fontId="86" fillId="13" borderId="61" xfId="1477" applyFont="1" applyFill="1" applyBorder="1" applyAlignment="1">
      <alignment vertical="center"/>
    </xf>
    <xf numFmtId="0" fontId="86" fillId="13" borderId="11" xfId="947" applyFont="1" applyFill="1" applyBorder="1" applyAlignment="1">
      <alignment horizontal="center"/>
    </xf>
    <xf numFmtId="43" fontId="86" fillId="13" borderId="11" xfId="484" applyFont="1" applyFill="1" applyBorder="1" applyAlignment="1">
      <alignment horizontal="center"/>
    </xf>
    <xf numFmtId="43" fontId="86" fillId="13" borderId="11" xfId="484" applyFont="1" applyFill="1" applyBorder="1" applyAlignment="1">
      <alignment vertical="center"/>
    </xf>
    <xf numFmtId="0" fontId="86" fillId="13" borderId="56" xfId="1473" applyFont="1" applyFill="1" applyBorder="1" applyAlignment="1">
      <alignment horizontal="center" vertical="center"/>
    </xf>
    <xf numFmtId="164" fontId="86" fillId="13" borderId="11" xfId="1446" applyFont="1" applyFill="1" applyBorder="1" applyAlignment="1">
      <alignment horizontal="center" wrapText="1"/>
    </xf>
    <xf numFmtId="0" fontId="86" fillId="13" borderId="11" xfId="1473" applyFont="1" applyFill="1" applyBorder="1" applyAlignment="1">
      <alignment horizontal="center"/>
    </xf>
    <xf numFmtId="0" fontId="86" fillId="13" borderId="28" xfId="1473" applyFont="1" applyFill="1" applyBorder="1" applyAlignment="1">
      <alignment horizontal="center" vertical="center"/>
    </xf>
    <xf numFmtId="0" fontId="86" fillId="13" borderId="56" xfId="1468" applyFont="1" applyFill="1" applyBorder="1" applyAlignment="1" applyProtection="1">
      <alignment horizontal="center" vertical="center"/>
      <protection locked="0"/>
    </xf>
    <xf numFmtId="0" fontId="86" fillId="13" borderId="51" xfId="455" applyNumberFormat="1" applyFont="1" applyFill="1" applyBorder="1" applyAlignment="1">
      <alignment horizontal="left" vertical="center"/>
    </xf>
    <xf numFmtId="0" fontId="86" fillId="13" borderId="11" xfId="854" applyFont="1" applyFill="1" applyBorder="1" applyAlignment="1">
      <alignment vertical="center"/>
    </xf>
    <xf numFmtId="0" fontId="86" fillId="13" borderId="59" xfId="1481" applyFont="1" applyFill="1" applyBorder="1" applyAlignment="1">
      <alignment horizontal="center" vertical="center"/>
    </xf>
    <xf numFmtId="0" fontId="86" fillId="13" borderId="52" xfId="1481" applyFont="1" applyFill="1" applyBorder="1" applyAlignment="1">
      <alignment horizontal="left" vertical="center"/>
    </xf>
    <xf numFmtId="43" fontId="86" fillId="13" borderId="28" xfId="1478" applyFont="1" applyFill="1" applyBorder="1" applyAlignment="1">
      <alignment horizontal="center" vertical="center"/>
    </xf>
    <xf numFmtId="164" fontId="86" fillId="13" borderId="28" xfId="1474" applyFont="1" applyFill="1" applyBorder="1" applyAlignment="1">
      <alignment vertical="center"/>
    </xf>
    <xf numFmtId="0" fontId="86" fillId="13" borderId="58" xfId="1481" applyFont="1" applyFill="1" applyBorder="1" applyAlignment="1">
      <alignment horizontal="center" vertical="center"/>
    </xf>
    <xf numFmtId="0" fontId="86" fillId="13" borderId="1" xfId="1477" applyFont="1" applyFill="1" applyBorder="1" applyAlignment="1">
      <alignment vertical="center"/>
    </xf>
    <xf numFmtId="0" fontId="86" fillId="13" borderId="33" xfId="947" applyFont="1" applyFill="1" applyBorder="1" applyAlignment="1">
      <alignment horizontal="center"/>
    </xf>
    <xf numFmtId="43" fontId="86" fillId="13" borderId="33" xfId="484" applyFont="1" applyFill="1" applyBorder="1" applyAlignment="1">
      <alignment horizontal="center"/>
    </xf>
    <xf numFmtId="43" fontId="86" fillId="13" borderId="33" xfId="484" applyFont="1" applyFill="1" applyBorder="1" applyAlignment="1">
      <alignment vertical="center"/>
    </xf>
    <xf numFmtId="0" fontId="86" fillId="13" borderId="0" xfId="1474" applyNumberFormat="1" applyFont="1" applyFill="1" applyAlignment="1">
      <alignment vertical="center"/>
    </xf>
    <xf numFmtId="0" fontId="86" fillId="13" borderId="51" xfId="455" applyNumberFormat="1" applyFont="1" applyFill="1" applyBorder="1" applyAlignment="1">
      <alignment vertical="center" wrapText="1"/>
    </xf>
    <xf numFmtId="164" fontId="86" fillId="13" borderId="55" xfId="1446" applyFont="1" applyFill="1" applyBorder="1" applyAlignment="1">
      <alignment horizontal="center" vertical="center"/>
    </xf>
    <xf numFmtId="43" fontId="86" fillId="13" borderId="55" xfId="1478" applyFont="1" applyFill="1" applyBorder="1" applyAlignment="1">
      <alignment horizontal="center" vertical="center"/>
    </xf>
    <xf numFmtId="164" fontId="86" fillId="13" borderId="55" xfId="1474" applyFont="1" applyFill="1" applyBorder="1" applyAlignment="1">
      <alignment vertical="center"/>
    </xf>
    <xf numFmtId="0" fontId="86" fillId="13" borderId="0" xfId="1446" applyNumberFormat="1" applyFont="1" applyFill="1" applyAlignment="1">
      <alignment horizontal="left" vertical="center"/>
    </xf>
    <xf numFmtId="0" fontId="86" fillId="13" borderId="54" xfId="1481" applyFont="1" applyFill="1" applyBorder="1" applyAlignment="1">
      <alignment horizontal="left" vertical="center"/>
    </xf>
    <xf numFmtId="0" fontId="85" fillId="13" borderId="28" xfId="455" applyNumberFormat="1" applyFont="1" applyFill="1" applyBorder="1" applyAlignment="1">
      <alignment horizontal="center" vertical="center"/>
    </xf>
    <xf numFmtId="0" fontId="86" fillId="13" borderId="59" xfId="1468" applyFont="1" applyFill="1" applyBorder="1" applyAlignment="1" applyProtection="1">
      <alignment horizontal="left" vertical="center"/>
      <protection locked="0"/>
    </xf>
    <xf numFmtId="0" fontId="86" fillId="13" borderId="52" xfId="455" applyNumberFormat="1" applyFont="1" applyFill="1" applyBorder="1" applyAlignment="1">
      <alignment vertical="center"/>
    </xf>
    <xf numFmtId="164" fontId="86" fillId="13" borderId="28" xfId="1446" applyFont="1" applyFill="1" applyBorder="1" applyAlignment="1">
      <alignment vertical="center"/>
    </xf>
    <xf numFmtId="43" fontId="86" fillId="13" borderId="28" xfId="455" applyFont="1" applyFill="1" applyBorder="1" applyAlignment="1">
      <alignment vertical="center"/>
    </xf>
    <xf numFmtId="0" fontId="85" fillId="13" borderId="28" xfId="854" applyFont="1" applyFill="1" applyBorder="1"/>
    <xf numFmtId="0" fontId="86" fillId="13" borderId="59" xfId="1473" applyFont="1" applyFill="1" applyBorder="1" applyAlignment="1">
      <alignment horizontal="center" vertical="center"/>
    </xf>
    <xf numFmtId="0" fontId="86" fillId="13" borderId="93" xfId="1477" applyFont="1" applyFill="1" applyBorder="1" applyAlignment="1">
      <alignment vertical="center"/>
    </xf>
    <xf numFmtId="164" fontId="86" fillId="13" borderId="28" xfId="1446" applyFont="1" applyFill="1" applyBorder="1" applyAlignment="1">
      <alignment horizontal="center" wrapText="1"/>
    </xf>
    <xf numFmtId="0" fontId="86" fillId="13" borderId="28" xfId="1473" applyFont="1" applyFill="1" applyBorder="1" applyAlignment="1">
      <alignment horizontal="center"/>
    </xf>
    <xf numFmtId="164" fontId="86" fillId="13" borderId="28" xfId="1446" applyFont="1" applyFill="1" applyBorder="1" applyAlignment="1">
      <alignment horizontal="center" vertical="top" wrapText="1"/>
    </xf>
    <xf numFmtId="0" fontId="86" fillId="13" borderId="33" xfId="854" applyFont="1" applyFill="1" applyBorder="1" applyAlignment="1">
      <alignment vertical="center"/>
    </xf>
    <xf numFmtId="0" fontId="86" fillId="13" borderId="55" xfId="1473" applyFont="1" applyFill="1" applyBorder="1" applyAlignment="1">
      <alignment horizontal="center" vertical="center"/>
    </xf>
    <xf numFmtId="0" fontId="86" fillId="13" borderId="0" xfId="1477" applyFont="1" applyFill="1" applyAlignment="1">
      <alignment vertical="center"/>
    </xf>
    <xf numFmtId="0" fontId="85" fillId="13" borderId="12" xfId="1481" applyFont="1" applyFill="1" applyBorder="1" applyAlignment="1">
      <alignment horizontal="center" vertical="center"/>
    </xf>
    <xf numFmtId="0" fontId="85" fillId="13" borderId="67" xfId="1481" applyFont="1" applyFill="1" applyBorder="1" applyAlignment="1">
      <alignment horizontal="center"/>
    </xf>
    <xf numFmtId="0" fontId="85" fillId="13" borderId="0" xfId="1474" applyNumberFormat="1" applyFont="1" applyFill="1" applyBorder="1" applyAlignment="1">
      <alignment vertical="top"/>
    </xf>
    <xf numFmtId="0" fontId="85" fillId="13" borderId="9" xfId="1481" applyFont="1" applyFill="1" applyBorder="1" applyAlignment="1">
      <alignment horizontal="center" vertical="center"/>
    </xf>
    <xf numFmtId="164" fontId="85" fillId="13" borderId="9" xfId="1446" applyFont="1" applyFill="1" applyBorder="1" applyAlignment="1">
      <alignment horizontal="center"/>
    </xf>
    <xf numFmtId="164" fontId="85" fillId="13" borderId="9" xfId="1474" applyFont="1" applyFill="1" applyBorder="1"/>
    <xf numFmtId="0" fontId="85" fillId="13" borderId="0" xfId="1481" applyFont="1" applyFill="1" applyAlignment="1">
      <alignment vertical="top"/>
    </xf>
    <xf numFmtId="0" fontId="86" fillId="13" borderId="0" xfId="854" applyFont="1" applyFill="1" applyBorder="1"/>
    <xf numFmtId="43" fontId="86" fillId="13" borderId="33" xfId="1478" applyFont="1" applyFill="1" applyBorder="1" applyAlignment="1">
      <alignment vertical="top"/>
    </xf>
    <xf numFmtId="0" fontId="86" fillId="13" borderId="61" xfId="455" applyNumberFormat="1" applyFont="1" applyFill="1" applyBorder="1" applyAlignment="1">
      <alignment vertical="top"/>
    </xf>
    <xf numFmtId="0" fontId="86" fillId="13" borderId="0" xfId="1474" applyNumberFormat="1" applyFont="1" applyFill="1" applyBorder="1" applyAlignment="1">
      <alignment horizontal="center" vertical="top"/>
    </xf>
    <xf numFmtId="0" fontId="85" fillId="13" borderId="58" xfId="1468" applyFont="1" applyFill="1" applyBorder="1" applyAlignment="1" applyProtection="1">
      <alignment horizontal="center" vertical="center"/>
      <protection locked="0"/>
    </xf>
    <xf numFmtId="0" fontId="86" fillId="13" borderId="54" xfId="455" applyNumberFormat="1" applyFont="1" applyFill="1" applyBorder="1" applyAlignment="1">
      <alignment horizontal="left" vertical="center"/>
    </xf>
    <xf numFmtId="0" fontId="85" fillId="13" borderId="56" xfId="1468" applyFont="1" applyFill="1" applyBorder="1" applyAlignment="1" applyProtection="1">
      <alignment horizontal="center" vertical="center"/>
      <protection locked="0"/>
    </xf>
    <xf numFmtId="43" fontId="86" fillId="13" borderId="0" xfId="1478" applyFont="1" applyFill="1" applyBorder="1" applyAlignment="1">
      <alignment vertical="top"/>
    </xf>
    <xf numFmtId="0" fontId="86" fillId="13" borderId="51" xfId="1481" applyFont="1" applyFill="1" applyBorder="1" applyAlignment="1">
      <alignment horizontal="left" vertical="center" wrapText="1"/>
    </xf>
    <xf numFmtId="0" fontId="85" fillId="13" borderId="56" xfId="1481" applyFont="1" applyFill="1" applyBorder="1" applyAlignment="1">
      <alignment vertical="center"/>
    </xf>
    <xf numFmtId="0" fontId="85" fillId="13" borderId="51" xfId="1481" applyFont="1" applyFill="1" applyBorder="1" applyAlignment="1">
      <alignment vertical="center"/>
    </xf>
    <xf numFmtId="0" fontId="85" fillId="13" borderId="56" xfId="1481" applyFont="1" applyFill="1" applyBorder="1" applyAlignment="1">
      <alignment horizontal="center" vertical="center"/>
    </xf>
    <xf numFmtId="0" fontId="85" fillId="13" borderId="65" xfId="1481" applyFont="1" applyFill="1" applyBorder="1" applyAlignment="1">
      <alignment horizontal="center"/>
    </xf>
    <xf numFmtId="4" fontId="86" fillId="13" borderId="28" xfId="455" applyNumberFormat="1" applyFont="1" applyFill="1" applyBorder="1" applyAlignment="1">
      <alignment horizontal="center" vertical="center"/>
    </xf>
    <xf numFmtId="4" fontId="86" fillId="13" borderId="59" xfId="1469" applyNumberFormat="1" applyFont="1" applyFill="1" applyBorder="1" applyAlignment="1" applyProtection="1">
      <alignment horizontal="center" vertical="center"/>
      <protection locked="0"/>
    </xf>
    <xf numFmtId="0" fontId="86" fillId="13" borderId="93" xfId="455" applyNumberFormat="1" applyFont="1" applyFill="1" applyBorder="1" applyAlignment="1">
      <alignment vertical="center"/>
    </xf>
    <xf numFmtId="164" fontId="86" fillId="13" borderId="28" xfId="1446" applyFont="1" applyFill="1" applyBorder="1" applyAlignment="1">
      <alignment horizontal="right" vertical="center"/>
    </xf>
    <xf numFmtId="4" fontId="86" fillId="13" borderId="28" xfId="455" applyNumberFormat="1" applyFont="1" applyFill="1" applyBorder="1" applyAlignment="1">
      <alignment vertical="center"/>
    </xf>
    <xf numFmtId="0" fontId="86" fillId="13" borderId="58" xfId="1468" applyFont="1" applyFill="1" applyBorder="1" applyAlignment="1" applyProtection="1">
      <alignment horizontal="center" vertical="center"/>
      <protection locked="0"/>
    </xf>
    <xf numFmtId="0" fontId="86" fillId="13" borderId="55" xfId="854" applyFont="1" applyFill="1" applyBorder="1" applyAlignment="1">
      <alignment vertical="center"/>
    </xf>
    <xf numFmtId="0" fontId="86" fillId="13" borderId="58" xfId="1473" applyFont="1" applyFill="1" applyBorder="1" applyAlignment="1">
      <alignment horizontal="center" vertical="center"/>
    </xf>
    <xf numFmtId="164" fontId="86" fillId="13" borderId="33" xfId="1446" applyFont="1" applyFill="1" applyBorder="1" applyAlignment="1">
      <alignment horizontal="center" wrapText="1"/>
    </xf>
    <xf numFmtId="0" fontId="86" fillId="13" borderId="33" xfId="1473" applyFont="1" applyFill="1" applyBorder="1" applyAlignment="1">
      <alignment horizontal="center"/>
    </xf>
    <xf numFmtId="0" fontId="85" fillId="13" borderId="56" xfId="1481" applyFont="1" applyFill="1" applyBorder="1" applyAlignment="1">
      <alignment horizontal="left" vertical="center"/>
    </xf>
    <xf numFmtId="0" fontId="85" fillId="13" borderId="28" xfId="874" applyFont="1" applyFill="1" applyBorder="1" applyAlignment="1">
      <alignment vertical="center"/>
    </xf>
    <xf numFmtId="0" fontId="85" fillId="13" borderId="33" xfId="874" applyFont="1" applyFill="1" applyBorder="1" applyAlignment="1">
      <alignment vertical="center"/>
    </xf>
    <xf numFmtId="0" fontId="86" fillId="13" borderId="61" xfId="1477" applyFont="1" applyFill="1" applyBorder="1" applyAlignment="1">
      <alignment vertical="top"/>
    </xf>
    <xf numFmtId="0" fontId="86" fillId="13" borderId="11" xfId="947" applyFont="1" applyFill="1" applyBorder="1" applyAlignment="1">
      <alignment horizontal="center" vertical="top"/>
    </xf>
    <xf numFmtId="43" fontId="86" fillId="13" borderId="11" xfId="484" applyFont="1" applyFill="1" applyBorder="1" applyAlignment="1">
      <alignment horizontal="center" vertical="top"/>
    </xf>
    <xf numFmtId="43" fontId="86" fillId="13" borderId="11" xfId="484" applyFont="1" applyFill="1" applyBorder="1" applyAlignment="1">
      <alignment vertical="top"/>
    </xf>
    <xf numFmtId="2" fontId="85" fillId="13" borderId="9" xfId="1481" applyNumberFormat="1" applyFont="1" applyFill="1" applyBorder="1" applyAlignment="1">
      <alignment horizontal="center" vertical="center"/>
    </xf>
    <xf numFmtId="4" fontId="86" fillId="13" borderId="33" xfId="455" applyNumberFormat="1" applyFont="1" applyFill="1" applyBorder="1" applyAlignment="1">
      <alignment horizontal="center" vertical="center"/>
    </xf>
    <xf numFmtId="4" fontId="86" fillId="13" borderId="58" xfId="1469" applyNumberFormat="1" applyFont="1" applyFill="1" applyBorder="1" applyAlignment="1" applyProtection="1">
      <alignment horizontal="center" vertical="center"/>
      <protection locked="0"/>
    </xf>
    <xf numFmtId="0" fontId="86" fillId="13" borderId="1" xfId="455" applyNumberFormat="1" applyFont="1" applyFill="1" applyBorder="1" applyAlignment="1">
      <alignment vertical="center"/>
    </xf>
    <xf numFmtId="164" fontId="86" fillId="13" borderId="33" xfId="1446" applyFont="1" applyFill="1" applyBorder="1" applyAlignment="1">
      <alignment horizontal="right" vertical="center"/>
    </xf>
    <xf numFmtId="4" fontId="86" fillId="13" borderId="33" xfId="455" applyNumberFormat="1" applyFont="1" applyFill="1" applyBorder="1" applyAlignment="1">
      <alignment vertical="center"/>
    </xf>
    <xf numFmtId="164" fontId="86" fillId="13" borderId="56" xfId="1474" applyFont="1" applyFill="1" applyBorder="1" applyAlignment="1">
      <alignment vertical="center"/>
    </xf>
    <xf numFmtId="0" fontId="85" fillId="13" borderId="0" xfId="1474" applyNumberFormat="1" applyFont="1" applyFill="1" applyBorder="1"/>
    <xf numFmtId="0" fontId="85" fillId="13" borderId="20" xfId="455" applyNumberFormat="1" applyFont="1" applyFill="1" applyBorder="1" applyAlignment="1">
      <alignment horizontal="center" vertical="top"/>
    </xf>
    <xf numFmtId="0" fontId="86" fillId="13" borderId="60" xfId="1468" applyFont="1" applyFill="1" applyBorder="1" applyAlignment="1" applyProtection="1">
      <alignment horizontal="center" vertical="top"/>
      <protection locked="0"/>
    </xf>
    <xf numFmtId="0" fontId="86" fillId="13" borderId="86" xfId="455" applyNumberFormat="1" applyFont="1" applyFill="1" applyBorder="1" applyAlignment="1">
      <alignment vertical="top" wrapText="1"/>
    </xf>
    <xf numFmtId="164" fontId="86" fillId="13" borderId="20" xfId="1446" applyFont="1" applyFill="1" applyBorder="1" applyAlignment="1">
      <alignment horizontal="center" vertical="top" wrapText="1"/>
    </xf>
    <xf numFmtId="0" fontId="86" fillId="13" borderId="20" xfId="1473" applyFont="1" applyFill="1" applyBorder="1" applyAlignment="1">
      <alignment horizontal="center" vertical="top"/>
    </xf>
    <xf numFmtId="43" fontId="86" fillId="13" borderId="20" xfId="455" applyFont="1" applyFill="1" applyBorder="1" applyAlignment="1">
      <alignment vertical="top"/>
    </xf>
    <xf numFmtId="164" fontId="86" fillId="13" borderId="20" xfId="1474" applyFont="1" applyFill="1" applyBorder="1" applyAlignment="1">
      <alignment vertical="top"/>
    </xf>
    <xf numFmtId="43" fontId="86" fillId="13" borderId="20" xfId="1478" applyFont="1" applyFill="1" applyBorder="1" applyAlignment="1">
      <alignment vertical="top"/>
    </xf>
    <xf numFmtId="164" fontId="86" fillId="13" borderId="55" xfId="1474" applyFont="1" applyFill="1" applyBorder="1" applyAlignment="1">
      <alignment vertical="top"/>
    </xf>
    <xf numFmtId="0" fontId="85" fillId="13" borderId="68" xfId="1473" applyFont="1" applyFill="1" applyBorder="1" applyAlignment="1">
      <alignment horizontal="center" vertical="center"/>
    </xf>
    <xf numFmtId="0" fontId="85" fillId="13" borderId="90" xfId="1481" applyFont="1" applyFill="1" applyBorder="1" applyAlignment="1">
      <alignment horizontal="center" vertical="center"/>
    </xf>
    <xf numFmtId="0" fontId="85" fillId="13" borderId="16" xfId="1481" applyFont="1" applyFill="1" applyBorder="1" applyAlignment="1">
      <alignment horizontal="center" vertical="center"/>
    </xf>
    <xf numFmtId="164" fontId="85" fillId="13" borderId="68" xfId="1446" applyFont="1" applyFill="1" applyBorder="1" applyAlignment="1">
      <alignment horizontal="center" vertical="center"/>
    </xf>
    <xf numFmtId="43" fontId="85" fillId="13" borderId="68" xfId="1478" applyFont="1" applyFill="1" applyBorder="1" applyAlignment="1">
      <alignment horizontal="center" vertical="center"/>
    </xf>
    <xf numFmtId="164" fontId="85" fillId="13" borderId="68" xfId="1474" applyFont="1" applyFill="1" applyBorder="1" applyAlignment="1">
      <alignment vertical="center"/>
    </xf>
    <xf numFmtId="43" fontId="85" fillId="13" borderId="68" xfId="1478" applyFont="1" applyFill="1" applyBorder="1" applyAlignment="1">
      <alignment vertical="center"/>
    </xf>
    <xf numFmtId="0" fontId="85" fillId="13" borderId="0" xfId="1474" applyNumberFormat="1" applyFont="1" applyFill="1"/>
    <xf numFmtId="164" fontId="86" fillId="13" borderId="0" xfId="1446" applyFont="1" applyFill="1" applyBorder="1" applyAlignment="1">
      <alignment horizontal="center" vertical="center"/>
    </xf>
    <xf numFmtId="164" fontId="86" fillId="13" borderId="0" xfId="1474" applyFont="1" applyFill="1" applyBorder="1" applyAlignment="1">
      <alignment horizontal="center" vertical="center"/>
    </xf>
    <xf numFmtId="0" fontId="106" fillId="13" borderId="0" xfId="1473" applyFont="1" applyFill="1" applyAlignment="1">
      <alignment horizontal="center"/>
    </xf>
    <xf numFmtId="164" fontId="88" fillId="13" borderId="62" xfId="1474" applyFont="1" applyFill="1" applyBorder="1" applyAlignment="1">
      <alignment horizontal="center" vertical="center" wrapText="1"/>
    </xf>
    <xf numFmtId="0" fontId="106" fillId="13" borderId="0" xfId="1481" applyFont="1" applyFill="1" applyAlignment="1">
      <alignment horizontal="center" vertical="center"/>
    </xf>
    <xf numFmtId="0" fontId="88" fillId="13" borderId="0" xfId="1481" applyFont="1" applyFill="1" applyAlignment="1">
      <alignment horizontal="center"/>
    </xf>
    <xf numFmtId="164" fontId="88" fillId="13" borderId="5" xfId="1474" applyFont="1" applyFill="1" applyBorder="1" applyAlignment="1">
      <alignment horizontal="center" vertical="center"/>
    </xf>
    <xf numFmtId="164" fontId="88" fillId="13" borderId="2" xfId="1474" applyFont="1" applyFill="1" applyBorder="1" applyAlignment="1">
      <alignment horizontal="center" vertical="center"/>
    </xf>
    <xf numFmtId="0" fontId="88" fillId="13" borderId="9" xfId="1481" applyFont="1" applyFill="1" applyBorder="1" applyAlignment="1">
      <alignment horizontal="center" vertical="center"/>
    </xf>
    <xf numFmtId="0" fontId="88" fillId="13" borderId="0" xfId="1474" applyNumberFormat="1" applyFont="1" applyFill="1" applyBorder="1" applyAlignment="1">
      <alignment horizontal="center" vertical="center"/>
    </xf>
    <xf numFmtId="0" fontId="88" fillId="13" borderId="5" xfId="1481" applyFont="1" applyFill="1" applyBorder="1" applyAlignment="1">
      <alignment horizontal="center" vertical="center"/>
    </xf>
    <xf numFmtId="0" fontId="85" fillId="13" borderId="2" xfId="1481" applyFont="1" applyFill="1" applyBorder="1" applyAlignment="1">
      <alignment horizontal="left" vertical="center"/>
    </xf>
    <xf numFmtId="0" fontId="88" fillId="13" borderId="2" xfId="1481" applyFont="1" applyFill="1" applyBorder="1" applyAlignment="1">
      <alignment horizontal="center" vertical="center"/>
    </xf>
    <xf numFmtId="164" fontId="88" fillId="13" borderId="5" xfId="1446" applyFont="1" applyFill="1" applyBorder="1" applyAlignment="1">
      <alignment horizontal="center" vertical="center"/>
    </xf>
    <xf numFmtId="164" fontId="88" fillId="13" borderId="9" xfId="1474" applyFont="1" applyFill="1" applyBorder="1" applyAlignment="1">
      <alignment horizontal="center" vertical="center" wrapText="1"/>
    </xf>
    <xf numFmtId="164" fontId="88" fillId="13" borderId="5" xfId="1474" applyFont="1" applyFill="1" applyBorder="1" applyAlignment="1">
      <alignment horizontal="center" vertical="center" wrapText="1"/>
    </xf>
    <xf numFmtId="0" fontId="85" fillId="13" borderId="5" xfId="1473" applyFont="1" applyFill="1" applyBorder="1" applyAlignment="1">
      <alignment horizontal="center" vertical="center"/>
    </xf>
    <xf numFmtId="164" fontId="85" fillId="13" borderId="5" xfId="1446" applyFont="1" applyFill="1" applyBorder="1" applyAlignment="1">
      <alignment horizontal="center" vertical="center"/>
    </xf>
    <xf numFmtId="43" fontId="85" fillId="13" borderId="5" xfId="1478" applyFont="1" applyFill="1" applyBorder="1" applyAlignment="1">
      <alignment horizontal="center" vertical="center"/>
    </xf>
    <xf numFmtId="164" fontId="85" fillId="13" borderId="5" xfId="1474" applyFont="1" applyFill="1" applyBorder="1" applyAlignment="1">
      <alignment vertical="center"/>
    </xf>
    <xf numFmtId="43" fontId="85" fillId="13" borderId="5" xfId="1478" applyFont="1" applyFill="1" applyBorder="1" applyAlignment="1">
      <alignment vertical="center"/>
    </xf>
    <xf numFmtId="164" fontId="86" fillId="13" borderId="5" xfId="1446" applyFont="1" applyFill="1" applyBorder="1" applyAlignment="1">
      <alignment horizontal="center" vertical="center"/>
    </xf>
    <xf numFmtId="43" fontId="86" fillId="13" borderId="5" xfId="1478" applyFont="1" applyFill="1" applyBorder="1" applyAlignment="1">
      <alignment horizontal="center" vertical="center"/>
    </xf>
    <xf numFmtId="164" fontId="86" fillId="13" borderId="5" xfId="1474" applyFont="1" applyFill="1" applyBorder="1" applyAlignment="1">
      <alignment vertical="center"/>
    </xf>
    <xf numFmtId="43" fontId="86" fillId="13" borderId="5" xfId="1478" applyFont="1" applyFill="1" applyBorder="1" applyAlignment="1">
      <alignment vertical="center"/>
    </xf>
    <xf numFmtId="0" fontId="85" fillId="13" borderId="33" xfId="1473" applyFont="1" applyFill="1" applyBorder="1" applyAlignment="1">
      <alignment horizontal="center" vertical="center"/>
    </xf>
    <xf numFmtId="0" fontId="85" fillId="13" borderId="11" xfId="1473" applyFont="1" applyFill="1" applyBorder="1" applyAlignment="1">
      <alignment horizontal="left" vertical="center"/>
    </xf>
    <xf numFmtId="0" fontId="85" fillId="13" borderId="51" xfId="1481" applyFont="1" applyFill="1" applyBorder="1" applyAlignment="1">
      <alignment horizontal="left" vertical="center"/>
    </xf>
    <xf numFmtId="164" fontId="85" fillId="13" borderId="33" xfId="1446" applyFont="1" applyFill="1" applyBorder="1" applyAlignment="1">
      <alignment horizontal="left" vertical="center"/>
    </xf>
    <xf numFmtId="43" fontId="85" fillId="13" borderId="33" xfId="1478" applyFont="1" applyFill="1" applyBorder="1" applyAlignment="1">
      <alignment horizontal="left" vertical="center"/>
    </xf>
    <xf numFmtId="164" fontId="85" fillId="13" borderId="33" xfId="1474" applyFont="1" applyFill="1" applyBorder="1" applyAlignment="1">
      <alignment horizontal="left" vertical="center"/>
    </xf>
    <xf numFmtId="164" fontId="85" fillId="13" borderId="11" xfId="1474" applyFont="1" applyFill="1" applyBorder="1" applyAlignment="1">
      <alignment horizontal="left" vertical="center"/>
    </xf>
    <xf numFmtId="43" fontId="85" fillId="13" borderId="11" xfId="1478" applyFont="1" applyFill="1" applyBorder="1" applyAlignment="1">
      <alignment horizontal="left" vertical="center"/>
    </xf>
    <xf numFmtId="43" fontId="86" fillId="13" borderId="11" xfId="1478" applyFont="1" applyFill="1" applyBorder="1" applyAlignment="1">
      <alignment horizontal="left" vertical="center"/>
    </xf>
    <xf numFmtId="0" fontId="85" fillId="13" borderId="0" xfId="1446" applyNumberFormat="1" applyFont="1" applyFill="1" applyBorder="1" applyAlignment="1">
      <alignment horizontal="left" vertical="center"/>
    </xf>
    <xf numFmtId="0" fontId="85" fillId="13" borderId="0" xfId="1473" applyFont="1" applyFill="1" applyAlignment="1">
      <alignment horizontal="left" vertical="center"/>
    </xf>
    <xf numFmtId="0" fontId="85" fillId="13" borderId="0" xfId="1481" applyFont="1" applyFill="1" applyAlignment="1">
      <alignment horizontal="left" vertical="top"/>
    </xf>
    <xf numFmtId="0" fontId="85" fillId="13" borderId="0" xfId="873" applyFont="1" applyFill="1" applyAlignment="1">
      <alignment horizontal="left" vertical="center" wrapText="1"/>
    </xf>
    <xf numFmtId="43" fontId="86" fillId="13" borderId="0" xfId="454" applyFont="1" applyFill="1" applyAlignment="1"/>
    <xf numFmtId="43" fontId="102" fillId="13" borderId="0" xfId="454" applyFont="1" applyFill="1" applyBorder="1" applyAlignment="1"/>
    <xf numFmtId="164" fontId="102" fillId="13" borderId="0" xfId="1446" applyFont="1" applyFill="1" applyAlignment="1">
      <alignment vertical="center"/>
    </xf>
    <xf numFmtId="0" fontId="85" fillId="13" borderId="0" xfId="1481" applyFont="1" applyFill="1" applyAlignment="1">
      <alignment vertical="center" wrapText="1"/>
    </xf>
    <xf numFmtId="43" fontId="86" fillId="13" borderId="0" xfId="1478" applyFont="1" applyFill="1" applyBorder="1" applyAlignment="1"/>
    <xf numFmtId="43" fontId="86" fillId="13" borderId="0" xfId="454" applyFont="1" applyFill="1" applyBorder="1" applyAlignment="1"/>
    <xf numFmtId="43" fontId="102" fillId="13" borderId="0" xfId="454" applyFont="1" applyFill="1" applyAlignment="1"/>
    <xf numFmtId="43" fontId="86" fillId="13" borderId="0" xfId="454" applyFont="1" applyFill="1" applyBorder="1" applyAlignment="1">
      <alignment horizontal="left" vertical="center"/>
    </xf>
    <xf numFmtId="0" fontId="85" fillId="13" borderId="0" xfId="1481" applyFont="1" applyFill="1" applyAlignment="1">
      <alignment vertical="top" wrapText="1"/>
    </xf>
    <xf numFmtId="43" fontId="102" fillId="13" borderId="0" xfId="454" applyFont="1" applyFill="1" applyBorder="1" applyAlignment="1">
      <alignment vertical="center"/>
    </xf>
    <xf numFmtId="43" fontId="86" fillId="13" borderId="0" xfId="454" applyFont="1" applyFill="1" applyAlignment="1">
      <alignment vertical="center"/>
    </xf>
    <xf numFmtId="43" fontId="86" fillId="13" borderId="0" xfId="1478" applyFont="1" applyFill="1" applyAlignment="1">
      <alignment vertical="center"/>
    </xf>
    <xf numFmtId="43" fontId="102" fillId="13" borderId="0" xfId="454" applyFont="1" applyFill="1" applyBorder="1" applyAlignment="1">
      <alignment horizontal="left" vertical="center"/>
    </xf>
    <xf numFmtId="43" fontId="86" fillId="13" borderId="0" xfId="454" applyFont="1" applyFill="1" applyBorder="1" applyAlignment="1">
      <alignment vertical="center"/>
    </xf>
    <xf numFmtId="0" fontId="86" fillId="13" borderId="28" xfId="1473" applyFont="1" applyFill="1" applyBorder="1" applyAlignment="1">
      <alignment horizontal="center" vertical="top"/>
    </xf>
    <xf numFmtId="0" fontId="86" fillId="13" borderId="59" xfId="1481" applyFont="1" applyFill="1" applyBorder="1" applyAlignment="1">
      <alignment horizontal="center" vertical="top"/>
    </xf>
    <xf numFmtId="0" fontId="86" fillId="13" borderId="52" xfId="1481" applyFont="1" applyFill="1" applyBorder="1" applyAlignment="1">
      <alignment horizontal="left" vertical="top" wrapText="1"/>
    </xf>
    <xf numFmtId="164" fontId="86" fillId="13" borderId="28" xfId="1446" applyFont="1" applyFill="1" applyBorder="1" applyAlignment="1">
      <alignment horizontal="center" vertical="top"/>
    </xf>
    <xf numFmtId="43" fontId="86" fillId="13" borderId="28" xfId="1478" applyFont="1" applyFill="1" applyBorder="1" applyAlignment="1">
      <alignment horizontal="center" vertical="top"/>
    </xf>
    <xf numFmtId="164" fontId="86" fillId="13" borderId="28" xfId="1474" applyFont="1" applyFill="1" applyBorder="1" applyAlignment="1">
      <alignment vertical="top"/>
    </xf>
    <xf numFmtId="43" fontId="86" fillId="13" borderId="28" xfId="1478" applyFont="1" applyFill="1" applyBorder="1" applyAlignment="1">
      <alignment vertical="top"/>
    </xf>
    <xf numFmtId="4" fontId="86" fillId="13" borderId="0" xfId="455" applyNumberFormat="1" applyFont="1" applyFill="1" applyBorder="1" applyAlignment="1">
      <alignment vertical="center"/>
    </xf>
    <xf numFmtId="4" fontId="86" fillId="13" borderId="0" xfId="455" applyNumberFormat="1" applyFont="1" applyFill="1" applyBorder="1" applyAlignment="1">
      <alignment vertical="top"/>
    </xf>
    <xf numFmtId="43" fontId="86" fillId="13" borderId="20" xfId="1478" applyFont="1" applyFill="1" applyBorder="1" applyAlignment="1">
      <alignment vertical="center"/>
    </xf>
    <xf numFmtId="0" fontId="85" fillId="13" borderId="11" xfId="455" applyNumberFormat="1" applyFont="1" applyFill="1" applyBorder="1" applyAlignment="1">
      <alignment horizontal="center" vertical="top"/>
    </xf>
    <xf numFmtId="0" fontId="86" fillId="13" borderId="56" xfId="1468" applyFont="1" applyFill="1" applyBorder="1" applyAlignment="1" applyProtection="1">
      <alignment horizontal="center" vertical="top"/>
      <protection locked="0"/>
    </xf>
    <xf numFmtId="0" fontId="86" fillId="13" borderId="51" xfId="455" applyNumberFormat="1" applyFont="1" applyFill="1" applyBorder="1" applyAlignment="1">
      <alignment horizontal="left" vertical="top" wrapText="1"/>
    </xf>
    <xf numFmtId="0" fontId="86" fillId="13" borderId="11" xfId="854" applyFont="1" applyFill="1" applyBorder="1" applyAlignment="1">
      <alignment vertical="top"/>
    </xf>
    <xf numFmtId="0" fontId="86" fillId="13" borderId="0" xfId="1474" applyNumberFormat="1" applyFont="1" applyFill="1" applyBorder="1" applyAlignment="1">
      <alignment vertical="top"/>
    </xf>
    <xf numFmtId="0" fontId="86" fillId="13" borderId="60" xfId="1481" applyFont="1" applyFill="1" applyBorder="1" applyAlignment="1">
      <alignment horizontal="center" vertical="top"/>
    </xf>
    <xf numFmtId="0" fontId="86" fillId="13" borderId="92" xfId="1477" applyFont="1" applyFill="1" applyBorder="1" applyAlignment="1">
      <alignment vertical="top" wrapText="1"/>
    </xf>
    <xf numFmtId="0" fontId="86" fillId="13" borderId="1" xfId="1477" applyFont="1" applyFill="1" applyBorder="1" applyAlignment="1">
      <alignment vertical="top" wrapText="1"/>
    </xf>
    <xf numFmtId="43" fontId="86" fillId="13" borderId="33" xfId="484" applyFont="1" applyFill="1" applyBorder="1" applyAlignment="1">
      <alignment horizontal="center" vertical="top"/>
    </xf>
    <xf numFmtId="43" fontId="86" fillId="13" borderId="33" xfId="484" applyFont="1" applyFill="1" applyBorder="1" applyAlignment="1">
      <alignment vertical="top"/>
    </xf>
    <xf numFmtId="0" fontId="86" fillId="13" borderId="56" xfId="1470" applyFont="1" applyFill="1" applyBorder="1" applyAlignment="1" applyProtection="1">
      <alignment horizontal="center" vertical="center"/>
      <protection locked="0"/>
    </xf>
    <xf numFmtId="0" fontId="86" fillId="13" borderId="11" xfId="0" applyFont="1" applyFill="1" applyBorder="1" applyAlignment="1">
      <alignment horizontal="center" vertical="center"/>
    </xf>
    <xf numFmtId="166" fontId="86" fillId="13" borderId="56" xfId="0" applyNumberFormat="1" applyFont="1" applyFill="1" applyBorder="1" applyAlignment="1">
      <alignment horizontal="center" vertical="center"/>
    </xf>
    <xf numFmtId="0" fontId="86" fillId="13" borderId="51" xfId="0" applyFont="1" applyFill="1" applyBorder="1" applyAlignment="1">
      <alignment horizontal="left" vertical="center"/>
    </xf>
    <xf numFmtId="164" fontId="86" fillId="13" borderId="11" xfId="1446" applyFont="1" applyFill="1" applyBorder="1" applyAlignment="1">
      <alignment horizontal="left" vertical="center" shrinkToFit="1"/>
    </xf>
    <xf numFmtId="0" fontId="86" fillId="13" borderId="0" xfId="1446" applyNumberFormat="1" applyFont="1" applyFill="1" applyBorder="1" applyAlignment="1">
      <alignment horizontal="center" vertical="center" shrinkToFit="1"/>
    </xf>
    <xf numFmtId="0" fontId="86" fillId="13" borderId="11" xfId="1446" applyNumberFormat="1" applyFont="1" applyFill="1" applyBorder="1" applyAlignment="1">
      <alignment horizontal="left" vertical="center" shrinkToFit="1"/>
    </xf>
    <xf numFmtId="164" fontId="86" fillId="13" borderId="0" xfId="1474" applyFont="1" applyFill="1" applyBorder="1"/>
    <xf numFmtId="0" fontId="86" fillId="13" borderId="0" xfId="0" applyFont="1" applyFill="1" applyAlignment="1">
      <alignment horizontal="center"/>
    </xf>
    <xf numFmtId="0" fontId="86" fillId="13" borderId="0" xfId="1481" applyFont="1" applyFill="1" applyAlignment="1">
      <alignment horizontal="left" vertical="center" wrapText="1"/>
    </xf>
    <xf numFmtId="43" fontId="86" fillId="13" borderId="0" xfId="1478" applyFont="1" applyFill="1" applyBorder="1" applyAlignment="1">
      <alignment horizontal="left"/>
    </xf>
    <xf numFmtId="43" fontId="86" fillId="13" borderId="0" xfId="1478" applyFont="1" applyFill="1" applyAlignment="1">
      <alignment horizontal="left" vertical="center"/>
    </xf>
    <xf numFmtId="0" fontId="86" fillId="0" borderId="52" xfId="1466" applyFont="1" applyBorder="1" applyAlignment="1">
      <alignment horizontal="left"/>
    </xf>
    <xf numFmtId="164" fontId="86" fillId="0" borderId="28" xfId="1474" applyFont="1" applyFill="1" applyBorder="1" applyAlignment="1">
      <alignment vertical="top"/>
    </xf>
    <xf numFmtId="164" fontId="86" fillId="0" borderId="28" xfId="1474" applyFont="1" applyFill="1" applyBorder="1"/>
    <xf numFmtId="0" fontId="85" fillId="0" borderId="98" xfId="954" applyFont="1" applyBorder="1" applyAlignment="1">
      <alignment horizontal="center" vertical="center"/>
    </xf>
    <xf numFmtId="190" fontId="85" fillId="0" borderId="98" xfId="1446" applyNumberFormat="1" applyFont="1" applyFill="1" applyBorder="1" applyAlignment="1">
      <alignment vertical="center"/>
    </xf>
    <xf numFmtId="164" fontId="85" fillId="0" borderId="98" xfId="244" applyFont="1" applyFill="1" applyBorder="1" applyAlignment="1">
      <alignment vertical="center"/>
    </xf>
    <xf numFmtId="0" fontId="85" fillId="0" borderId="0" xfId="873" applyFont="1" applyBorder="1" applyAlignment="1">
      <alignment horizontal="left" vertical="center" wrapText="1"/>
    </xf>
    <xf numFmtId="0" fontId="85" fillId="0" borderId="0" xfId="873" applyFont="1" applyBorder="1" applyAlignment="1">
      <alignment vertical="center"/>
    </xf>
    <xf numFmtId="0" fontId="86" fillId="0" borderId="0" xfId="954" applyFont="1" applyBorder="1" applyAlignment="1">
      <alignment vertical="center"/>
    </xf>
    <xf numFmtId="164" fontId="86" fillId="0" borderId="0" xfId="1446" applyFont="1" applyFill="1" applyBorder="1"/>
    <xf numFmtId="0" fontId="102" fillId="0" borderId="0" xfId="0" applyFont="1" applyBorder="1"/>
    <xf numFmtId="0" fontId="86" fillId="0" borderId="0" xfId="0" applyFont="1" applyBorder="1"/>
    <xf numFmtId="190" fontId="86" fillId="0" borderId="0" xfId="1446" applyNumberFormat="1" applyFont="1" applyFill="1" applyBorder="1" applyAlignment="1">
      <alignment vertical="center"/>
    </xf>
    <xf numFmtId="0" fontId="86" fillId="0" borderId="0" xfId="954" applyFont="1" applyBorder="1" applyAlignment="1">
      <alignment horizontal="center" vertical="center"/>
    </xf>
    <xf numFmtId="164" fontId="86" fillId="0" borderId="0" xfId="244" applyFont="1" applyFill="1" applyBorder="1" applyAlignment="1">
      <alignment vertical="center"/>
    </xf>
    <xf numFmtId="0" fontId="102" fillId="0" borderId="1" xfId="0" applyFont="1" applyBorder="1"/>
    <xf numFmtId="43" fontId="86" fillId="0" borderId="1" xfId="454" applyFont="1" applyFill="1" applyBorder="1" applyAlignment="1">
      <alignment vertical="center"/>
    </xf>
    <xf numFmtId="0" fontId="86" fillId="0" borderId="1" xfId="0" applyFont="1" applyBorder="1"/>
    <xf numFmtId="190" fontId="102" fillId="0" borderId="1" xfId="1446" applyNumberFormat="1" applyFont="1" applyFill="1" applyBorder="1" applyAlignment="1">
      <alignment vertical="center"/>
    </xf>
    <xf numFmtId="0" fontId="102" fillId="0" borderId="1" xfId="954" applyFont="1" applyBorder="1" applyAlignment="1">
      <alignment horizontal="center" vertical="center"/>
    </xf>
    <xf numFmtId="164" fontId="102" fillId="0" borderId="1" xfId="244" applyFont="1" applyFill="1" applyBorder="1" applyAlignment="1">
      <alignment vertical="center"/>
    </xf>
    <xf numFmtId="43" fontId="87" fillId="0" borderId="0" xfId="854" applyNumberFormat="1" applyFont="1" applyBorder="1" applyAlignment="1">
      <alignment vertical="center"/>
    </xf>
    <xf numFmtId="0" fontId="88" fillId="13" borderId="0" xfId="954" applyFont="1" applyFill="1"/>
    <xf numFmtId="0" fontId="88" fillId="13" borderId="0" xfId="954" applyFont="1" applyFill="1" applyAlignment="1">
      <alignment horizontal="center"/>
    </xf>
    <xf numFmtId="0" fontId="86" fillId="13" borderId="0" xfId="954" applyFont="1" applyFill="1" applyAlignment="1">
      <alignment horizontal="left"/>
    </xf>
    <xf numFmtId="0" fontId="86" fillId="13" borderId="0" xfId="954" applyFont="1" applyFill="1" applyAlignment="1">
      <alignment vertical="center"/>
    </xf>
    <xf numFmtId="0" fontId="86" fillId="13" borderId="0" xfId="954" applyFont="1" applyFill="1" applyAlignment="1">
      <alignment horizontal="center" vertical="center"/>
    </xf>
    <xf numFmtId="0" fontId="86" fillId="13" borderId="0" xfId="954" applyFont="1" applyFill="1" applyAlignment="1">
      <alignment horizontal="right" vertical="center"/>
    </xf>
    <xf numFmtId="0" fontId="86" fillId="13" borderId="0" xfId="954" applyFont="1" applyFill="1" applyAlignment="1">
      <alignment horizontal="left" vertical="center"/>
    </xf>
    <xf numFmtId="0" fontId="86" fillId="13" borderId="0" xfId="954" applyFont="1" applyFill="1" applyAlignment="1">
      <alignment horizontal="right" vertical="center" indent="1"/>
    </xf>
    <xf numFmtId="0" fontId="86" fillId="13" borderId="0" xfId="954" applyFont="1" applyFill="1" applyAlignment="1">
      <alignment vertical="top"/>
    </xf>
    <xf numFmtId="168" fontId="86" fillId="13" borderId="0" xfId="954" applyNumberFormat="1" applyFont="1" applyFill="1" applyAlignment="1">
      <alignment vertical="top"/>
    </xf>
    <xf numFmtId="168" fontId="86" fillId="13" borderId="0" xfId="954" applyNumberFormat="1" applyFont="1" applyFill="1" applyAlignment="1">
      <alignment horizontal="right" vertical="top"/>
    </xf>
    <xf numFmtId="0" fontId="86" fillId="13" borderId="0" xfId="954" applyFont="1" applyFill="1" applyAlignment="1">
      <alignment horizontal="right" vertical="top" indent="1"/>
    </xf>
    <xf numFmtId="0" fontId="86" fillId="13" borderId="0" xfId="954" applyFont="1" applyFill="1" applyAlignment="1">
      <alignment horizontal="right" vertical="top"/>
    </xf>
    <xf numFmtId="0" fontId="86" fillId="13" borderId="0" xfId="954" applyFont="1" applyFill="1" applyAlignment="1">
      <alignment horizontal="center" vertical="top"/>
    </xf>
    <xf numFmtId="0" fontId="86" fillId="13" borderId="0" xfId="954" applyFont="1" applyFill="1" applyAlignment="1">
      <alignment horizontal="center"/>
    </xf>
    <xf numFmtId="0" fontId="86" fillId="13" borderId="0" xfId="873" applyFont="1" applyFill="1"/>
    <xf numFmtId="164" fontId="86" fillId="13" borderId="0" xfId="1446" applyFont="1" applyFill="1" applyAlignment="1"/>
    <xf numFmtId="0" fontId="86" fillId="13" borderId="0" xfId="873" applyFont="1" applyFill="1" applyAlignment="1">
      <alignment horizontal="center"/>
    </xf>
    <xf numFmtId="0" fontId="85" fillId="13" borderId="0" xfId="954" applyFont="1" applyFill="1" applyAlignment="1">
      <alignment vertical="center"/>
    </xf>
    <xf numFmtId="0" fontId="85" fillId="13" borderId="5" xfId="1481" applyFont="1" applyFill="1" applyBorder="1" applyAlignment="1">
      <alignment horizontal="center" vertical="center"/>
    </xf>
    <xf numFmtId="0" fontId="85" fillId="13" borderId="5" xfId="1481" applyFont="1" applyFill="1" applyBorder="1" applyAlignment="1">
      <alignment vertical="center" wrapText="1"/>
    </xf>
    <xf numFmtId="164" fontId="85" fillId="13" borderId="5" xfId="1474" applyFont="1" applyFill="1" applyBorder="1" applyAlignment="1" applyProtection="1">
      <alignment horizontal="center" vertical="center"/>
      <protection locked="0"/>
    </xf>
    <xf numFmtId="164" fontId="85" fillId="13" borderId="5" xfId="1474" applyFont="1" applyFill="1" applyBorder="1" applyAlignment="1">
      <alignment horizontal="center" vertical="center"/>
    </xf>
    <xf numFmtId="0" fontId="85" fillId="13" borderId="33" xfId="1481" applyFont="1" applyFill="1" applyBorder="1" applyAlignment="1">
      <alignment horizontal="center" vertical="center"/>
    </xf>
    <xf numFmtId="0" fontId="85" fillId="13" borderId="33" xfId="1481" applyFont="1" applyFill="1" applyBorder="1" applyAlignment="1">
      <alignment vertical="center" wrapText="1"/>
    </xf>
    <xf numFmtId="164" fontId="86" fillId="13" borderId="33" xfId="1474" applyFont="1" applyFill="1" applyBorder="1" applyAlignment="1" applyProtection="1">
      <alignment horizontal="center" vertical="center"/>
      <protection locked="0"/>
    </xf>
    <xf numFmtId="164" fontId="86" fillId="13" borderId="33" xfId="1474" applyFont="1" applyFill="1" applyBorder="1" applyAlignment="1">
      <alignment horizontal="center" vertical="center"/>
    </xf>
    <xf numFmtId="0" fontId="86" fillId="13" borderId="11" xfId="1481" applyFont="1" applyFill="1" applyBorder="1" applyAlignment="1">
      <alignment horizontal="center" vertical="center"/>
    </xf>
    <xf numFmtId="0" fontId="86" fillId="13" borderId="11" xfId="1481" applyFont="1" applyFill="1" applyBorder="1" applyAlignment="1">
      <alignment vertical="center" wrapText="1"/>
    </xf>
    <xf numFmtId="164" fontId="86" fillId="13" borderId="11" xfId="1474" applyFont="1" applyFill="1" applyBorder="1" applyAlignment="1" applyProtection="1">
      <alignment horizontal="center" vertical="center"/>
      <protection locked="0"/>
    </xf>
    <xf numFmtId="164" fontId="86" fillId="13" borderId="11" xfId="1474" applyFont="1" applyFill="1" applyBorder="1" applyAlignment="1">
      <alignment horizontal="center" vertical="center"/>
    </xf>
    <xf numFmtId="0" fontId="85" fillId="13" borderId="11" xfId="1481" applyFont="1" applyFill="1" applyBorder="1" applyAlignment="1">
      <alignment horizontal="center" vertical="center"/>
    </xf>
    <xf numFmtId="0" fontId="85" fillId="13" borderId="11" xfId="1481" applyFont="1" applyFill="1" applyBorder="1" applyAlignment="1">
      <alignment vertical="center" wrapText="1"/>
    </xf>
    <xf numFmtId="0" fontId="85" fillId="13" borderId="11" xfId="1481" applyFont="1" applyFill="1" applyBorder="1" applyAlignment="1">
      <alignment vertical="center"/>
    </xf>
    <xf numFmtId="43" fontId="86" fillId="13" borderId="11" xfId="261" applyFont="1" applyFill="1" applyBorder="1" applyAlignment="1" applyProtection="1">
      <alignment horizontal="center" vertical="center"/>
      <protection locked="0"/>
    </xf>
    <xf numFmtId="0" fontId="86" fillId="13" borderId="28" xfId="1481" applyFont="1" applyFill="1" applyBorder="1" applyAlignment="1">
      <alignment horizontal="center" vertical="center"/>
    </xf>
    <xf numFmtId="0" fontId="86" fillId="13" borderId="28" xfId="1481" applyFont="1" applyFill="1" applyBorder="1" applyAlignment="1">
      <alignment vertical="center" wrapText="1"/>
    </xf>
    <xf numFmtId="164" fontId="86" fillId="13" borderId="28" xfId="1474" applyFont="1" applyFill="1" applyBorder="1" applyAlignment="1" applyProtection="1">
      <alignment horizontal="center" vertical="center"/>
      <protection locked="0"/>
    </xf>
    <xf numFmtId="164" fontId="86" fillId="13" borderId="28" xfId="1474" applyFont="1" applyFill="1" applyBorder="1" applyAlignment="1">
      <alignment horizontal="center" vertical="center"/>
    </xf>
    <xf numFmtId="0" fontId="86" fillId="13" borderId="33" xfId="1481" applyFont="1" applyFill="1" applyBorder="1" applyAlignment="1">
      <alignment horizontal="center" vertical="center"/>
    </xf>
    <xf numFmtId="164" fontId="86" fillId="13" borderId="33" xfId="1446" applyFont="1" applyFill="1" applyBorder="1" applyAlignment="1">
      <alignment horizontal="left" vertical="center"/>
    </xf>
    <xf numFmtId="0" fontId="86" fillId="13" borderId="20" xfId="1481" applyFont="1" applyFill="1" applyBorder="1" applyAlignment="1">
      <alignment horizontal="center" vertical="center"/>
    </xf>
    <xf numFmtId="0" fontId="86" fillId="13" borderId="20" xfId="1481" applyFont="1" applyFill="1" applyBorder="1" applyAlignment="1">
      <alignment vertical="center" wrapText="1"/>
    </xf>
    <xf numFmtId="164" fontId="86" fillId="13" borderId="20" xfId="1474" applyFont="1" applyFill="1" applyBorder="1" applyAlignment="1" applyProtection="1">
      <alignment horizontal="center" vertical="center"/>
      <protection locked="0"/>
    </xf>
    <xf numFmtId="164" fontId="86" fillId="13" borderId="20" xfId="1474" applyFont="1" applyFill="1" applyBorder="1" applyAlignment="1">
      <alignment horizontal="center" vertical="center"/>
    </xf>
    <xf numFmtId="164" fontId="86" fillId="13" borderId="20" xfId="1474" applyFont="1" applyFill="1" applyBorder="1" applyAlignment="1">
      <alignment vertical="center"/>
    </xf>
    <xf numFmtId="0" fontId="86" fillId="13" borderId="33" xfId="1481" applyFont="1" applyFill="1" applyBorder="1" applyAlignment="1">
      <alignment horizontal="center" vertical="top"/>
    </xf>
    <xf numFmtId="0" fontId="86" fillId="13" borderId="33" xfId="1481" applyFont="1" applyFill="1" applyBorder="1" applyAlignment="1">
      <alignment horizontal="left" vertical="top" wrapText="1"/>
    </xf>
    <xf numFmtId="164" fontId="86" fillId="13" borderId="33" xfId="1474" applyFont="1" applyFill="1" applyBorder="1" applyAlignment="1">
      <alignment horizontal="center" vertical="top"/>
    </xf>
    <xf numFmtId="0" fontId="85" fillId="13" borderId="0" xfId="954" applyFont="1" applyFill="1" applyAlignment="1">
      <alignment vertical="top"/>
    </xf>
    <xf numFmtId="0" fontId="86" fillId="13" borderId="11" xfId="1481" applyFont="1" applyFill="1" applyBorder="1" applyAlignment="1">
      <alignment horizontal="left" vertical="center"/>
    </xf>
    <xf numFmtId="0" fontId="86" fillId="13" borderId="28" xfId="1481" applyFont="1" applyFill="1" applyBorder="1" applyAlignment="1">
      <alignment horizontal="left" vertical="center"/>
    </xf>
    <xf numFmtId="0" fontId="85" fillId="13" borderId="5" xfId="1481" applyFont="1" applyFill="1" applyBorder="1" applyAlignment="1">
      <alignment vertical="center"/>
    </xf>
    <xf numFmtId="43" fontId="86" fillId="13" borderId="0" xfId="1446" applyNumberFormat="1" applyFont="1" applyFill="1" applyBorder="1" applyAlignment="1">
      <alignment horizontal="left" vertical="center"/>
    </xf>
    <xf numFmtId="0" fontId="86" fillId="13" borderId="0" xfId="0" applyFont="1" applyFill="1" applyAlignment="1">
      <alignment vertical="center"/>
    </xf>
    <xf numFmtId="164" fontId="86" fillId="13" borderId="0" xfId="1446" applyFont="1" applyFill="1" applyBorder="1" applyAlignment="1">
      <alignment vertical="center"/>
    </xf>
    <xf numFmtId="0" fontId="85" fillId="13" borderId="55" xfId="1481" applyFont="1" applyFill="1" applyBorder="1" applyAlignment="1">
      <alignment horizontal="center" vertical="center"/>
    </xf>
    <xf numFmtId="0" fontId="86" fillId="13" borderId="55" xfId="1481" applyFont="1" applyFill="1" applyBorder="1" applyAlignment="1">
      <alignment horizontal="left" vertical="center"/>
    </xf>
    <xf numFmtId="164" fontId="86" fillId="13" borderId="55" xfId="1474" applyFont="1" applyFill="1" applyBorder="1" applyAlignment="1">
      <alignment horizontal="center" vertical="center"/>
    </xf>
    <xf numFmtId="0" fontId="85" fillId="13" borderId="85" xfId="954" applyFont="1" applyFill="1" applyBorder="1" applyAlignment="1">
      <alignment horizontal="center" vertical="center"/>
    </xf>
    <xf numFmtId="0" fontId="85" fillId="13" borderId="85" xfId="0" applyFont="1" applyFill="1" applyBorder="1" applyAlignment="1">
      <alignment horizontal="center" vertical="center"/>
    </xf>
    <xf numFmtId="164" fontId="85" fillId="13" borderId="85" xfId="1446" applyFont="1" applyFill="1" applyBorder="1" applyAlignment="1">
      <alignment horizontal="left" vertical="center"/>
    </xf>
    <xf numFmtId="0" fontId="86" fillId="13" borderId="0" xfId="954" applyFont="1" applyFill="1"/>
    <xf numFmtId="165" fontId="86" fillId="13" borderId="0" xfId="244" applyNumberFormat="1" applyFont="1" applyFill="1" applyAlignment="1">
      <alignment horizontal="center"/>
    </xf>
    <xf numFmtId="164" fontId="86" fillId="13" borderId="0" xfId="244" applyFont="1" applyFill="1"/>
    <xf numFmtId="0" fontId="85" fillId="13" borderId="0" xfId="954" applyFont="1" applyFill="1" applyAlignment="1">
      <alignment horizontal="left" vertical="center"/>
    </xf>
    <xf numFmtId="0" fontId="101" fillId="13" borderId="0" xfId="873" applyFont="1" applyFill="1" applyAlignment="1">
      <alignment vertical="center"/>
    </xf>
    <xf numFmtId="165" fontId="86" fillId="13" borderId="0" xfId="244" applyNumberFormat="1" applyFont="1" applyFill="1"/>
    <xf numFmtId="43" fontId="86" fillId="13" borderId="0" xfId="100" applyFont="1" applyFill="1" applyAlignment="1">
      <alignment vertical="center"/>
    </xf>
    <xf numFmtId="0" fontId="86" fillId="13" borderId="0" xfId="873" applyFont="1" applyFill="1" applyAlignment="1">
      <alignment vertical="center" wrapText="1"/>
    </xf>
    <xf numFmtId="0" fontId="85" fillId="13" borderId="5" xfId="954" applyFont="1" applyFill="1" applyBorder="1" applyAlignment="1">
      <alignment horizontal="center" vertical="center"/>
    </xf>
    <xf numFmtId="0" fontId="85" fillId="13" borderId="5" xfId="954" applyFont="1" applyFill="1" applyBorder="1" applyAlignment="1">
      <alignment vertical="center"/>
    </xf>
    <xf numFmtId="4" fontId="85" fillId="13" borderId="5" xfId="954" applyNumberFormat="1" applyFont="1" applyFill="1" applyBorder="1" applyAlignment="1">
      <alignment vertical="center"/>
    </xf>
    <xf numFmtId="164" fontId="85" fillId="13" borderId="5" xfId="1446" applyFont="1" applyFill="1" applyBorder="1" applyAlignment="1">
      <alignment vertical="center" wrapText="1"/>
    </xf>
    <xf numFmtId="0" fontId="85" fillId="13" borderId="5" xfId="0" applyFont="1" applyFill="1" applyBorder="1" applyAlignment="1">
      <alignment horizontal="left" vertical="center" wrapText="1"/>
    </xf>
    <xf numFmtId="0" fontId="86" fillId="13" borderId="5" xfId="954" applyFont="1" applyFill="1" applyBorder="1" applyAlignment="1">
      <alignment horizontal="center" vertical="center"/>
    </xf>
    <xf numFmtId="0" fontId="86" fillId="13" borderId="5" xfId="954" applyFont="1" applyFill="1" applyBorder="1" applyAlignment="1">
      <alignment vertical="center"/>
    </xf>
    <xf numFmtId="4" fontId="86" fillId="13" borderId="5" xfId="954" applyNumberFormat="1" applyFont="1" applyFill="1" applyBorder="1" applyAlignment="1">
      <alignment vertical="center"/>
    </xf>
    <xf numFmtId="164" fontId="86" fillId="13" borderId="5" xfId="1446" applyFont="1" applyFill="1" applyBorder="1" applyAlignment="1">
      <alignment vertical="center" wrapText="1"/>
    </xf>
    <xf numFmtId="0" fontId="86" fillId="13" borderId="5" xfId="0" applyFont="1" applyFill="1" applyBorder="1" applyAlignment="1">
      <alignment horizontal="left" vertical="center" wrapText="1"/>
    </xf>
    <xf numFmtId="164" fontId="86" fillId="13" borderId="5" xfId="1446" applyFont="1" applyFill="1" applyBorder="1" applyAlignment="1">
      <alignment vertical="center"/>
    </xf>
    <xf numFmtId="0" fontId="86" fillId="13" borderId="5" xfId="954" applyFont="1" applyFill="1" applyBorder="1" applyAlignment="1">
      <alignment horizontal="center" vertical="center" wrapText="1"/>
    </xf>
    <xf numFmtId="167" fontId="86" fillId="13" borderId="5" xfId="954" applyNumberFormat="1" applyFont="1" applyFill="1" applyBorder="1" applyAlignment="1">
      <alignment vertical="center"/>
    </xf>
    <xf numFmtId="0" fontId="85" fillId="13" borderId="5" xfId="954" applyFont="1" applyFill="1" applyBorder="1" applyAlignment="1">
      <alignment horizontal="center" vertical="top"/>
    </xf>
    <xf numFmtId="0" fontId="85" fillId="13" borderId="5" xfId="954" applyFont="1" applyFill="1" applyBorder="1" applyAlignment="1">
      <alignment vertical="top"/>
    </xf>
    <xf numFmtId="167" fontId="85" fillId="13" borderId="5" xfId="954" applyNumberFormat="1" applyFont="1" applyFill="1" applyBorder="1" applyAlignment="1">
      <alignment vertical="top"/>
    </xf>
    <xf numFmtId="0" fontId="86" fillId="13" borderId="5" xfId="954" applyFont="1" applyFill="1" applyBorder="1" applyAlignment="1">
      <alignment horizontal="center" vertical="top"/>
    </xf>
    <xf numFmtId="0" fontId="86" fillId="13" borderId="5" xfId="954" applyFont="1" applyFill="1" applyBorder="1" applyAlignment="1">
      <alignment vertical="top"/>
    </xf>
    <xf numFmtId="167" fontId="86" fillId="13" borderId="0" xfId="954" applyNumberFormat="1" applyFont="1" applyFill="1" applyAlignment="1">
      <alignment vertical="top"/>
    </xf>
    <xf numFmtId="0" fontId="86" fillId="13" borderId="62" xfId="954" applyFont="1" applyFill="1" applyBorder="1" applyAlignment="1">
      <alignment horizontal="center" vertical="top"/>
    </xf>
    <xf numFmtId="0" fontId="86" fillId="13" borderId="62" xfId="954" applyFont="1" applyFill="1" applyBorder="1" applyAlignment="1">
      <alignment vertical="top"/>
    </xf>
    <xf numFmtId="0" fontId="86" fillId="13" borderId="55" xfId="954" applyFont="1" applyFill="1" applyBorder="1" applyAlignment="1">
      <alignment horizontal="center" vertical="center"/>
    </xf>
    <xf numFmtId="0" fontId="86" fillId="13" borderId="55" xfId="954" applyFont="1" applyFill="1" applyBorder="1" applyAlignment="1">
      <alignment vertical="center"/>
    </xf>
    <xf numFmtId="0" fontId="85" fillId="13" borderId="55" xfId="954" applyFont="1" applyFill="1" applyBorder="1" applyAlignment="1">
      <alignment horizontal="center" vertical="center"/>
    </xf>
    <xf numFmtId="0" fontId="85" fillId="13" borderId="55" xfId="954" applyFont="1" applyFill="1" applyBorder="1" applyAlignment="1">
      <alignment vertical="center"/>
    </xf>
    <xf numFmtId="167" fontId="85" fillId="13" borderId="55" xfId="954" applyNumberFormat="1" applyFont="1" applyFill="1" applyBorder="1" applyAlignment="1">
      <alignment vertical="center"/>
    </xf>
    <xf numFmtId="0" fontId="86" fillId="13" borderId="9" xfId="954" applyFont="1" applyFill="1" applyBorder="1" applyAlignment="1">
      <alignment horizontal="center"/>
    </xf>
    <xf numFmtId="0" fontId="86" fillId="13" borderId="9" xfId="954" applyFont="1" applyFill="1" applyBorder="1" applyAlignment="1">
      <alignment horizontal="right"/>
    </xf>
    <xf numFmtId="0" fontId="86" fillId="13" borderId="9" xfId="954" applyFont="1" applyFill="1" applyBorder="1"/>
    <xf numFmtId="167" fontId="86" fillId="13" borderId="9" xfId="954" applyNumberFormat="1" applyFont="1" applyFill="1" applyBorder="1"/>
    <xf numFmtId="0" fontId="86" fillId="13" borderId="5" xfId="954" applyFont="1" applyFill="1" applyBorder="1" applyAlignment="1">
      <alignment horizontal="center"/>
    </xf>
    <xf numFmtId="0" fontId="86" fillId="13" borderId="5" xfId="954" applyFont="1" applyFill="1" applyBorder="1" applyAlignment="1">
      <alignment horizontal="right"/>
    </xf>
    <xf numFmtId="0" fontId="86" fillId="13" borderId="5" xfId="954" applyFont="1" applyFill="1" applyBorder="1"/>
    <xf numFmtId="43" fontId="86" fillId="13" borderId="5" xfId="954" applyNumberFormat="1" applyFont="1" applyFill="1" applyBorder="1"/>
    <xf numFmtId="164" fontId="70" fillId="0" borderId="11" xfId="1446" quotePrefix="1" applyFont="1" applyFill="1" applyBorder="1" applyAlignment="1">
      <alignment horizontal="right" vertical="center" wrapText="1"/>
    </xf>
    <xf numFmtId="168" fontId="6" fillId="6" borderId="79" xfId="953" applyNumberFormat="1" applyFont="1" applyFill="1" applyBorder="1" applyAlignment="1">
      <alignment horizontal="center"/>
    </xf>
    <xf numFmtId="168" fontId="6" fillId="6" borderId="80" xfId="953" applyNumberFormat="1" applyFont="1" applyFill="1" applyBorder="1" applyAlignment="1">
      <alignment horizontal="center"/>
    </xf>
    <xf numFmtId="0" fontId="5" fillId="0" borderId="81" xfId="953" applyFont="1" applyBorder="1" applyAlignment="1">
      <alignment horizontal="center"/>
    </xf>
    <xf numFmtId="0" fontId="5" fillId="0" borderId="31" xfId="953" applyFont="1" applyBorder="1" applyAlignment="1">
      <alignment horizontal="center"/>
    </xf>
    <xf numFmtId="164" fontId="11" fillId="0" borderId="63" xfId="1446" applyFont="1" applyBorder="1" applyAlignment="1">
      <alignment horizontal="left" vertical="top"/>
    </xf>
    <xf numFmtId="164" fontId="11" fillId="0" borderId="7" xfId="1446" applyFont="1" applyBorder="1" applyAlignment="1">
      <alignment horizontal="left" vertical="top"/>
    </xf>
    <xf numFmtId="0" fontId="0" fillId="0" borderId="0" xfId="0"/>
    <xf numFmtId="164" fontId="6" fillId="0" borderId="53" xfId="1446" applyFont="1" applyBorder="1" applyAlignment="1">
      <alignment horizontal="center"/>
    </xf>
    <xf numFmtId="0" fontId="6" fillId="0" borderId="57" xfId="953" applyFont="1" applyBorder="1" applyAlignment="1">
      <alignment horizontal="center" vertical="center" wrapText="1"/>
    </xf>
    <xf numFmtId="0" fontId="6" fillId="0" borderId="9" xfId="953" applyFont="1" applyBorder="1" applyAlignment="1">
      <alignment horizontal="center" vertical="center" wrapText="1"/>
    </xf>
    <xf numFmtId="0" fontId="71" fillId="0" borderId="56" xfId="873" applyFont="1" applyBorder="1" applyAlignment="1">
      <alignment vertical="top" wrapText="1"/>
    </xf>
    <xf numFmtId="0" fontId="71" fillId="0" borderId="51" xfId="873" applyFont="1" applyBorder="1" applyAlignment="1">
      <alignment vertical="top" wrapText="1"/>
    </xf>
    <xf numFmtId="0" fontId="69" fillId="0" borderId="91" xfId="873" applyFont="1" applyBorder="1" applyAlignment="1">
      <alignment horizontal="left" vertical="center" wrapText="1"/>
    </xf>
    <xf numFmtId="0" fontId="69" fillId="0" borderId="82" xfId="873" applyFont="1" applyBorder="1" applyAlignment="1">
      <alignment horizontal="left" vertical="center" wrapText="1"/>
    </xf>
    <xf numFmtId="0" fontId="70" fillId="0" borderId="56" xfId="873" applyFont="1" applyBorder="1" applyAlignment="1">
      <alignment vertical="center" wrapText="1"/>
    </xf>
    <xf numFmtId="0" fontId="70" fillId="0" borderId="51" xfId="873" applyFont="1" applyBorder="1" applyAlignment="1">
      <alignment vertical="center" wrapText="1"/>
    </xf>
    <xf numFmtId="43" fontId="70" fillId="0" borderId="0" xfId="454" applyFont="1" applyFill="1" applyBorder="1" applyAlignment="1"/>
    <xf numFmtId="3" fontId="69" fillId="0" borderId="83" xfId="955" applyNumberFormat="1" applyFont="1" applyBorder="1" applyAlignment="1">
      <alignment horizontal="center" vertical="center" wrapText="1"/>
    </xf>
    <xf numFmtId="3" fontId="69" fillId="0" borderId="84" xfId="955" applyNumberFormat="1" applyFont="1" applyBorder="1" applyAlignment="1">
      <alignment horizontal="center" vertical="center" wrapText="1"/>
    </xf>
    <xf numFmtId="3" fontId="69" fillId="0" borderId="64" xfId="955" applyNumberFormat="1" applyFont="1" applyBorder="1" applyAlignment="1">
      <alignment horizontal="center" vertical="center" wrapText="1"/>
    </xf>
    <xf numFmtId="3" fontId="69" fillId="0" borderId="69" xfId="955" applyNumberFormat="1" applyFont="1" applyBorder="1" applyAlignment="1">
      <alignment horizontal="center" vertical="center" wrapText="1"/>
    </xf>
    <xf numFmtId="0" fontId="70" fillId="0" borderId="58" xfId="873" applyFont="1" applyBorder="1" applyAlignment="1">
      <alignment vertical="center" wrapText="1"/>
    </xf>
    <xf numFmtId="0" fontId="70" fillId="0" borderId="54" xfId="873" applyFont="1" applyBorder="1" applyAlignment="1">
      <alignment vertical="center" wrapText="1"/>
    </xf>
    <xf numFmtId="0" fontId="90" fillId="0" borderId="0" xfId="954" applyFont="1" applyAlignment="1">
      <alignment horizontal="center" vertical="center"/>
    </xf>
    <xf numFmtId="0" fontId="69" fillId="0" borderId="62" xfId="954" applyFont="1" applyBorder="1" applyAlignment="1">
      <alignment horizontal="center" vertical="center"/>
    </xf>
    <xf numFmtId="0" fontId="69" fillId="0" borderId="9" xfId="954" applyFont="1" applyBorder="1" applyAlignment="1">
      <alignment horizontal="center" vertical="center"/>
    </xf>
    <xf numFmtId="164" fontId="69" fillId="0" borderId="62" xfId="1446" applyFont="1" applyFill="1" applyBorder="1" applyAlignment="1">
      <alignment horizontal="center" vertical="center" wrapText="1"/>
    </xf>
    <xf numFmtId="164" fontId="69" fillId="0" borderId="9" xfId="1446" applyFont="1" applyFill="1" applyBorder="1" applyAlignment="1">
      <alignment horizontal="center" vertical="center" wrapText="1"/>
    </xf>
    <xf numFmtId="0" fontId="91" fillId="0" borderId="0" xfId="0" applyFont="1"/>
    <xf numFmtId="43" fontId="70" fillId="0" borderId="0" xfId="454" applyFont="1" applyFill="1" applyBorder="1" applyAlignment="1">
      <alignment horizontal="left" vertical="center"/>
    </xf>
    <xf numFmtId="0" fontId="69" fillId="0" borderId="57" xfId="954" applyFont="1" applyBorder="1" applyAlignment="1">
      <alignment horizontal="center" vertical="center"/>
    </xf>
    <xf numFmtId="0" fontId="69" fillId="0" borderId="68" xfId="954" applyFont="1" applyBorder="1" applyAlignment="1">
      <alignment horizontal="center" vertical="center"/>
    </xf>
    <xf numFmtId="0" fontId="69" fillId="0" borderId="67" xfId="0" applyFont="1" applyBorder="1" applyAlignment="1">
      <alignment horizontal="center" vertical="center"/>
    </xf>
    <xf numFmtId="0" fontId="69" fillId="0" borderId="66" xfId="0" applyFont="1" applyBorder="1" applyAlignment="1">
      <alignment horizontal="center" vertical="center"/>
    </xf>
    <xf numFmtId="0" fontId="69" fillId="0" borderId="65" xfId="0" applyFont="1" applyBorder="1" applyAlignment="1">
      <alignment horizontal="center" vertical="center"/>
    </xf>
    <xf numFmtId="0" fontId="69" fillId="0" borderId="0" xfId="1473" applyFont="1" applyAlignment="1">
      <alignment horizontal="center" vertical="center"/>
    </xf>
    <xf numFmtId="0" fontId="70" fillId="0" borderId="0" xfId="0" applyFont="1"/>
    <xf numFmtId="164" fontId="71" fillId="0" borderId="62" xfId="1446" applyFont="1" applyBorder="1" applyAlignment="1">
      <alignment horizontal="center" vertical="center" wrapText="1"/>
    </xf>
    <xf numFmtId="164" fontId="71" fillId="0" borderId="9" xfId="1446" applyFont="1" applyBorder="1" applyAlignment="1">
      <alignment horizontal="center" vertical="center" wrapText="1"/>
    </xf>
    <xf numFmtId="0" fontId="71" fillId="0" borderId="62" xfId="1481" applyFont="1" applyBorder="1" applyAlignment="1">
      <alignment horizontal="center" vertical="center" wrapText="1"/>
    </xf>
    <xf numFmtId="0" fontId="71" fillId="0" borderId="9" xfId="1481" applyFont="1" applyBorder="1" applyAlignment="1">
      <alignment horizontal="center" vertical="center" wrapText="1"/>
    </xf>
    <xf numFmtId="0" fontId="71" fillId="0" borderId="62" xfId="0" applyFont="1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69" fillId="0" borderId="62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0" fontId="69" fillId="0" borderId="0" xfId="954" applyFont="1" applyAlignment="1">
      <alignment horizontal="center" vertical="center"/>
    </xf>
    <xf numFmtId="0" fontId="69" fillId="0" borderId="62" xfId="954" applyFont="1" applyBorder="1" applyAlignment="1">
      <alignment horizontal="center" vertical="center" wrapText="1"/>
    </xf>
    <xf numFmtId="0" fontId="69" fillId="0" borderId="9" xfId="954" applyFont="1" applyBorder="1" applyAlignment="1">
      <alignment horizontal="center" vertical="center" wrapText="1"/>
    </xf>
    <xf numFmtId="0" fontId="70" fillId="0" borderId="15" xfId="0" applyFont="1" applyBorder="1"/>
    <xf numFmtId="167" fontId="66" fillId="0" borderId="0" xfId="455" applyNumberFormat="1" applyFont="1" applyFill="1" applyBorder="1" applyAlignment="1">
      <alignment horizontal="left" vertical="center"/>
    </xf>
    <xf numFmtId="164" fontId="66" fillId="0" borderId="0" xfId="1482" applyNumberFormat="1" applyFont="1" applyFill="1" applyBorder="1" applyAlignment="1">
      <alignment horizontal="left" vertical="center"/>
    </xf>
    <xf numFmtId="167" fontId="66" fillId="0" borderId="0" xfId="455" applyNumberFormat="1" applyFont="1" applyFill="1" applyBorder="1" applyAlignment="1">
      <alignment vertical="center"/>
    </xf>
    <xf numFmtId="0" fontId="66" fillId="0" borderId="0" xfId="1473" applyFont="1" applyAlignment="1">
      <alignment horizontal="left" vertical="center"/>
    </xf>
    <xf numFmtId="164" fontId="67" fillId="0" borderId="0" xfId="1482" applyNumberFormat="1" applyFont="1" applyFill="1" applyBorder="1" applyAlignment="1">
      <alignment horizontal="left" vertical="center"/>
    </xf>
    <xf numFmtId="0" fontId="95" fillId="0" borderId="0" xfId="954" applyFont="1" applyAlignment="1">
      <alignment horizontal="center" vertical="center"/>
    </xf>
    <xf numFmtId="0" fontId="66" fillId="0" borderId="0" xfId="0" applyFont="1"/>
    <xf numFmtId="0" fontId="95" fillId="0" borderId="5" xfId="0" applyFont="1" applyBorder="1" applyAlignment="1">
      <alignment horizontal="center" vertical="center"/>
    </xf>
    <xf numFmtId="43" fontId="95" fillId="0" borderId="5" xfId="454" applyFont="1" applyFill="1" applyBorder="1" applyAlignment="1">
      <alignment horizontal="center" vertical="center"/>
    </xf>
    <xf numFmtId="43" fontId="70" fillId="13" borderId="0" xfId="454" applyFont="1" applyFill="1" applyBorder="1" applyAlignment="1"/>
    <xf numFmtId="43" fontId="70" fillId="13" borderId="0" xfId="454" applyFont="1" applyFill="1" applyBorder="1" applyAlignment="1">
      <alignment horizontal="left"/>
    </xf>
    <xf numFmtId="43" fontId="70" fillId="13" borderId="0" xfId="454" applyFont="1" applyFill="1" applyBorder="1" applyAlignment="1">
      <alignment horizontal="left" vertical="center"/>
    </xf>
    <xf numFmtId="0" fontId="71" fillId="13" borderId="56" xfId="873" applyFont="1" applyFill="1" applyBorder="1" applyAlignment="1">
      <alignment horizontal="left" vertical="center"/>
    </xf>
    <xf numFmtId="0" fontId="71" fillId="13" borderId="58" xfId="873" applyFont="1" applyFill="1" applyBorder="1" applyAlignment="1">
      <alignment horizontal="left" vertical="center"/>
    </xf>
    <xf numFmtId="0" fontId="71" fillId="13" borderId="51" xfId="873" applyFont="1" applyFill="1" applyBorder="1" applyAlignment="1">
      <alignment horizontal="left" vertical="center"/>
    </xf>
    <xf numFmtId="0" fontId="71" fillId="13" borderId="59" xfId="873" applyFont="1" applyFill="1" applyBorder="1" applyAlignment="1">
      <alignment horizontal="left" vertical="center"/>
    </xf>
    <xf numFmtId="0" fontId="71" fillId="13" borderId="52" xfId="873" applyFont="1" applyFill="1" applyBorder="1" applyAlignment="1">
      <alignment horizontal="left" vertical="center"/>
    </xf>
    <xf numFmtId="0" fontId="71" fillId="13" borderId="54" xfId="873" applyFont="1" applyFill="1" applyBorder="1" applyAlignment="1">
      <alignment horizontal="left" vertical="center"/>
    </xf>
    <xf numFmtId="0" fontId="71" fillId="13" borderId="64" xfId="873" applyFont="1" applyFill="1" applyBorder="1" applyAlignment="1">
      <alignment horizontal="left" vertical="center"/>
    </xf>
    <xf numFmtId="0" fontId="71" fillId="13" borderId="69" xfId="873" applyFont="1" applyFill="1" applyBorder="1" applyAlignment="1">
      <alignment horizontal="left" vertical="center"/>
    </xf>
    <xf numFmtId="0" fontId="69" fillId="13" borderId="0" xfId="0" applyFont="1" applyFill="1" applyAlignment="1">
      <alignment horizontal="center"/>
    </xf>
    <xf numFmtId="0" fontId="70" fillId="13" borderId="0" xfId="0" applyFont="1" applyFill="1"/>
    <xf numFmtId="0" fontId="71" fillId="13" borderId="5" xfId="873" applyFont="1" applyFill="1" applyBorder="1" applyAlignment="1">
      <alignment horizontal="center" vertical="center"/>
    </xf>
    <xf numFmtId="164" fontId="71" fillId="13" borderId="5" xfId="1446" applyFont="1" applyFill="1" applyBorder="1" applyAlignment="1">
      <alignment horizontal="center" vertical="center"/>
    </xf>
    <xf numFmtId="164" fontId="69" fillId="13" borderId="5" xfId="244" applyFont="1" applyFill="1" applyBorder="1" applyAlignment="1">
      <alignment horizontal="center" vertical="center"/>
    </xf>
    <xf numFmtId="164" fontId="71" fillId="13" borderId="2" xfId="1446" applyFont="1" applyFill="1" applyBorder="1" applyAlignment="1">
      <alignment horizontal="left"/>
    </xf>
    <xf numFmtId="0" fontId="71" fillId="13" borderId="50" xfId="873" applyFont="1" applyFill="1" applyBorder="1" applyAlignment="1">
      <alignment horizontal="left" vertical="center"/>
    </xf>
    <xf numFmtId="0" fontId="71" fillId="13" borderId="8" xfId="873" applyFont="1" applyFill="1" applyBorder="1" applyAlignment="1">
      <alignment horizontal="left" vertical="center"/>
    </xf>
    <xf numFmtId="0" fontId="86" fillId="13" borderId="0" xfId="1481" applyFont="1" applyFill="1" applyAlignment="1">
      <alignment horizontal="center" vertical="center"/>
    </xf>
    <xf numFmtId="0" fontId="88" fillId="13" borderId="0" xfId="1481" applyFont="1" applyFill="1" applyAlignment="1">
      <alignment horizontal="center" vertical="center"/>
    </xf>
    <xf numFmtId="0" fontId="85" fillId="13" borderId="56" xfId="1481" applyFont="1" applyFill="1" applyBorder="1" applyAlignment="1">
      <alignment horizontal="left" vertical="center"/>
    </xf>
    <xf numFmtId="0" fontId="85" fillId="13" borderId="9" xfId="1481" applyFont="1" applyFill="1" applyBorder="1" applyAlignment="1">
      <alignment horizontal="left"/>
    </xf>
    <xf numFmtId="0" fontId="85" fillId="13" borderId="58" xfId="1481" applyFont="1" applyFill="1" applyBorder="1" applyAlignment="1">
      <alignment horizontal="left" vertical="center"/>
    </xf>
    <xf numFmtId="0" fontId="85" fillId="13" borderId="56" xfId="1481" applyFont="1" applyFill="1" applyBorder="1" applyAlignment="1">
      <alignment horizontal="left" vertical="top"/>
    </xf>
    <xf numFmtId="0" fontId="85" fillId="13" borderId="2" xfId="1481" applyFont="1" applyFill="1" applyBorder="1" applyAlignment="1">
      <alignment horizontal="left" vertical="center"/>
    </xf>
    <xf numFmtId="0" fontId="86" fillId="13" borderId="7" xfId="0" applyFont="1" applyFill="1" applyBorder="1" applyAlignment="1">
      <alignment horizontal="center"/>
    </xf>
    <xf numFmtId="0" fontId="85" fillId="13" borderId="51" xfId="1481" applyFont="1" applyFill="1" applyBorder="1" applyAlignment="1">
      <alignment horizontal="left" vertical="center"/>
    </xf>
    <xf numFmtId="0" fontId="85" fillId="13" borderId="56" xfId="1481" applyFont="1" applyFill="1" applyBorder="1" applyAlignment="1">
      <alignment vertical="center"/>
    </xf>
    <xf numFmtId="0" fontId="85" fillId="13" borderId="11" xfId="1481" applyFont="1" applyFill="1" applyBorder="1" applyAlignment="1">
      <alignment horizontal="left" vertical="center"/>
    </xf>
    <xf numFmtId="0" fontId="85" fillId="13" borderId="64" xfId="1481" applyFont="1" applyFill="1" applyBorder="1" applyAlignment="1">
      <alignment horizontal="left" vertical="center"/>
    </xf>
    <xf numFmtId="0" fontId="88" fillId="13" borderId="0" xfId="1473" applyFont="1" applyFill="1" applyAlignment="1">
      <alignment horizontal="center"/>
    </xf>
    <xf numFmtId="0" fontId="88" fillId="13" borderId="5" xfId="1481" applyFont="1" applyFill="1" applyBorder="1" applyAlignment="1">
      <alignment horizontal="center" vertical="center"/>
    </xf>
    <xf numFmtId="0" fontId="88" fillId="13" borderId="83" xfId="1481" applyFont="1" applyFill="1" applyBorder="1" applyAlignment="1">
      <alignment horizontal="center" vertical="center"/>
    </xf>
    <xf numFmtId="0" fontId="88" fillId="13" borderId="2" xfId="1481" applyFont="1" applyFill="1" applyBorder="1" applyAlignment="1">
      <alignment horizontal="center" vertical="center"/>
    </xf>
    <xf numFmtId="164" fontId="88" fillId="13" borderId="5" xfId="1446" applyFont="1" applyFill="1" applyBorder="1" applyAlignment="1">
      <alignment horizontal="center" vertical="center"/>
    </xf>
    <xf numFmtId="164" fontId="88" fillId="13" borderId="5" xfId="1474" applyFont="1" applyFill="1" applyBorder="1" applyAlignment="1">
      <alignment horizontal="center" vertical="center"/>
    </xf>
    <xf numFmtId="164" fontId="88" fillId="13" borderId="2" xfId="1474" applyFont="1" applyFill="1" applyBorder="1" applyAlignment="1">
      <alignment horizontal="center" vertical="center"/>
    </xf>
    <xf numFmtId="0" fontId="88" fillId="13" borderId="71" xfId="1481" applyFont="1" applyFill="1" applyBorder="1" applyAlignment="1">
      <alignment horizontal="center" vertical="center"/>
    </xf>
    <xf numFmtId="0" fontId="85" fillId="13" borderId="64" xfId="1481" applyFont="1" applyFill="1" applyBorder="1" applyAlignment="1">
      <alignment horizontal="left"/>
    </xf>
    <xf numFmtId="0" fontId="85" fillId="13" borderId="58" xfId="1481" applyFont="1" applyFill="1" applyBorder="1" applyAlignment="1">
      <alignment vertical="center"/>
    </xf>
    <xf numFmtId="0" fontId="86" fillId="13" borderId="56" xfId="1481" applyFont="1" applyFill="1" applyBorder="1" applyAlignment="1">
      <alignment horizontal="left" vertical="center"/>
    </xf>
    <xf numFmtId="43" fontId="86" fillId="0" borderId="0" xfId="454" applyFont="1" applyFill="1" applyBorder="1" applyAlignment="1">
      <alignment horizontal="left"/>
    </xf>
    <xf numFmtId="43" fontId="86" fillId="0" borderId="0" xfId="454" applyFont="1" applyFill="1" applyBorder="1" applyAlignment="1">
      <alignment horizontal="left" vertical="center"/>
    </xf>
    <xf numFmtId="0" fontId="86" fillId="0" borderId="56" xfId="1473" applyFont="1" applyBorder="1" applyAlignment="1">
      <alignment horizontal="left" vertical="center" wrapText="1"/>
    </xf>
    <xf numFmtId="0" fontId="86" fillId="0" borderId="51" xfId="1473" applyFont="1" applyBorder="1" applyAlignment="1">
      <alignment horizontal="left" vertical="center" wrapText="1"/>
    </xf>
    <xf numFmtId="164" fontId="86" fillId="0" borderId="56" xfId="1474" applyFont="1" applyFill="1" applyBorder="1" applyAlignment="1">
      <alignment horizontal="left" vertical="center"/>
    </xf>
    <xf numFmtId="164" fontId="86" fillId="0" borderId="51" xfId="1474" applyFont="1" applyFill="1" applyBorder="1" applyAlignment="1">
      <alignment horizontal="left" vertical="center"/>
    </xf>
    <xf numFmtId="0" fontId="86" fillId="0" borderId="56" xfId="1473" quotePrefix="1" applyFont="1" applyBorder="1" applyAlignment="1">
      <alignment horizontal="left" vertical="center" wrapText="1"/>
    </xf>
    <xf numFmtId="3" fontId="85" fillId="0" borderId="56" xfId="1477" applyNumberFormat="1" applyFont="1" applyBorder="1" applyAlignment="1">
      <alignment horizontal="left" vertical="center" wrapText="1" indent="2"/>
    </xf>
    <xf numFmtId="3" fontId="85" fillId="0" borderId="51" xfId="1477" applyNumberFormat="1" applyFont="1" applyBorder="1" applyAlignment="1">
      <alignment horizontal="left" vertical="center" wrapText="1" indent="2"/>
    </xf>
    <xf numFmtId="0" fontId="86" fillId="0" borderId="56" xfId="1473" quotePrefix="1" applyFont="1" applyBorder="1" applyAlignment="1">
      <alignment horizontal="left" vertical="center" wrapText="1" indent="2"/>
    </xf>
    <xf numFmtId="0" fontId="86" fillId="0" borderId="51" xfId="1473" applyFont="1" applyBorder="1" applyAlignment="1">
      <alignment horizontal="left" vertical="center" wrapText="1" indent="2"/>
    </xf>
    <xf numFmtId="0" fontId="85" fillId="0" borderId="0" xfId="954" applyFont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101" fillId="0" borderId="83" xfId="0" applyFont="1" applyBorder="1" applyAlignment="1">
      <alignment horizontal="center" vertical="center"/>
    </xf>
    <xf numFmtId="0" fontId="101" fillId="0" borderId="84" xfId="0" applyFont="1" applyBorder="1" applyAlignment="1">
      <alignment horizontal="center" vertical="center"/>
    </xf>
    <xf numFmtId="0" fontId="101" fillId="0" borderId="64" xfId="0" applyFont="1" applyBorder="1" applyAlignment="1">
      <alignment horizontal="center" vertical="center"/>
    </xf>
    <xf numFmtId="0" fontId="101" fillId="0" borderId="69" xfId="0" applyFont="1" applyBorder="1" applyAlignment="1">
      <alignment horizontal="center" vertical="center"/>
    </xf>
    <xf numFmtId="164" fontId="101" fillId="0" borderId="62" xfId="1446" applyFont="1" applyFill="1" applyBorder="1" applyAlignment="1">
      <alignment horizontal="center" vertical="center" wrapText="1"/>
    </xf>
    <xf numFmtId="164" fontId="101" fillId="0" borderId="9" xfId="1446" applyFont="1" applyFill="1" applyBorder="1" applyAlignment="1">
      <alignment horizontal="center" vertical="center" wrapText="1"/>
    </xf>
    <xf numFmtId="0" fontId="101" fillId="0" borderId="5" xfId="0" applyFont="1" applyBorder="1" applyAlignment="1">
      <alignment horizontal="center"/>
    </xf>
    <xf numFmtId="0" fontId="85" fillId="0" borderId="5" xfId="1473" applyFont="1" applyBorder="1" applyAlignment="1">
      <alignment horizontal="left" vertical="center" wrapText="1"/>
    </xf>
    <xf numFmtId="164" fontId="101" fillId="0" borderId="5" xfId="1446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0" fontId="85" fillId="0" borderId="5" xfId="1473" quotePrefix="1" applyFont="1" applyBorder="1" applyAlignment="1">
      <alignment horizontal="left" vertical="center" wrapText="1"/>
    </xf>
    <xf numFmtId="0" fontId="85" fillId="0" borderId="2" xfId="1473" applyFont="1" applyBorder="1" applyAlignment="1">
      <alignment horizontal="left" vertical="center" wrapText="1"/>
    </xf>
    <xf numFmtId="0" fontId="85" fillId="0" borderId="71" xfId="1473" applyFont="1" applyBorder="1" applyAlignment="1">
      <alignment horizontal="left" vertical="center" wrapText="1"/>
    </xf>
    <xf numFmtId="0" fontId="86" fillId="0" borderId="58" xfId="1473" applyFont="1" applyBorder="1" applyAlignment="1">
      <alignment horizontal="left" vertical="center" wrapText="1"/>
    </xf>
    <xf numFmtId="0" fontId="86" fillId="0" borderId="54" xfId="1473" applyFont="1" applyBorder="1" applyAlignment="1">
      <alignment horizontal="left" vertical="center" wrapText="1"/>
    </xf>
    <xf numFmtId="0" fontId="86" fillId="0" borderId="56" xfId="1473" applyFont="1" applyFill="1" applyBorder="1" applyAlignment="1">
      <alignment horizontal="left" vertical="center" wrapText="1"/>
    </xf>
    <xf numFmtId="0" fontId="86" fillId="0" borderId="51" xfId="1473" quotePrefix="1" applyFont="1" applyFill="1" applyBorder="1" applyAlignment="1">
      <alignment horizontal="left" vertical="center" wrapText="1"/>
    </xf>
    <xf numFmtId="3" fontId="85" fillId="0" borderId="5" xfId="1477" quotePrefix="1" applyNumberFormat="1" applyFont="1" applyFill="1" applyBorder="1" applyAlignment="1">
      <alignment horizontal="left" vertical="center" wrapText="1"/>
    </xf>
    <xf numFmtId="3" fontId="85" fillId="0" borderId="5" xfId="1477" applyNumberFormat="1" applyFont="1" applyFill="1" applyBorder="1" applyAlignment="1">
      <alignment horizontal="left" vertical="center" wrapText="1"/>
    </xf>
    <xf numFmtId="0" fontId="86" fillId="0" borderId="56" xfId="1473" applyFont="1" applyBorder="1" applyAlignment="1">
      <alignment horizontal="left" vertical="center" wrapText="1" indent="2"/>
    </xf>
    <xf numFmtId="0" fontId="86" fillId="0" borderId="51" xfId="1473" quotePrefix="1" applyFont="1" applyBorder="1" applyAlignment="1">
      <alignment horizontal="left" vertical="center" wrapText="1"/>
    </xf>
    <xf numFmtId="0" fontId="86" fillId="0" borderId="56" xfId="1473" applyFont="1" applyBorder="1" applyAlignment="1">
      <alignment horizontal="left" vertical="center"/>
    </xf>
    <xf numFmtId="0" fontId="86" fillId="0" borderId="51" xfId="1473" applyFont="1" applyBorder="1" applyAlignment="1">
      <alignment horizontal="left" vertical="center"/>
    </xf>
    <xf numFmtId="0" fontId="85" fillId="0" borderId="64" xfId="1476" applyFont="1" applyBorder="1" applyAlignment="1" applyProtection="1">
      <alignment horizontal="left" vertical="center"/>
      <protection locked="0"/>
    </xf>
    <xf numFmtId="0" fontId="85" fillId="0" borderId="69" xfId="1476" applyFont="1" applyBorder="1" applyAlignment="1" applyProtection="1">
      <alignment horizontal="left" vertical="center"/>
      <protection locked="0"/>
    </xf>
    <xf numFmtId="0" fontId="86" fillId="0" borderId="58" xfId="1473" quotePrefix="1" applyFont="1" applyBorder="1" applyAlignment="1">
      <alignment horizontal="left" vertical="center" wrapText="1"/>
    </xf>
    <xf numFmtId="3" fontId="86" fillId="0" borderId="56" xfId="1477" applyNumberFormat="1" applyFont="1" applyBorder="1" applyAlignment="1">
      <alignment horizontal="left" vertical="center" wrapText="1"/>
    </xf>
    <xf numFmtId="3" fontId="86" fillId="0" borderId="51" xfId="1477" applyNumberFormat="1" applyFont="1" applyBorder="1" applyAlignment="1">
      <alignment horizontal="left" vertical="center" wrapText="1"/>
    </xf>
    <xf numFmtId="3" fontId="86" fillId="0" borderId="56" xfId="1477" applyNumberFormat="1" applyFont="1" applyBorder="1" applyAlignment="1">
      <alignment horizontal="left" vertical="center" wrapText="1" indent="2"/>
    </xf>
    <xf numFmtId="3" fontId="86" fillId="0" borderId="51" xfId="1477" applyNumberFormat="1" applyFont="1" applyBorder="1" applyAlignment="1">
      <alignment horizontal="left" vertical="center" wrapText="1" indent="2"/>
    </xf>
    <xf numFmtId="0" fontId="85" fillId="0" borderId="5" xfId="1476" applyFont="1" applyBorder="1" applyAlignment="1" applyProtection="1">
      <alignment horizontal="left" vertical="center"/>
      <protection locked="0"/>
    </xf>
    <xf numFmtId="0" fontId="86" fillId="0" borderId="58" xfId="1473" applyFont="1" applyFill="1" applyBorder="1" applyAlignment="1">
      <alignment horizontal="left" vertical="center" wrapText="1"/>
    </xf>
    <xf numFmtId="0" fontId="86" fillId="0" borderId="54" xfId="1473" applyFont="1" applyFill="1" applyBorder="1" applyAlignment="1">
      <alignment horizontal="left" vertical="center" wrapText="1"/>
    </xf>
    <xf numFmtId="0" fontId="85" fillId="0" borderId="2" xfId="1476" applyFont="1" applyBorder="1" applyAlignment="1" applyProtection="1">
      <alignment horizontal="left" vertical="center"/>
      <protection locked="0"/>
    </xf>
    <xf numFmtId="0" fontId="85" fillId="0" borderId="71" xfId="1476" applyFont="1" applyBorder="1" applyAlignment="1" applyProtection="1">
      <alignment horizontal="left" vertical="center"/>
      <protection locked="0"/>
    </xf>
    <xf numFmtId="3" fontId="85" fillId="0" borderId="56" xfId="1477" applyNumberFormat="1" applyFont="1" applyBorder="1" applyAlignment="1">
      <alignment horizontal="left" vertical="center" wrapText="1"/>
    </xf>
    <xf numFmtId="3" fontId="85" fillId="0" borderId="51" xfId="1477" applyNumberFormat="1" applyFont="1" applyBorder="1" applyAlignment="1">
      <alignment horizontal="left" vertical="center" wrapText="1"/>
    </xf>
    <xf numFmtId="3" fontId="86" fillId="0" borderId="58" xfId="1477" applyNumberFormat="1" applyFont="1" applyBorder="1" applyAlignment="1">
      <alignment horizontal="left" vertical="center" wrapText="1"/>
    </xf>
    <xf numFmtId="3" fontId="86" fillId="0" borderId="54" xfId="1477" applyNumberFormat="1" applyFont="1" applyBorder="1" applyAlignment="1">
      <alignment horizontal="left" vertical="center" wrapText="1"/>
    </xf>
    <xf numFmtId="3" fontId="86" fillId="0" borderId="58" xfId="1477" quotePrefix="1" applyNumberFormat="1" applyFont="1" applyBorder="1" applyAlignment="1">
      <alignment horizontal="left" vertical="center" wrapText="1"/>
    </xf>
    <xf numFmtId="164" fontId="86" fillId="0" borderId="58" xfId="1474" applyFont="1" applyFill="1" applyBorder="1" applyAlignment="1">
      <alignment vertical="center"/>
    </xf>
    <xf numFmtId="164" fontId="86" fillId="0" borderId="54" xfId="1474" applyFont="1" applyFill="1" applyBorder="1" applyAlignment="1">
      <alignment vertical="center"/>
    </xf>
    <xf numFmtId="164" fontId="86" fillId="0" borderId="58" xfId="1474" applyFont="1" applyFill="1" applyBorder="1" applyAlignment="1">
      <alignment horizontal="left" vertical="center"/>
    </xf>
    <xf numFmtId="164" fontId="86" fillId="0" borderId="54" xfId="1474" applyFont="1" applyFill="1" applyBorder="1" applyAlignment="1">
      <alignment horizontal="left" vertical="center"/>
    </xf>
    <xf numFmtId="0" fontId="86" fillId="0" borderId="56" xfId="1466" applyFont="1" applyBorder="1" applyAlignment="1">
      <alignment horizontal="left" vertical="center"/>
    </xf>
    <xf numFmtId="0" fontId="86" fillId="0" borderId="51" xfId="1466" applyFont="1" applyBorder="1" applyAlignment="1">
      <alignment horizontal="left" vertical="center"/>
    </xf>
    <xf numFmtId="0" fontId="86" fillId="0" borderId="56" xfId="1466" applyFont="1" applyBorder="1" applyAlignment="1">
      <alignment horizontal="left" vertical="center" indent="2"/>
    </xf>
    <xf numFmtId="0" fontId="86" fillId="0" borderId="51" xfId="1466" applyFont="1" applyBorder="1" applyAlignment="1">
      <alignment horizontal="left" vertical="center" indent="2"/>
    </xf>
    <xf numFmtId="0" fontId="85" fillId="0" borderId="2" xfId="1466" applyFont="1" applyBorder="1" applyAlignment="1">
      <alignment horizontal="left" vertical="center"/>
    </xf>
    <xf numFmtId="0" fontId="85" fillId="0" borderId="71" xfId="1466" applyFont="1" applyBorder="1" applyAlignment="1">
      <alignment horizontal="left" vertical="center"/>
    </xf>
    <xf numFmtId="0" fontId="86" fillId="0" borderId="58" xfId="1466" applyFont="1" applyBorder="1" applyAlignment="1">
      <alignment horizontal="left" vertical="center"/>
    </xf>
    <xf numFmtId="0" fontId="86" fillId="0" borderId="54" xfId="1466" applyFont="1" applyBorder="1" applyAlignment="1">
      <alignment horizontal="left" vertical="center"/>
    </xf>
    <xf numFmtId="0" fontId="86" fillId="0" borderId="56" xfId="1466" applyFont="1" applyFill="1" applyBorder="1" applyAlignment="1">
      <alignment horizontal="left" vertical="center" indent="2"/>
    </xf>
    <xf numFmtId="0" fontId="86" fillId="0" borderId="51" xfId="1466" applyFont="1" applyFill="1" applyBorder="1" applyAlignment="1">
      <alignment horizontal="left" vertical="center" indent="2"/>
    </xf>
    <xf numFmtId="0" fontId="86" fillId="0" borderId="58" xfId="1466" applyFont="1" applyFill="1" applyBorder="1" applyAlignment="1">
      <alignment horizontal="left"/>
    </xf>
    <xf numFmtId="0" fontId="86" fillId="0" borderId="54" xfId="1466" applyFont="1" applyFill="1" applyBorder="1" applyAlignment="1">
      <alignment horizontal="left"/>
    </xf>
    <xf numFmtId="0" fontId="86" fillId="0" borderId="56" xfId="1466" applyFont="1" applyFill="1" applyBorder="1" applyAlignment="1">
      <alignment horizontal="left"/>
    </xf>
    <xf numFmtId="0" fontId="86" fillId="0" borderId="51" xfId="1466" applyFont="1" applyFill="1" applyBorder="1" applyAlignment="1">
      <alignment horizontal="left"/>
    </xf>
    <xf numFmtId="0" fontId="86" fillId="0" borderId="56" xfId="1466" applyFont="1" applyFill="1" applyBorder="1" applyAlignment="1">
      <alignment horizontal="left" vertical="center"/>
    </xf>
    <xf numFmtId="0" fontId="86" fillId="0" borderId="51" xfId="1466" applyFont="1" applyFill="1" applyBorder="1" applyAlignment="1">
      <alignment horizontal="left" vertical="center"/>
    </xf>
    <xf numFmtId="0" fontId="101" fillId="0" borderId="2" xfId="1466" applyFont="1" applyFill="1" applyBorder="1" applyAlignment="1">
      <alignment horizontal="left"/>
    </xf>
    <xf numFmtId="0" fontId="101" fillId="0" borderId="71" xfId="1466" applyFont="1" applyFill="1" applyBorder="1" applyAlignment="1">
      <alignment horizontal="left"/>
    </xf>
    <xf numFmtId="0" fontId="85" fillId="0" borderId="64" xfId="1466" applyFont="1" applyFill="1" applyBorder="1" applyAlignment="1">
      <alignment horizontal="left"/>
    </xf>
    <xf numFmtId="0" fontId="85" fillId="0" borderId="69" xfId="1466" applyFont="1" applyFill="1" applyBorder="1" applyAlignment="1">
      <alignment horizontal="left"/>
    </xf>
    <xf numFmtId="0" fontId="85" fillId="0" borderId="5" xfId="1466" applyFont="1" applyBorder="1" applyAlignment="1">
      <alignment horizontal="left" vertical="center"/>
    </xf>
    <xf numFmtId="0" fontId="85" fillId="0" borderId="64" xfId="1466" applyFont="1" applyBorder="1" applyAlignment="1">
      <alignment horizontal="left" vertical="center"/>
    </xf>
    <xf numFmtId="0" fontId="85" fillId="0" borderId="69" xfId="1466" applyFont="1" applyBorder="1" applyAlignment="1">
      <alignment horizontal="left" vertical="center"/>
    </xf>
    <xf numFmtId="0" fontId="88" fillId="0" borderId="0" xfId="954" applyFont="1" applyAlignment="1">
      <alignment horizontal="center" vertical="center"/>
    </xf>
    <xf numFmtId="0" fontId="85" fillId="0" borderId="5" xfId="0" applyFont="1" applyBorder="1" applyAlignment="1">
      <alignment horizontal="center"/>
    </xf>
    <xf numFmtId="0" fontId="85" fillId="0" borderId="5" xfId="0" applyFont="1" applyBorder="1" applyAlignment="1">
      <alignment horizontal="center" vertical="center"/>
    </xf>
    <xf numFmtId="164" fontId="85" fillId="0" borderId="5" xfId="1446" applyFont="1" applyFill="1" applyBorder="1" applyAlignment="1">
      <alignment horizontal="center" vertical="center"/>
    </xf>
    <xf numFmtId="0" fontId="85" fillId="0" borderId="83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 vertical="center"/>
    </xf>
    <xf numFmtId="0" fontId="85" fillId="0" borderId="64" xfId="0" applyFont="1" applyBorder="1" applyAlignment="1">
      <alignment horizontal="center" vertical="center"/>
    </xf>
    <xf numFmtId="0" fontId="85" fillId="0" borderId="69" xfId="0" applyFont="1" applyBorder="1" applyAlignment="1">
      <alignment horizontal="center" vertical="center"/>
    </xf>
    <xf numFmtId="164" fontId="85" fillId="0" borderId="62" xfId="1446" applyFont="1" applyFill="1" applyBorder="1" applyAlignment="1">
      <alignment horizontal="center" vertical="center" wrapText="1"/>
    </xf>
    <xf numFmtId="164" fontId="85" fillId="0" borderId="9" xfId="1446" applyFont="1" applyFill="1" applyBorder="1" applyAlignment="1">
      <alignment horizontal="center" vertical="center" wrapText="1"/>
    </xf>
    <xf numFmtId="0" fontId="85" fillId="0" borderId="2" xfId="1466" applyFont="1" applyBorder="1" applyAlignment="1">
      <alignment horizontal="left"/>
    </xf>
    <xf numFmtId="0" fontId="85" fillId="0" borderId="71" xfId="1466" applyFont="1" applyBorder="1" applyAlignment="1">
      <alignment horizontal="left"/>
    </xf>
    <xf numFmtId="0" fontId="86" fillId="0" borderId="56" xfId="1457" applyFont="1" applyBorder="1" applyAlignment="1">
      <alignment horizontal="left" vertical="center"/>
    </xf>
    <xf numFmtId="0" fontId="86" fillId="0" borderId="51" xfId="1457" applyFont="1" applyBorder="1" applyAlignment="1">
      <alignment horizontal="left" vertical="center"/>
    </xf>
    <xf numFmtId="0" fontId="101" fillId="0" borderId="2" xfId="1466" applyFont="1" applyBorder="1" applyAlignment="1">
      <alignment horizontal="left"/>
    </xf>
    <xf numFmtId="0" fontId="101" fillId="0" borderId="71" xfId="1466" applyFont="1" applyBorder="1" applyAlignment="1">
      <alignment horizontal="left"/>
    </xf>
    <xf numFmtId="0" fontId="102" fillId="0" borderId="58" xfId="1466" applyFont="1" applyBorder="1" applyAlignment="1">
      <alignment horizontal="left"/>
    </xf>
    <xf numFmtId="0" fontId="102" fillId="0" borderId="54" xfId="1466" applyFont="1" applyBorder="1" applyAlignment="1">
      <alignment horizontal="left"/>
    </xf>
    <xf numFmtId="0" fontId="85" fillId="0" borderId="2" xfId="1457" applyFont="1" applyBorder="1" applyAlignment="1">
      <alignment horizontal="left" vertical="center"/>
    </xf>
    <xf numFmtId="0" fontId="85" fillId="0" borderId="71" xfId="1457" applyFont="1" applyBorder="1" applyAlignment="1">
      <alignment horizontal="left" vertical="center"/>
    </xf>
    <xf numFmtId="0" fontId="86" fillId="0" borderId="58" xfId="1457" applyFont="1" applyBorder="1" applyAlignment="1">
      <alignment horizontal="left" vertical="center"/>
    </xf>
    <xf numFmtId="0" fontId="86" fillId="0" borderId="54" xfId="1457" applyFont="1" applyBorder="1" applyAlignment="1">
      <alignment horizontal="left" vertical="center"/>
    </xf>
    <xf numFmtId="0" fontId="85" fillId="0" borderId="2" xfId="1466" applyFont="1" applyFill="1" applyBorder="1" applyAlignment="1">
      <alignment horizontal="left" vertical="center"/>
    </xf>
    <xf numFmtId="0" fontId="85" fillId="0" borderId="71" xfId="1466" applyFont="1" applyFill="1" applyBorder="1" applyAlignment="1">
      <alignment horizontal="left" vertical="center"/>
    </xf>
    <xf numFmtId="0" fontId="86" fillId="0" borderId="58" xfId="1466" applyFont="1" applyFill="1" applyBorder="1" applyAlignment="1">
      <alignment horizontal="left" vertical="center"/>
    </xf>
    <xf numFmtId="0" fontId="86" fillId="0" borderId="54" xfId="1466" applyFont="1" applyFill="1" applyBorder="1" applyAlignment="1">
      <alignment horizontal="left" vertical="center"/>
    </xf>
    <xf numFmtId="0" fontId="70" fillId="0" borderId="56" xfId="1473" applyFont="1" applyBorder="1" applyAlignment="1">
      <alignment vertical="center" wrapText="1"/>
    </xf>
    <xf numFmtId="0" fontId="70" fillId="0" borderId="51" xfId="1473" applyFont="1" applyBorder="1" applyAlignment="1">
      <alignment vertical="center" wrapText="1"/>
    </xf>
    <xf numFmtId="0" fontId="70" fillId="0" borderId="56" xfId="1476" applyFont="1" applyBorder="1" applyAlignment="1" applyProtection="1">
      <alignment horizontal="left" vertical="center"/>
      <protection locked="0"/>
    </xf>
    <xf numFmtId="0" fontId="70" fillId="0" borderId="51" xfId="1476" applyFont="1" applyBorder="1" applyAlignment="1" applyProtection="1">
      <alignment horizontal="left" vertical="center"/>
      <protection locked="0"/>
    </xf>
    <xf numFmtId="43" fontId="70" fillId="0" borderId="58" xfId="455" applyFont="1" applyFill="1" applyBorder="1" applyAlignment="1">
      <alignment horizontal="left" vertical="center"/>
    </xf>
    <xf numFmtId="43" fontId="70" fillId="0" borderId="54" xfId="455" applyFont="1" applyFill="1" applyBorder="1" applyAlignment="1">
      <alignment horizontal="left" vertical="center"/>
    </xf>
    <xf numFmtId="43" fontId="70" fillId="0" borderId="56" xfId="455" applyFont="1" applyFill="1" applyBorder="1" applyAlignment="1">
      <alignment horizontal="left" vertical="center"/>
    </xf>
    <xf numFmtId="43" fontId="70" fillId="0" borderId="51" xfId="455" applyFont="1" applyFill="1" applyBorder="1" applyAlignment="1">
      <alignment horizontal="left" vertical="center"/>
    </xf>
    <xf numFmtId="43" fontId="70" fillId="0" borderId="56" xfId="455" applyFont="1" applyFill="1" applyBorder="1" applyAlignment="1">
      <alignment horizontal="left"/>
    </xf>
    <xf numFmtId="43" fontId="70" fillId="0" borderId="51" xfId="455" applyFont="1" applyFill="1" applyBorder="1" applyAlignment="1">
      <alignment horizontal="left"/>
    </xf>
    <xf numFmtId="0" fontId="71" fillId="0" borderId="2" xfId="1476" applyFont="1" applyBorder="1" applyAlignment="1" applyProtection="1">
      <alignment horizontal="left" vertical="center"/>
      <protection locked="0"/>
    </xf>
    <xf numFmtId="0" fontId="71" fillId="0" borderId="71" xfId="1476" applyFont="1" applyBorder="1" applyAlignment="1" applyProtection="1">
      <alignment horizontal="left" vertical="center"/>
      <protection locked="0"/>
    </xf>
    <xf numFmtId="43" fontId="70" fillId="0" borderId="58" xfId="455" applyFont="1" applyFill="1" applyBorder="1" applyAlignment="1">
      <alignment horizontal="left"/>
    </xf>
    <xf numFmtId="43" fontId="70" fillId="0" borderId="54" xfId="455" applyFont="1" applyFill="1" applyBorder="1" applyAlignment="1">
      <alignment horizontal="left"/>
    </xf>
    <xf numFmtId="0" fontId="71" fillId="0" borderId="0" xfId="954" applyFont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0" fontId="94" fillId="0" borderId="83" xfId="0" applyFont="1" applyBorder="1" applyAlignment="1">
      <alignment horizontal="center" vertical="center"/>
    </xf>
    <xf numFmtId="0" fontId="94" fillId="0" borderId="84" xfId="0" applyFont="1" applyBorder="1" applyAlignment="1">
      <alignment horizontal="center" vertical="center"/>
    </xf>
    <xf numFmtId="0" fontId="94" fillId="0" borderId="64" xfId="0" applyFont="1" applyBorder="1" applyAlignment="1">
      <alignment horizontal="center" vertical="center"/>
    </xf>
    <xf numFmtId="0" fontId="94" fillId="0" borderId="69" xfId="0" applyFont="1" applyBorder="1" applyAlignment="1">
      <alignment horizontal="center" vertical="center"/>
    </xf>
    <xf numFmtId="164" fontId="94" fillId="0" borderId="5" xfId="1446" applyFont="1" applyFill="1" applyBorder="1" applyAlignment="1">
      <alignment horizontal="center" vertical="center"/>
    </xf>
    <xf numFmtId="0" fontId="94" fillId="0" borderId="5" xfId="0" applyFont="1" applyBorder="1" applyAlignment="1">
      <alignment horizontal="center"/>
    </xf>
    <xf numFmtId="164" fontId="94" fillId="0" borderId="62" xfId="1446" applyFont="1" applyFill="1" applyBorder="1" applyAlignment="1">
      <alignment horizontal="center" vertical="center" wrapText="1"/>
    </xf>
    <xf numFmtId="164" fontId="94" fillId="0" borderId="9" xfId="1446" applyFont="1" applyFill="1" applyBorder="1" applyAlignment="1">
      <alignment horizontal="center" vertical="center" wrapText="1"/>
    </xf>
    <xf numFmtId="0" fontId="94" fillId="0" borderId="83" xfId="1473" applyFont="1" applyBorder="1" applyAlignment="1">
      <alignment horizontal="left" vertical="center" wrapText="1"/>
    </xf>
    <xf numFmtId="0" fontId="94" fillId="0" borderId="84" xfId="1473" applyFont="1" applyBorder="1" applyAlignment="1">
      <alignment horizontal="left" vertical="center" wrapText="1"/>
    </xf>
    <xf numFmtId="0" fontId="94" fillId="0" borderId="5" xfId="854" applyFont="1" applyBorder="1" applyAlignment="1">
      <alignment horizontal="left" vertical="center"/>
    </xf>
    <xf numFmtId="0" fontId="94" fillId="0" borderId="5" xfId="1476" applyFont="1" applyBorder="1" applyAlignment="1" applyProtection="1">
      <alignment horizontal="left" vertical="center"/>
      <protection locked="0"/>
    </xf>
    <xf numFmtId="0" fontId="70" fillId="0" borderId="58" xfId="1476" applyFont="1" applyBorder="1" applyAlignment="1" applyProtection="1">
      <alignment horizontal="left" vertical="center"/>
      <protection locked="0"/>
    </xf>
    <xf numFmtId="0" fontId="70" fillId="0" borderId="54" xfId="1476" applyFont="1" applyBorder="1" applyAlignment="1" applyProtection="1">
      <alignment horizontal="left" vertical="center"/>
      <protection locked="0"/>
    </xf>
    <xf numFmtId="0" fontId="95" fillId="0" borderId="0" xfId="954" applyFont="1" applyAlignment="1">
      <alignment horizontal="center"/>
    </xf>
    <xf numFmtId="0" fontId="96" fillId="0" borderId="5" xfId="0" applyFont="1" applyBorder="1" applyAlignment="1">
      <alignment horizontal="center"/>
    </xf>
    <xf numFmtId="0" fontId="96" fillId="0" borderId="5" xfId="0" applyFont="1" applyBorder="1" applyAlignment="1">
      <alignment horizontal="center" vertical="center"/>
    </xf>
    <xf numFmtId="164" fontId="96" fillId="0" borderId="62" xfId="1446" applyFont="1" applyFill="1" applyBorder="1" applyAlignment="1">
      <alignment horizontal="center" vertical="center" wrapText="1"/>
    </xf>
    <xf numFmtId="164" fontId="96" fillId="0" borderId="9" xfId="1446" applyFont="1" applyFill="1" applyBorder="1" applyAlignment="1">
      <alignment horizontal="center" vertical="center" wrapText="1"/>
    </xf>
    <xf numFmtId="0" fontId="69" fillId="0" borderId="0" xfId="954" applyFont="1" applyAlignment="1">
      <alignment horizontal="center"/>
    </xf>
    <xf numFmtId="0" fontId="69" fillId="0" borderId="62" xfId="873" applyFont="1" applyBorder="1" applyAlignment="1">
      <alignment horizontal="center" vertical="center" wrapText="1"/>
    </xf>
    <xf numFmtId="0" fontId="69" fillId="0" borderId="9" xfId="873" applyFont="1" applyBorder="1" applyAlignment="1">
      <alignment horizontal="center" vertical="center" wrapText="1"/>
    </xf>
    <xf numFmtId="43" fontId="69" fillId="0" borderId="2" xfId="454" applyFont="1" applyFill="1" applyBorder="1" applyAlignment="1">
      <alignment horizontal="center" vertical="center"/>
    </xf>
    <xf numFmtId="43" fontId="69" fillId="0" borderId="4" xfId="454" applyFont="1" applyFill="1" applyBorder="1" applyAlignment="1">
      <alignment horizontal="center" vertical="center"/>
    </xf>
    <xf numFmtId="43" fontId="69" fillId="0" borderId="71" xfId="454" applyFont="1" applyFill="1" applyBorder="1" applyAlignment="1">
      <alignment horizontal="center" vertical="center"/>
    </xf>
    <xf numFmtId="0" fontId="71" fillId="0" borderId="5" xfId="954" applyFont="1" applyBorder="1" applyAlignment="1">
      <alignment horizontal="left" vertical="center"/>
    </xf>
    <xf numFmtId="0" fontId="71" fillId="0" borderId="58" xfId="873" applyFont="1" applyBorder="1" applyAlignment="1">
      <alignment horizontal="left" vertical="center"/>
    </xf>
    <xf numFmtId="0" fontId="71" fillId="0" borderId="54" xfId="873" applyFont="1" applyBorder="1" applyAlignment="1">
      <alignment horizontal="left" vertical="center"/>
    </xf>
    <xf numFmtId="0" fontId="71" fillId="0" borderId="56" xfId="873" applyFont="1" applyBorder="1" applyAlignment="1">
      <alignment horizontal="left" vertical="top" wrapText="1"/>
    </xf>
    <xf numFmtId="0" fontId="71" fillId="0" borderId="51" xfId="873" applyFont="1" applyBorder="1" applyAlignment="1">
      <alignment horizontal="left" vertical="top" wrapText="1"/>
    </xf>
    <xf numFmtId="0" fontId="71" fillId="0" borderId="5" xfId="0" applyFont="1" applyBorder="1"/>
    <xf numFmtId="0" fontId="69" fillId="0" borderId="0" xfId="0" applyFont="1" applyAlignment="1">
      <alignment horizontal="center"/>
    </xf>
    <xf numFmtId="0" fontId="69" fillId="0" borderId="5" xfId="0" applyFont="1" applyBorder="1" applyAlignment="1">
      <alignment horizontal="center" vertical="center"/>
    </xf>
    <xf numFmtId="0" fontId="69" fillId="0" borderId="71" xfId="0" applyFont="1" applyBorder="1" applyAlignment="1">
      <alignment horizontal="center" vertical="center"/>
    </xf>
    <xf numFmtId="164" fontId="69" fillId="0" borderId="5" xfId="1446" applyFont="1" applyFill="1" applyBorder="1" applyAlignment="1">
      <alignment vertical="center"/>
    </xf>
    <xf numFmtId="0" fontId="69" fillId="0" borderId="2" xfId="0" applyFont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0" borderId="70" xfId="0" applyFont="1" applyBorder="1" applyAlignment="1">
      <alignment horizontal="center"/>
    </xf>
    <xf numFmtId="0" fontId="71" fillId="0" borderId="56" xfId="873" applyFont="1" applyBorder="1" applyAlignment="1">
      <alignment horizontal="left" vertical="center" wrapText="1"/>
    </xf>
    <xf numFmtId="0" fontId="71" fillId="0" borderId="51" xfId="873" applyFont="1" applyBorder="1" applyAlignment="1">
      <alignment horizontal="left" vertical="center" wrapText="1"/>
    </xf>
    <xf numFmtId="0" fontId="71" fillId="0" borderId="94" xfId="873" quotePrefix="1" applyFont="1" applyBorder="1" applyAlignment="1">
      <alignment horizontal="left" vertical="center" wrapText="1"/>
    </xf>
    <xf numFmtId="0" fontId="71" fillId="0" borderId="95" xfId="873" quotePrefix="1" applyFont="1" applyBorder="1" applyAlignment="1">
      <alignment horizontal="left" vertical="center" wrapText="1"/>
    </xf>
    <xf numFmtId="0" fontId="71" fillId="0" borderId="67" xfId="954" applyFont="1" applyBorder="1" applyAlignment="1">
      <alignment horizontal="center" vertical="center" wrapText="1"/>
    </xf>
    <xf numFmtId="0" fontId="71" fillId="0" borderId="65" xfId="954" applyFont="1" applyBorder="1" applyAlignment="1">
      <alignment horizontal="center" vertical="center" wrapText="1"/>
    </xf>
    <xf numFmtId="0" fontId="71" fillId="0" borderId="64" xfId="873" quotePrefix="1" applyFont="1" applyBorder="1" applyAlignment="1">
      <alignment horizontal="left" vertical="center" wrapText="1"/>
    </xf>
    <xf numFmtId="0" fontId="71" fillId="0" borderId="69" xfId="873" quotePrefix="1" applyFont="1" applyBorder="1" applyAlignment="1">
      <alignment horizontal="left" vertical="center" wrapText="1"/>
    </xf>
    <xf numFmtId="0" fontId="71" fillId="0" borderId="58" xfId="873" quotePrefix="1" applyFont="1" applyBorder="1" applyAlignment="1">
      <alignment horizontal="left" vertical="center" wrapText="1"/>
    </xf>
    <xf numFmtId="0" fontId="71" fillId="0" borderId="54" xfId="873" quotePrefix="1" applyFont="1" applyBorder="1" applyAlignment="1">
      <alignment horizontal="left" vertical="center" wrapText="1"/>
    </xf>
    <xf numFmtId="0" fontId="71" fillId="0" borderId="56" xfId="873" quotePrefix="1" applyFont="1" applyBorder="1" applyAlignment="1">
      <alignment horizontal="left" vertical="center" wrapText="1"/>
    </xf>
    <xf numFmtId="0" fontId="71" fillId="0" borderId="51" xfId="873" quotePrefix="1" applyFont="1" applyBorder="1" applyAlignment="1">
      <alignment horizontal="left" vertical="center" wrapText="1"/>
    </xf>
    <xf numFmtId="0" fontId="71" fillId="0" borderId="58" xfId="873" applyFont="1" applyBorder="1" applyAlignment="1">
      <alignment horizontal="left" vertical="top" wrapText="1"/>
    </xf>
    <xf numFmtId="0" fontId="71" fillId="0" borderId="54" xfId="873" applyFont="1" applyBorder="1" applyAlignment="1">
      <alignment horizontal="left" vertical="top" wrapText="1"/>
    </xf>
    <xf numFmtId="43" fontId="71" fillId="0" borderId="85" xfId="454" applyFont="1" applyFill="1" applyBorder="1" applyAlignment="1">
      <alignment horizontal="center" vertical="center"/>
    </xf>
    <xf numFmtId="43" fontId="71" fillId="0" borderId="12" xfId="454" applyFont="1" applyFill="1" applyBorder="1" applyAlignment="1">
      <alignment horizontal="center" vertical="center"/>
    </xf>
    <xf numFmtId="0" fontId="70" fillId="0" borderId="0" xfId="954" applyFont="1" applyAlignment="1">
      <alignment horizontal="center"/>
    </xf>
    <xf numFmtId="0" fontId="85" fillId="0" borderId="5" xfId="1481" applyFont="1" applyBorder="1" applyAlignment="1">
      <alignment horizontal="left" vertical="center"/>
    </xf>
    <xf numFmtId="0" fontId="85" fillId="0" borderId="56" xfId="1481" applyFont="1" applyBorder="1" applyAlignment="1">
      <alignment horizontal="left" vertical="center"/>
    </xf>
    <xf numFmtId="0" fontId="85" fillId="0" borderId="51" xfId="1481" applyFont="1" applyBorder="1" applyAlignment="1">
      <alignment horizontal="left" vertical="center"/>
    </xf>
    <xf numFmtId="0" fontId="88" fillId="0" borderId="0" xfId="1473" applyFont="1" applyAlignment="1">
      <alignment horizontal="center"/>
    </xf>
    <xf numFmtId="0" fontId="88" fillId="0" borderId="5" xfId="0" applyFont="1" applyBorder="1" applyAlignment="1">
      <alignment horizontal="center" vertical="center"/>
    </xf>
    <xf numFmtId="0" fontId="88" fillId="0" borderId="83" xfId="0" applyFont="1" applyBorder="1" applyAlignment="1">
      <alignment horizontal="center" vertical="center"/>
    </xf>
    <xf numFmtId="0" fontId="88" fillId="0" borderId="84" xfId="0" applyFont="1" applyBorder="1" applyAlignment="1">
      <alignment horizontal="center" vertical="center"/>
    </xf>
    <xf numFmtId="0" fontId="88" fillId="0" borderId="64" xfId="0" applyFont="1" applyBorder="1" applyAlignment="1">
      <alignment horizontal="center" vertical="center"/>
    </xf>
    <xf numFmtId="0" fontId="88" fillId="0" borderId="69" xfId="0" applyFont="1" applyBorder="1" applyAlignment="1">
      <alignment horizontal="center" vertical="center"/>
    </xf>
    <xf numFmtId="0" fontId="86" fillId="0" borderId="0" xfId="0" applyFont="1" applyAlignment="1">
      <alignment horizontal="center"/>
    </xf>
    <xf numFmtId="0" fontId="86" fillId="0" borderId="70" xfId="0" applyFont="1" applyBorder="1" applyAlignment="1">
      <alignment horizontal="center"/>
    </xf>
    <xf numFmtId="164" fontId="88" fillId="0" borderId="62" xfId="1446" applyFont="1" applyFill="1" applyBorder="1" applyAlignment="1">
      <alignment horizontal="center" vertical="center" wrapText="1"/>
    </xf>
    <xf numFmtId="164" fontId="88" fillId="0" borderId="9" xfId="1446" applyFont="1" applyFill="1" applyBorder="1" applyAlignment="1">
      <alignment horizontal="center" vertical="center" wrapText="1"/>
    </xf>
    <xf numFmtId="0" fontId="88" fillId="0" borderId="62" xfId="0" applyFont="1" applyBorder="1" applyAlignment="1">
      <alignment horizontal="center" vertical="center"/>
    </xf>
    <xf numFmtId="0" fontId="88" fillId="0" borderId="9" xfId="0" applyFont="1" applyBorder="1" applyAlignment="1">
      <alignment horizontal="center" vertical="center"/>
    </xf>
    <xf numFmtId="0" fontId="85" fillId="0" borderId="9" xfId="1481" applyFont="1" applyBorder="1" applyAlignment="1">
      <alignment horizontal="left" vertical="center"/>
    </xf>
    <xf numFmtId="0" fontId="85" fillId="0" borderId="58" xfId="1481" applyFont="1" applyBorder="1" applyAlignment="1">
      <alignment horizontal="left" vertical="center"/>
    </xf>
    <xf numFmtId="0" fontId="85" fillId="0" borderId="54" xfId="1481" applyFont="1" applyBorder="1" applyAlignment="1">
      <alignment horizontal="left" vertical="center"/>
    </xf>
    <xf numFmtId="0" fontId="86" fillId="0" borderId="0" xfId="1473" applyFont="1" applyAlignment="1">
      <alignment horizontal="center"/>
    </xf>
    <xf numFmtId="4" fontId="86" fillId="0" borderId="58" xfId="1471" applyNumberFormat="1" applyFont="1" applyBorder="1" applyAlignment="1" applyProtection="1">
      <alignment horizontal="left" vertical="center"/>
      <protection locked="0"/>
    </xf>
    <xf numFmtId="0" fontId="85" fillId="0" borderId="64" xfId="1481" applyFont="1" applyBorder="1" applyAlignment="1">
      <alignment horizontal="left" vertical="center"/>
    </xf>
    <xf numFmtId="0" fontId="85" fillId="0" borderId="69" xfId="1481" applyFont="1" applyBorder="1" applyAlignment="1">
      <alignment horizontal="left" vertical="center"/>
    </xf>
    <xf numFmtId="4" fontId="85" fillId="0" borderId="56" xfId="455" applyNumberFormat="1" applyFont="1" applyFill="1" applyBorder="1" applyAlignment="1">
      <alignment horizontal="left" vertical="center"/>
    </xf>
    <xf numFmtId="4" fontId="85" fillId="0" borderId="51" xfId="455" applyNumberFormat="1" applyFont="1" applyFill="1" applyBorder="1" applyAlignment="1">
      <alignment horizontal="left" vertical="center"/>
    </xf>
    <xf numFmtId="4" fontId="86" fillId="0" borderId="56" xfId="1471" applyNumberFormat="1" applyFont="1" applyBorder="1" applyAlignment="1" applyProtection="1">
      <alignment horizontal="left" vertical="center"/>
      <protection locked="0"/>
    </xf>
    <xf numFmtId="4" fontId="86" fillId="0" borderId="51" xfId="1471" applyNumberFormat="1" applyFont="1" applyBorder="1" applyAlignment="1" applyProtection="1">
      <alignment horizontal="left" vertical="center"/>
      <protection locked="0"/>
    </xf>
    <xf numFmtId="0" fontId="73" fillId="0" borderId="58" xfId="1476" applyFont="1" applyBorder="1" applyAlignment="1" applyProtection="1">
      <alignment horizontal="left" vertical="center"/>
      <protection locked="0"/>
    </xf>
    <xf numFmtId="0" fontId="73" fillId="0" borderId="54" xfId="1476" applyFont="1" applyBorder="1" applyAlignment="1" applyProtection="1">
      <alignment horizontal="left" vertical="center"/>
      <protection locked="0"/>
    </xf>
    <xf numFmtId="0" fontId="85" fillId="0" borderId="56" xfId="954" applyFont="1" applyBorder="1" applyAlignment="1">
      <alignment horizontal="left" vertical="center"/>
    </xf>
    <xf numFmtId="0" fontId="85" fillId="0" borderId="51" xfId="954" applyFont="1" applyBorder="1" applyAlignment="1">
      <alignment horizontal="left" vertical="center"/>
    </xf>
    <xf numFmtId="0" fontId="85" fillId="0" borderId="58" xfId="954" applyFont="1" applyBorder="1" applyAlignment="1">
      <alignment horizontal="left" vertical="center"/>
    </xf>
    <xf numFmtId="0" fontId="85" fillId="0" borderId="54" xfId="954" applyFont="1" applyBorder="1" applyAlignment="1">
      <alignment horizontal="left" vertical="center"/>
    </xf>
    <xf numFmtId="0" fontId="88" fillId="0" borderId="2" xfId="0" applyFont="1" applyBorder="1" applyAlignment="1">
      <alignment horizontal="center" vertical="center"/>
    </xf>
    <xf numFmtId="0" fontId="88" fillId="0" borderId="71" xfId="0" applyFont="1" applyBorder="1" applyAlignment="1">
      <alignment horizontal="center" vertical="center"/>
    </xf>
    <xf numFmtId="164" fontId="88" fillId="0" borderId="62" xfId="1446" applyFont="1" applyFill="1" applyBorder="1" applyAlignment="1">
      <alignment horizontal="center" vertical="center"/>
    </xf>
    <xf numFmtId="164" fontId="88" fillId="0" borderId="9" xfId="1446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0" borderId="70" xfId="0" applyFont="1" applyBorder="1" applyAlignment="1">
      <alignment horizontal="center" vertical="center"/>
    </xf>
    <xf numFmtId="0" fontId="88" fillId="13" borderId="0" xfId="954" applyFont="1" applyFill="1" applyAlignment="1">
      <alignment horizontal="center" vertical="center" wrapText="1"/>
    </xf>
    <xf numFmtId="0" fontId="86" fillId="13" borderId="0" xfId="0" applyFont="1" applyFill="1"/>
    <xf numFmtId="0" fontId="88" fillId="13" borderId="62" xfId="0" applyFont="1" applyFill="1" applyBorder="1" applyAlignment="1">
      <alignment horizontal="center" vertical="center"/>
    </xf>
    <xf numFmtId="0" fontId="88" fillId="13" borderId="9" xfId="0" applyFont="1" applyFill="1" applyBorder="1" applyAlignment="1">
      <alignment horizontal="center" vertical="center"/>
    </xf>
    <xf numFmtId="0" fontId="88" fillId="13" borderId="5" xfId="0" applyFont="1" applyFill="1" applyBorder="1" applyAlignment="1">
      <alignment horizontal="center" vertical="center"/>
    </xf>
    <xf numFmtId="164" fontId="88" fillId="13" borderId="62" xfId="1446" applyFont="1" applyFill="1" applyBorder="1" applyAlignment="1">
      <alignment horizontal="center" vertical="center" wrapText="1"/>
    </xf>
    <xf numFmtId="164" fontId="88" fillId="13" borderId="9" xfId="1446" applyFont="1" applyFill="1" applyBorder="1" applyAlignment="1">
      <alignment horizontal="center" vertical="center" wrapText="1"/>
    </xf>
    <xf numFmtId="0" fontId="74" fillId="0" borderId="0" xfId="954" applyFont="1" applyAlignment="1">
      <alignment horizontal="center" vertical="center" wrapText="1"/>
    </xf>
  </cellXfs>
  <cellStyles count="2727">
    <cellStyle name=",;F'KOIT[[WAAHK" xfId="1" xr:uid="{00000000-0005-0000-0000-000000000000}"/>
    <cellStyle name="?? [0.00]_????" xfId="2" xr:uid="{00000000-0005-0000-0000-000001000000}"/>
    <cellStyle name="?? [0]_PERSONAL" xfId="3" xr:uid="{00000000-0005-0000-0000-000002000000}"/>
    <cellStyle name="???? [0.00]_????" xfId="4" xr:uid="{00000000-0005-0000-0000-000003000000}"/>
    <cellStyle name="??????[0]_PERSONAL" xfId="5" xr:uid="{00000000-0005-0000-0000-000004000000}"/>
    <cellStyle name="??????PERSONAL" xfId="6" xr:uid="{00000000-0005-0000-0000-000005000000}"/>
    <cellStyle name="?????[0]_PERSONAL" xfId="7" xr:uid="{00000000-0005-0000-0000-000006000000}"/>
    <cellStyle name="?????PERSONAL" xfId="8" xr:uid="{00000000-0005-0000-0000-000007000000}"/>
    <cellStyle name="????_????" xfId="9" xr:uid="{00000000-0005-0000-0000-000008000000}"/>
    <cellStyle name="???[0]_PERSONAL" xfId="10" xr:uid="{00000000-0005-0000-0000-000009000000}"/>
    <cellStyle name="???_PERSONAL" xfId="11" xr:uid="{00000000-0005-0000-0000-00000A000000}"/>
    <cellStyle name="??_??" xfId="12" xr:uid="{00000000-0005-0000-0000-00000B000000}"/>
    <cellStyle name="?@??laroux" xfId="13" xr:uid="{00000000-0005-0000-0000-00000C000000}"/>
    <cellStyle name="=C:\WINDOWS\SYSTEM32\COMMAND.COM" xfId="14" xr:uid="{00000000-0005-0000-0000-00000D000000}"/>
    <cellStyle name="=C:\WINDOWS\SYSTEM32\COMMAND.COM 2" xfId="1484" xr:uid="{9B1F6A7B-114F-4E40-A8BC-656BC85E9EB1}"/>
    <cellStyle name="0,0_x000d__x000a_NA_x000d__x000a_" xfId="15" xr:uid="{00000000-0005-0000-0000-00000E000000}"/>
    <cellStyle name="0,0_x000d__x000a_NA_x000d__x000a_ 2" xfId="16" xr:uid="{00000000-0005-0000-0000-00000F000000}"/>
    <cellStyle name="0,0_x000d__x000a_NA_x000d__x000a_ 2 2" xfId="17" xr:uid="{00000000-0005-0000-0000-000010000000}"/>
    <cellStyle name="0,0_x000d__x000a_NA_x000d__x000a_ 2 2 2" xfId="18" xr:uid="{00000000-0005-0000-0000-000011000000}"/>
    <cellStyle name="0,0_x000d__x000a_NA_x000d__x000a_ 2 3" xfId="19" xr:uid="{00000000-0005-0000-0000-000012000000}"/>
    <cellStyle name="0,0_x000d__x000a_NA_x000d__x000a_ 2_BOQ-โรงแรม มรภ.ธนบุรี-55-05-02" xfId="20" xr:uid="{00000000-0005-0000-0000-000013000000}"/>
    <cellStyle name="0,0_x000d__x000a_NA_x000d__x000a_ 3" xfId="21" xr:uid="{00000000-0005-0000-0000-000014000000}"/>
    <cellStyle name="0,0_x000d__x000a_NA_x000d__x000a_ 4 2" xfId="22" xr:uid="{00000000-0005-0000-0000-000015000000}"/>
    <cellStyle name="0,0_x000d__x000a_NA_x000d__x000a__0-สรุปรวมค่าก่อสร้าง" xfId="23" xr:uid="{00000000-0005-0000-0000-000016000000}"/>
    <cellStyle name="a" xfId="24" xr:uid="{00000000-0005-0000-0000-000017000000}"/>
    <cellStyle name="abc" xfId="25" xr:uid="{00000000-0005-0000-0000-000018000000}"/>
    <cellStyle name="Calc Currency (0)" xfId="26" xr:uid="{00000000-0005-0000-0000-000019000000}"/>
    <cellStyle name="Calc Currency (0) 2" xfId="1485" xr:uid="{C4802186-2879-4668-B03B-5D454987D513}"/>
    <cellStyle name="Calc Currency (2)" xfId="27" xr:uid="{00000000-0005-0000-0000-00001A000000}"/>
    <cellStyle name="Calc Percent (0)" xfId="28" xr:uid="{00000000-0005-0000-0000-00001B000000}"/>
    <cellStyle name="Calc Percent (1)" xfId="29" xr:uid="{00000000-0005-0000-0000-00001C000000}"/>
    <cellStyle name="Calc Percent (2)" xfId="30" xr:uid="{00000000-0005-0000-0000-00001D000000}"/>
    <cellStyle name="Calc Units (0)" xfId="31" xr:uid="{00000000-0005-0000-0000-00001E000000}"/>
    <cellStyle name="Calc Units (1)" xfId="32" xr:uid="{00000000-0005-0000-0000-00001F000000}"/>
    <cellStyle name="Calc Units (2)" xfId="33" xr:uid="{00000000-0005-0000-0000-000020000000}"/>
    <cellStyle name="Comma" xfId="1446" builtinId="3"/>
    <cellStyle name="Comma  - Style1" xfId="34" xr:uid="{00000000-0005-0000-0000-000021000000}"/>
    <cellStyle name="Comma  - Style2" xfId="35" xr:uid="{00000000-0005-0000-0000-000022000000}"/>
    <cellStyle name="Comma  - Style3" xfId="36" xr:uid="{00000000-0005-0000-0000-000023000000}"/>
    <cellStyle name="Comma  - Style4" xfId="37" xr:uid="{00000000-0005-0000-0000-000024000000}"/>
    <cellStyle name="Comma  - Style5" xfId="38" xr:uid="{00000000-0005-0000-0000-000025000000}"/>
    <cellStyle name="Comma  - Style6" xfId="39" xr:uid="{00000000-0005-0000-0000-000026000000}"/>
    <cellStyle name="Comma  - Style7" xfId="40" xr:uid="{00000000-0005-0000-0000-000027000000}"/>
    <cellStyle name="Comma  - Style8" xfId="41" xr:uid="{00000000-0005-0000-0000-000028000000}"/>
    <cellStyle name="Comma  - ต้นแบบ1" xfId="42" xr:uid="{00000000-0005-0000-0000-000029000000}"/>
    <cellStyle name="Comma  - ต้นแบบ2" xfId="43" xr:uid="{00000000-0005-0000-0000-00002A000000}"/>
    <cellStyle name="Comma  - ต้นแบบ3" xfId="44" xr:uid="{00000000-0005-0000-0000-00002B000000}"/>
    <cellStyle name="Comma  - ต้นแบบ4" xfId="45" xr:uid="{00000000-0005-0000-0000-00002C000000}"/>
    <cellStyle name="Comma  - ต้นแบบ5" xfId="46" xr:uid="{00000000-0005-0000-0000-00002D000000}"/>
    <cellStyle name="Comma  - ต้นแบบ6" xfId="47" xr:uid="{00000000-0005-0000-0000-00002E000000}"/>
    <cellStyle name="Comma  - ต้นแบบ7" xfId="48" xr:uid="{00000000-0005-0000-0000-00002F000000}"/>
    <cellStyle name="Comma  - ต้นแบบ8" xfId="49" xr:uid="{00000000-0005-0000-0000-000030000000}"/>
    <cellStyle name="Comma [0] 2" xfId="50" xr:uid="{00000000-0005-0000-0000-000031000000}"/>
    <cellStyle name="Comma [00]" xfId="51" xr:uid="{00000000-0005-0000-0000-000032000000}"/>
    <cellStyle name="Comma 10" xfId="52" xr:uid="{00000000-0005-0000-0000-000033000000}"/>
    <cellStyle name="Comma 10 10" xfId="1482" xr:uid="{6F5C69F6-4D07-4B20-A3EB-8EE05789F67E}"/>
    <cellStyle name="Comma 10 10 2" xfId="2715" xr:uid="{3D8378D6-809F-401A-8259-1556AED445FC}"/>
    <cellStyle name="Comma 10 2" xfId="53" xr:uid="{00000000-0005-0000-0000-000034000000}"/>
    <cellStyle name="Comma 10 2 2" xfId="54" xr:uid="{00000000-0005-0000-0000-000035000000}"/>
    <cellStyle name="Comma 10 2 2 2" xfId="55" xr:uid="{00000000-0005-0000-0000-000036000000}"/>
    <cellStyle name="Comma 10 2 2 2 2" xfId="56" xr:uid="{00000000-0005-0000-0000-000037000000}"/>
    <cellStyle name="Comma 10 2 2 2 2 2" xfId="57" xr:uid="{00000000-0005-0000-0000-000038000000}"/>
    <cellStyle name="Comma 10 2 2 2 2 2 2" xfId="58" xr:uid="{00000000-0005-0000-0000-000039000000}"/>
    <cellStyle name="Comma 10 2 2 2 2 2 2 2" xfId="1492" xr:uid="{C1DDCEC2-284B-4DAF-8DAC-EC5CD88229C0}"/>
    <cellStyle name="Comma 10 2 2 2 2 2 3" xfId="1491" xr:uid="{647DE33B-F21C-44E1-ADA2-1985AFF45938}"/>
    <cellStyle name="Comma 10 2 2 2 2 3" xfId="59" xr:uid="{00000000-0005-0000-0000-00003A000000}"/>
    <cellStyle name="Comma 10 2 2 2 2 3 2" xfId="1493" xr:uid="{11E998DF-F818-4AE9-8086-4F0F02599A42}"/>
    <cellStyle name="Comma 10 2 2 2 2 4" xfId="1490" xr:uid="{E31B8EB2-E892-4EDC-9C34-34BB75EEDD35}"/>
    <cellStyle name="Comma 10 2 2 2 3" xfId="60" xr:uid="{00000000-0005-0000-0000-00003B000000}"/>
    <cellStyle name="Comma 10 2 2 2 3 2" xfId="61" xr:uid="{00000000-0005-0000-0000-00003C000000}"/>
    <cellStyle name="Comma 10 2 2 2 3 2 2" xfId="1495" xr:uid="{782529A7-A318-4B95-9FFF-1BC36B2BD543}"/>
    <cellStyle name="Comma 10 2 2 2 3 3" xfId="1494" xr:uid="{3DC31E49-120A-452C-A7E8-F145F42ED436}"/>
    <cellStyle name="Comma 10 2 2 2 4" xfId="62" xr:uid="{00000000-0005-0000-0000-00003D000000}"/>
    <cellStyle name="Comma 10 2 2 2 4 2" xfId="1496" xr:uid="{E9396804-E1FD-4169-960E-A4071284C413}"/>
    <cellStyle name="Comma 10 2 2 2 5" xfId="1489" xr:uid="{D3629CE7-7D58-47AE-9C33-280AF708A3BD}"/>
    <cellStyle name="Comma 10 2 2 3" xfId="63" xr:uid="{00000000-0005-0000-0000-00003E000000}"/>
    <cellStyle name="Comma 10 2 2 3 2" xfId="64" xr:uid="{00000000-0005-0000-0000-00003F000000}"/>
    <cellStyle name="Comma 10 2 2 3 2 2" xfId="65" xr:uid="{00000000-0005-0000-0000-000040000000}"/>
    <cellStyle name="Comma 10 2 2 3 2 2 2" xfId="1499" xr:uid="{F5D18D05-3442-4770-A8A7-00016DBA4271}"/>
    <cellStyle name="Comma 10 2 2 3 2 3" xfId="1498" xr:uid="{8D00C0E9-DDD1-4471-8ADF-7E12F67E1E55}"/>
    <cellStyle name="Comma 10 2 2 3 3" xfId="66" xr:uid="{00000000-0005-0000-0000-000041000000}"/>
    <cellStyle name="Comma 10 2 2 3 3 2" xfId="1500" xr:uid="{86677E48-4F45-4549-AC0F-FC31C0D0CD69}"/>
    <cellStyle name="Comma 10 2 2 3 4" xfId="1497" xr:uid="{13CEEFF6-B9D7-4A28-9C38-1EF0C31C3EAA}"/>
    <cellStyle name="Comma 10 2 2 4" xfId="67" xr:uid="{00000000-0005-0000-0000-000042000000}"/>
    <cellStyle name="Comma 10 2 2 4 2" xfId="68" xr:uid="{00000000-0005-0000-0000-000043000000}"/>
    <cellStyle name="Comma 10 2 2 4 2 2" xfId="1502" xr:uid="{5427C5C2-17DA-40A4-B76A-BF5ED98C5BF4}"/>
    <cellStyle name="Comma 10 2 2 4 3" xfId="1501" xr:uid="{034F5C28-0E4D-42C2-9F3F-B345CFAC7B6E}"/>
    <cellStyle name="Comma 10 2 2 5" xfId="69" xr:uid="{00000000-0005-0000-0000-000044000000}"/>
    <cellStyle name="Comma 10 2 2 5 2" xfId="1503" xr:uid="{14E3C5F8-C7B4-473C-B885-EB334C06A0BC}"/>
    <cellStyle name="Comma 10 2 2 6" xfId="1488" xr:uid="{8C97A150-834C-4611-9B14-5D88D8FB7E91}"/>
    <cellStyle name="Comma 10 2 3" xfId="70" xr:uid="{00000000-0005-0000-0000-000045000000}"/>
    <cellStyle name="Comma 10 2 3 2" xfId="71" xr:uid="{00000000-0005-0000-0000-000046000000}"/>
    <cellStyle name="Comma 10 2 3 2 2" xfId="72" xr:uid="{00000000-0005-0000-0000-000047000000}"/>
    <cellStyle name="Comma 10 2 3 2 2 2" xfId="1506" xr:uid="{8C7AF6BC-6BB8-42AE-BB1C-33E9D86181C0}"/>
    <cellStyle name="Comma 10 2 3 2 3" xfId="1505" xr:uid="{B548412F-F6D3-408E-8F6C-40BDB4C4934D}"/>
    <cellStyle name="Comma 10 2 3 3" xfId="73" xr:uid="{00000000-0005-0000-0000-000048000000}"/>
    <cellStyle name="Comma 10 2 3 3 2" xfId="1507" xr:uid="{DC77E5B7-07DB-4A5B-B3E0-325CE4A75181}"/>
    <cellStyle name="Comma 10 2 3 4" xfId="1504" xr:uid="{6C42E6B2-1CEA-414F-AC13-4ABB81BB136C}"/>
    <cellStyle name="Comma 10 2 4" xfId="74" xr:uid="{00000000-0005-0000-0000-000049000000}"/>
    <cellStyle name="Comma 10 2 4 2" xfId="75" xr:uid="{00000000-0005-0000-0000-00004A000000}"/>
    <cellStyle name="Comma 10 2 4 2 2" xfId="1509" xr:uid="{11D7E936-5486-4095-967D-FACF24B4C841}"/>
    <cellStyle name="Comma 10 2 4 3" xfId="1508" xr:uid="{F3CCEFA7-0EE0-4319-BFD0-69872E3F103C}"/>
    <cellStyle name="Comma 10 2 5" xfId="76" xr:uid="{00000000-0005-0000-0000-00004B000000}"/>
    <cellStyle name="Comma 10 2 5 2" xfId="1510" xr:uid="{5DC7DCAB-62AB-4E56-B131-E8F2110C8B39}"/>
    <cellStyle name="Comma 10 2 6" xfId="1487" xr:uid="{272DC953-A4D0-4D1D-B2E2-7A34F51DB898}"/>
    <cellStyle name="Comma 10 3" xfId="77" xr:uid="{00000000-0005-0000-0000-00004C000000}"/>
    <cellStyle name="Comma 10 3 2" xfId="78" xr:uid="{00000000-0005-0000-0000-00004D000000}"/>
    <cellStyle name="Comma 10 3 2 2" xfId="79" xr:uid="{00000000-0005-0000-0000-00004E000000}"/>
    <cellStyle name="Comma 10 3 2 2 2" xfId="1513" xr:uid="{6E18F7E5-7DB8-4EBB-B825-01A15F1B7A36}"/>
    <cellStyle name="Comma 10 3 2 3" xfId="1512" xr:uid="{BE99D11C-9A60-4B03-B8B0-3BD997F83923}"/>
    <cellStyle name="Comma 10 3 3" xfId="80" xr:uid="{00000000-0005-0000-0000-00004F000000}"/>
    <cellStyle name="Comma 10 3 3 2" xfId="1514" xr:uid="{3EDCD912-E03F-4378-BA91-DA40D41074DB}"/>
    <cellStyle name="Comma 10 3 4" xfId="1511" xr:uid="{65F98AB3-FA01-4EBC-A867-1C8607B84584}"/>
    <cellStyle name="Comma 10 4" xfId="81" xr:uid="{00000000-0005-0000-0000-000050000000}"/>
    <cellStyle name="Comma 10 4 2" xfId="82" xr:uid="{00000000-0005-0000-0000-000051000000}"/>
    <cellStyle name="Comma 10 4 2 2" xfId="1516" xr:uid="{ECE50D71-8655-4FD4-A9AD-001BF1B952E2}"/>
    <cellStyle name="Comma 10 4 3" xfId="1515" xr:uid="{740C11BF-3D08-4ACC-894E-127467E817CA}"/>
    <cellStyle name="Comma 10 5" xfId="83" xr:uid="{00000000-0005-0000-0000-000052000000}"/>
    <cellStyle name="Comma 10 5 2" xfId="1517" xr:uid="{C77B7994-336C-4C9D-818D-DC3A7269C52C}"/>
    <cellStyle name="Comma 10 6" xfId="1486" xr:uid="{5A124C27-D5F8-4C28-980B-5625DD87B41F}"/>
    <cellStyle name="Comma 11" xfId="84" xr:uid="{00000000-0005-0000-0000-000053000000}"/>
    <cellStyle name="Comma 11 2" xfId="85" xr:uid="{00000000-0005-0000-0000-000054000000}"/>
    <cellStyle name="Comma 11 2 2" xfId="86" xr:uid="{00000000-0005-0000-0000-000055000000}"/>
    <cellStyle name="Comma 11 2 2 2" xfId="87" xr:uid="{00000000-0005-0000-0000-000056000000}"/>
    <cellStyle name="Comma 11 2 2 2 2" xfId="88" xr:uid="{00000000-0005-0000-0000-000057000000}"/>
    <cellStyle name="Comma 11 2 2 2 2 2" xfId="1522" xr:uid="{14E99B75-E291-4D30-862F-43B4ADE42734}"/>
    <cellStyle name="Comma 11 2 2 2 3" xfId="1521" xr:uid="{88D8B7B2-4B58-4B87-8051-A567E7C0B2AA}"/>
    <cellStyle name="Comma 11 2 2 3" xfId="89" xr:uid="{00000000-0005-0000-0000-000058000000}"/>
    <cellStyle name="Comma 11 2 2 3 2" xfId="1523" xr:uid="{C8F84EEC-3104-4A37-A02B-10BD4DA22E2B}"/>
    <cellStyle name="Comma 11 2 2 4" xfId="1520" xr:uid="{D131A089-AEA2-476E-84E4-F41C69C61092}"/>
    <cellStyle name="Comma 11 2 3" xfId="90" xr:uid="{00000000-0005-0000-0000-000059000000}"/>
    <cellStyle name="Comma 11 2 3 2" xfId="91" xr:uid="{00000000-0005-0000-0000-00005A000000}"/>
    <cellStyle name="Comma 11 2 3 2 2" xfId="1525" xr:uid="{3F25DE3B-282F-42B0-AE7F-B6809009DAA6}"/>
    <cellStyle name="Comma 11 2 3 3" xfId="1524" xr:uid="{1484C695-BB87-4255-8B44-2A78C74D8AA0}"/>
    <cellStyle name="Comma 11 2 4" xfId="92" xr:uid="{00000000-0005-0000-0000-00005B000000}"/>
    <cellStyle name="Comma 11 2 4 2" xfId="1526" xr:uid="{F5BFBAEB-B59D-4EF1-B7EE-8CB27BF0562C}"/>
    <cellStyle name="Comma 11 2 5" xfId="1519" xr:uid="{1EF11A1A-F2F6-47B0-A69D-15A25DCC5EB7}"/>
    <cellStyle name="Comma 11 3" xfId="93" xr:uid="{00000000-0005-0000-0000-00005C000000}"/>
    <cellStyle name="Comma 11 3 2" xfId="94" xr:uid="{00000000-0005-0000-0000-00005D000000}"/>
    <cellStyle name="Comma 11 3 2 2" xfId="95" xr:uid="{00000000-0005-0000-0000-00005E000000}"/>
    <cellStyle name="Comma 11 3 2 2 2" xfId="1529" xr:uid="{2A00AFC4-FFE7-4826-9BAF-1C454C4C2464}"/>
    <cellStyle name="Comma 11 3 2 3" xfId="1528" xr:uid="{3AB0F3F4-64A9-45C1-85E4-DF870A13EA74}"/>
    <cellStyle name="Comma 11 3 3" xfId="96" xr:uid="{00000000-0005-0000-0000-00005F000000}"/>
    <cellStyle name="Comma 11 3 3 2" xfId="1530" xr:uid="{F3527112-FBF7-48F9-AC3A-DA1BCD5FFC8E}"/>
    <cellStyle name="Comma 11 3 4" xfId="1527" xr:uid="{0C91D3E9-09C8-40AB-A203-5BA9FCD44E3D}"/>
    <cellStyle name="Comma 11 4" xfId="97" xr:uid="{00000000-0005-0000-0000-000060000000}"/>
    <cellStyle name="Comma 11 4 2" xfId="98" xr:uid="{00000000-0005-0000-0000-000061000000}"/>
    <cellStyle name="Comma 11 4 2 2" xfId="1532" xr:uid="{A23D27CB-FB6D-4E38-B9E3-6EE060509900}"/>
    <cellStyle name="Comma 11 4 3" xfId="1531" xr:uid="{7743A92D-8FBE-485B-B1C3-0B724D9A0001}"/>
    <cellStyle name="Comma 11 5" xfId="99" xr:uid="{00000000-0005-0000-0000-000062000000}"/>
    <cellStyle name="Comma 11 5 2" xfId="1533" xr:uid="{D5898777-A822-4E08-9A0B-B1B4BAB883DF}"/>
    <cellStyle name="Comma 11 6" xfId="1518" xr:uid="{C25858B2-6094-4B11-984B-6B1E5FDE97F9}"/>
    <cellStyle name="Comma 12" xfId="100" xr:uid="{00000000-0005-0000-0000-000063000000}"/>
    <cellStyle name="Comma 12 2" xfId="101" xr:uid="{00000000-0005-0000-0000-000064000000}"/>
    <cellStyle name="Comma 12 2 2" xfId="102" xr:uid="{00000000-0005-0000-0000-000065000000}"/>
    <cellStyle name="Comma 12 2 2 2" xfId="103" xr:uid="{00000000-0005-0000-0000-000066000000}"/>
    <cellStyle name="Comma 12 2 2 2 2" xfId="104" xr:uid="{00000000-0005-0000-0000-000067000000}"/>
    <cellStyle name="Comma 12 2 2 2 2 2" xfId="1538" xr:uid="{80BF7B75-D410-4311-9300-6DFB42F3EECF}"/>
    <cellStyle name="Comma 12 2 2 2 3" xfId="1537" xr:uid="{7BFBFC1E-C167-4381-86D8-515CFA146AA9}"/>
    <cellStyle name="Comma 12 2 2 3" xfId="105" xr:uid="{00000000-0005-0000-0000-000068000000}"/>
    <cellStyle name="Comma 12 2 2 3 2" xfId="1539" xr:uid="{40116DEC-D886-4F0F-8756-612DA3D87BE8}"/>
    <cellStyle name="Comma 12 2 2 4" xfId="1536" xr:uid="{811DA9B4-B938-471E-ADE6-BC9279AD1463}"/>
    <cellStyle name="Comma 12 2 3" xfId="106" xr:uid="{00000000-0005-0000-0000-000069000000}"/>
    <cellStyle name="Comma 12 2 3 2" xfId="107" xr:uid="{00000000-0005-0000-0000-00006A000000}"/>
    <cellStyle name="Comma 12 2 3 2 2" xfId="1541" xr:uid="{41D4BF26-A12C-4EE7-BAFE-B500937B76FF}"/>
    <cellStyle name="Comma 12 2 3 3" xfId="1540" xr:uid="{520EFDDB-58DA-41E9-8CA8-A01341668652}"/>
    <cellStyle name="Comma 12 2 4" xfId="108" xr:uid="{00000000-0005-0000-0000-00006B000000}"/>
    <cellStyle name="Comma 12 2 4 2" xfId="1542" xr:uid="{6801F212-5924-41C3-A168-D816B3EDA1CD}"/>
    <cellStyle name="Comma 12 2 5" xfId="1535" xr:uid="{453F739C-8198-45C0-8FE8-D003EE15F66E}"/>
    <cellStyle name="Comma 12 3" xfId="109" xr:uid="{00000000-0005-0000-0000-00006C000000}"/>
    <cellStyle name="Comma 12 3 2" xfId="110" xr:uid="{00000000-0005-0000-0000-00006D000000}"/>
    <cellStyle name="Comma 12 3 2 2" xfId="111" xr:uid="{00000000-0005-0000-0000-00006E000000}"/>
    <cellStyle name="Comma 12 3 2 2 2" xfId="1545" xr:uid="{3466783A-46E5-456F-9E10-776995DAE79C}"/>
    <cellStyle name="Comma 12 3 2 3" xfId="1544" xr:uid="{627C2E93-70E2-4CE7-8F41-39FD23833D6E}"/>
    <cellStyle name="Comma 12 3 3" xfId="112" xr:uid="{00000000-0005-0000-0000-00006F000000}"/>
    <cellStyle name="Comma 12 3 3 2" xfId="1546" xr:uid="{51B5CAE3-A7B6-449E-AA8A-C0F0DF66FC1E}"/>
    <cellStyle name="Comma 12 3 4" xfId="1543" xr:uid="{D5AE1CE2-1642-4B68-9382-EB717AD0C48F}"/>
    <cellStyle name="Comma 12 4" xfId="113" xr:uid="{00000000-0005-0000-0000-000070000000}"/>
    <cellStyle name="Comma 12 4 2" xfId="114" xr:uid="{00000000-0005-0000-0000-000071000000}"/>
    <cellStyle name="Comma 12 4 2 2" xfId="1548" xr:uid="{D93DF27B-CF6D-433B-9B70-BAB4E5AA6E59}"/>
    <cellStyle name="Comma 12 4 3" xfId="1547" xr:uid="{A2CE4A4D-92C6-4A92-A1C5-FC029F593F1C}"/>
    <cellStyle name="Comma 12 5" xfId="115" xr:uid="{00000000-0005-0000-0000-000072000000}"/>
    <cellStyle name="Comma 12 5 2" xfId="1549" xr:uid="{05A39797-5DCF-441B-8F75-A24171AC76ED}"/>
    <cellStyle name="Comma 12 6" xfId="1479" xr:uid="{00000000-0005-0000-0000-000073000000}"/>
    <cellStyle name="Comma 12 6 2" xfId="2713" xr:uid="{78FF80DF-BC90-4B48-9F90-D9B5AA00D931}"/>
    <cellStyle name="Comma 12 7" xfId="1534" xr:uid="{2AB41FDD-AFA2-474F-994D-5EAB2A47346B}"/>
    <cellStyle name="Comma 13" xfId="116" xr:uid="{00000000-0005-0000-0000-000074000000}"/>
    <cellStyle name="Comma 13 2" xfId="117" xr:uid="{00000000-0005-0000-0000-000075000000}"/>
    <cellStyle name="Comma 13 2 2" xfId="118" xr:uid="{00000000-0005-0000-0000-000076000000}"/>
    <cellStyle name="Comma 13 2 2 2" xfId="119" xr:uid="{00000000-0005-0000-0000-000077000000}"/>
    <cellStyle name="Comma 13 2 2 2 2" xfId="120" xr:uid="{00000000-0005-0000-0000-000078000000}"/>
    <cellStyle name="Comma 13 2 2 2 2 2" xfId="1554" xr:uid="{D2DE47D2-BB2F-44F9-833C-836BF8ECBE6C}"/>
    <cellStyle name="Comma 13 2 2 2 3" xfId="1553" xr:uid="{2A71FA7C-BACA-4D75-813F-3828AE5F1E75}"/>
    <cellStyle name="Comma 13 2 2 3" xfId="121" xr:uid="{00000000-0005-0000-0000-000079000000}"/>
    <cellStyle name="Comma 13 2 2 3 2" xfId="1555" xr:uid="{6B747B03-357F-48D1-A8B7-536A0F43F4FE}"/>
    <cellStyle name="Comma 13 2 2 4" xfId="1552" xr:uid="{A71E64FA-DC24-40A0-AB6F-AA78F6DB4F49}"/>
    <cellStyle name="Comma 13 2 3" xfId="122" xr:uid="{00000000-0005-0000-0000-00007A000000}"/>
    <cellStyle name="Comma 13 2 3 2" xfId="123" xr:uid="{00000000-0005-0000-0000-00007B000000}"/>
    <cellStyle name="Comma 13 2 3 2 2" xfId="1557" xr:uid="{56DDF02F-1AE7-44F6-BD42-BBBABF9CEB62}"/>
    <cellStyle name="Comma 13 2 3 3" xfId="1556" xr:uid="{4582A148-ED66-4C20-8C3D-EEEEFACD41E6}"/>
    <cellStyle name="Comma 13 2 4" xfId="124" xr:uid="{00000000-0005-0000-0000-00007C000000}"/>
    <cellStyle name="Comma 13 2 4 2" xfId="1558" xr:uid="{8EAB9A05-8766-47A9-B564-91D774A75CF2}"/>
    <cellStyle name="Comma 13 2 5" xfId="1551" xr:uid="{C1814E9F-C94A-49BB-B46F-012831A23533}"/>
    <cellStyle name="Comma 13 3" xfId="125" xr:uid="{00000000-0005-0000-0000-00007D000000}"/>
    <cellStyle name="Comma 13 3 2" xfId="126" xr:uid="{00000000-0005-0000-0000-00007E000000}"/>
    <cellStyle name="Comma 13 3 2 2" xfId="127" xr:uid="{00000000-0005-0000-0000-00007F000000}"/>
    <cellStyle name="Comma 13 3 2 2 2" xfId="1561" xr:uid="{C130A8EE-46BC-4463-956E-C2833C5BC333}"/>
    <cellStyle name="Comma 13 3 2 3" xfId="1560" xr:uid="{8F82E84B-388D-4365-9446-76350BDD08A9}"/>
    <cellStyle name="Comma 13 3 3" xfId="128" xr:uid="{00000000-0005-0000-0000-000080000000}"/>
    <cellStyle name="Comma 13 3 3 2" xfId="1562" xr:uid="{11E0BE9F-A32D-40F7-A8B6-95D90B796E8A}"/>
    <cellStyle name="Comma 13 3 4" xfId="1559" xr:uid="{0F1FA967-0D05-49DF-BBE1-DA36D8E3C893}"/>
    <cellStyle name="Comma 13 4" xfId="129" xr:uid="{00000000-0005-0000-0000-000081000000}"/>
    <cellStyle name="Comma 13 4 2" xfId="130" xr:uid="{00000000-0005-0000-0000-000082000000}"/>
    <cellStyle name="Comma 13 4 2 2" xfId="1564" xr:uid="{09F81E2C-2258-4001-A895-A6071EBD05BC}"/>
    <cellStyle name="Comma 13 4 3" xfId="1563" xr:uid="{CFFD59C0-F33E-47A7-B571-33051623AA72}"/>
    <cellStyle name="Comma 13 5" xfId="131" xr:uid="{00000000-0005-0000-0000-000083000000}"/>
    <cellStyle name="Comma 13 5 2" xfId="1565" xr:uid="{15BA42DB-4BB7-44F3-870A-0194B565BB1F}"/>
    <cellStyle name="Comma 13 6" xfId="1550" xr:uid="{83329874-7D4E-44E2-B694-DDFBF5A52123}"/>
    <cellStyle name="Comma 14" xfId="132" xr:uid="{00000000-0005-0000-0000-000084000000}"/>
    <cellStyle name="Comma 14 2" xfId="133" xr:uid="{00000000-0005-0000-0000-000085000000}"/>
    <cellStyle name="Comma 14 2 2" xfId="134" xr:uid="{00000000-0005-0000-0000-000086000000}"/>
    <cellStyle name="Comma 14 2 2 2" xfId="135" xr:uid="{00000000-0005-0000-0000-000087000000}"/>
    <cellStyle name="Comma 14 2 2 2 2" xfId="136" xr:uid="{00000000-0005-0000-0000-000088000000}"/>
    <cellStyle name="Comma 14 2 2 2 2 2" xfId="1570" xr:uid="{1F984E6B-1E17-40F3-BF0B-E50E92E734B4}"/>
    <cellStyle name="Comma 14 2 2 2 3" xfId="1569" xr:uid="{3EFD57F1-127C-4575-995B-E581B042FE7B}"/>
    <cellStyle name="Comma 14 2 2 3" xfId="137" xr:uid="{00000000-0005-0000-0000-000089000000}"/>
    <cellStyle name="Comma 14 2 2 3 2" xfId="1571" xr:uid="{BE3E801F-E0CA-447B-AEB2-4AC6A8F9AD9C}"/>
    <cellStyle name="Comma 14 2 2 4" xfId="1568" xr:uid="{CE5C3F04-9B3B-412C-8257-49626D742C7F}"/>
    <cellStyle name="Comma 14 2 3" xfId="138" xr:uid="{00000000-0005-0000-0000-00008A000000}"/>
    <cellStyle name="Comma 14 2 3 2" xfId="139" xr:uid="{00000000-0005-0000-0000-00008B000000}"/>
    <cellStyle name="Comma 14 2 3 2 2" xfId="1573" xr:uid="{284C4E61-6469-4965-9B48-9D7349989219}"/>
    <cellStyle name="Comma 14 2 3 3" xfId="1572" xr:uid="{249C7E3A-78EE-44BF-AE11-B518DB69F4AF}"/>
    <cellStyle name="Comma 14 2 4" xfId="140" xr:uid="{00000000-0005-0000-0000-00008C000000}"/>
    <cellStyle name="Comma 14 2 4 2" xfId="1574" xr:uid="{4D0CF58B-72E1-4B7F-9F5B-B2CE39C0874C}"/>
    <cellStyle name="Comma 14 2 5" xfId="1567" xr:uid="{2B2676BB-77EE-4528-BA5D-91C8DB534AA7}"/>
    <cellStyle name="Comma 14 3" xfId="141" xr:uid="{00000000-0005-0000-0000-00008D000000}"/>
    <cellStyle name="Comma 14 3 2" xfId="142" xr:uid="{00000000-0005-0000-0000-00008E000000}"/>
    <cellStyle name="Comma 14 3 2 2" xfId="143" xr:uid="{00000000-0005-0000-0000-00008F000000}"/>
    <cellStyle name="Comma 14 3 2 2 2" xfId="1577" xr:uid="{D42C326A-FDE4-494F-A29F-DA6C1F252273}"/>
    <cellStyle name="Comma 14 3 2 3" xfId="1576" xr:uid="{47BEE190-238F-4B45-8D88-7FE25FBE2FFC}"/>
    <cellStyle name="Comma 14 3 3" xfId="144" xr:uid="{00000000-0005-0000-0000-000090000000}"/>
    <cellStyle name="Comma 14 3 3 2" xfId="1578" xr:uid="{13F811FB-41B8-4B44-9D53-8A9A11CA9AC1}"/>
    <cellStyle name="Comma 14 3 4" xfId="1575" xr:uid="{9AC73356-3F02-4BD0-85E6-ECE4CEB028B9}"/>
    <cellStyle name="Comma 14 4" xfId="145" xr:uid="{00000000-0005-0000-0000-000091000000}"/>
    <cellStyle name="Comma 14 4 2" xfId="146" xr:uid="{00000000-0005-0000-0000-000092000000}"/>
    <cellStyle name="Comma 14 4 2 2" xfId="1580" xr:uid="{7BA966DC-5602-4688-A56B-7CABAD933910}"/>
    <cellStyle name="Comma 14 4 3" xfId="1579" xr:uid="{B0CDE36E-043F-4F7C-99EF-04189E1DCA6B}"/>
    <cellStyle name="Comma 14 5" xfId="147" xr:uid="{00000000-0005-0000-0000-000093000000}"/>
    <cellStyle name="Comma 14 5 2" xfId="1581" xr:uid="{C1D2AF2F-7131-4781-934B-A586F5FDBE73}"/>
    <cellStyle name="Comma 14 6" xfId="1566" xr:uid="{C1A80D34-E7C2-431A-980B-FE84979B16AA}"/>
    <cellStyle name="Comma 15" xfId="148" xr:uid="{00000000-0005-0000-0000-000094000000}"/>
    <cellStyle name="Comma 15 2" xfId="149" xr:uid="{00000000-0005-0000-0000-000095000000}"/>
    <cellStyle name="Comma 15 2 2" xfId="150" xr:uid="{00000000-0005-0000-0000-000096000000}"/>
    <cellStyle name="Comma 15 2 2 2" xfId="151" xr:uid="{00000000-0005-0000-0000-000097000000}"/>
    <cellStyle name="Comma 15 2 2 2 2" xfId="152" xr:uid="{00000000-0005-0000-0000-000098000000}"/>
    <cellStyle name="Comma 15 2 2 2 2 2" xfId="1586" xr:uid="{49F671D1-092D-4BC2-9105-F8F20A580228}"/>
    <cellStyle name="Comma 15 2 2 2 3" xfId="1585" xr:uid="{2A88F4A7-9D4E-459F-B0CE-EBC30B8F84B0}"/>
    <cellStyle name="Comma 15 2 2 3" xfId="153" xr:uid="{00000000-0005-0000-0000-000099000000}"/>
    <cellStyle name="Comma 15 2 2 3 2" xfId="1587" xr:uid="{7A4AAF71-5A65-4F59-91F8-7C3303512450}"/>
    <cellStyle name="Comma 15 2 2 4" xfId="1584" xr:uid="{5CC3B4EC-B568-4BFE-B1BC-C5BED1AA5FCD}"/>
    <cellStyle name="Comma 15 2 3" xfId="154" xr:uid="{00000000-0005-0000-0000-00009A000000}"/>
    <cellStyle name="Comma 15 2 3 2" xfId="155" xr:uid="{00000000-0005-0000-0000-00009B000000}"/>
    <cellStyle name="Comma 15 2 3 2 2" xfId="1589" xr:uid="{F7815960-D22E-47AD-AD2B-77745B0A374A}"/>
    <cellStyle name="Comma 15 2 3 3" xfId="1588" xr:uid="{524EC119-3023-433B-B75E-1EC591D66C5A}"/>
    <cellStyle name="Comma 15 2 4" xfId="156" xr:uid="{00000000-0005-0000-0000-00009C000000}"/>
    <cellStyle name="Comma 15 2 4 2" xfId="1590" xr:uid="{93B249DF-D31C-4242-81A2-1ACD3B0AEAE2}"/>
    <cellStyle name="Comma 15 2 5" xfId="1583" xr:uid="{2614ECE6-124A-4F44-BAC0-0772DC3668D7}"/>
    <cellStyle name="Comma 15 3" xfId="157" xr:uid="{00000000-0005-0000-0000-00009D000000}"/>
    <cellStyle name="Comma 15 3 2" xfId="158" xr:uid="{00000000-0005-0000-0000-00009E000000}"/>
    <cellStyle name="Comma 15 3 2 2" xfId="159" xr:uid="{00000000-0005-0000-0000-00009F000000}"/>
    <cellStyle name="Comma 15 3 2 2 2" xfId="1593" xr:uid="{203F384B-2AF2-41DC-8B04-E362CD8CB096}"/>
    <cellStyle name="Comma 15 3 2 3" xfId="1592" xr:uid="{CC5D65ED-9EA7-4F63-AA02-AF6F66895947}"/>
    <cellStyle name="Comma 15 3 3" xfId="160" xr:uid="{00000000-0005-0000-0000-0000A0000000}"/>
    <cellStyle name="Comma 15 3 3 2" xfId="1594" xr:uid="{CB66F578-8E8F-4C34-9D2F-55218F838BAE}"/>
    <cellStyle name="Comma 15 3 4" xfId="1591" xr:uid="{AF1D2E50-2DE7-49D1-9A5F-353D6C3FCB54}"/>
    <cellStyle name="Comma 15 4" xfId="161" xr:uid="{00000000-0005-0000-0000-0000A1000000}"/>
    <cellStyle name="Comma 15 4 2" xfId="162" xr:uid="{00000000-0005-0000-0000-0000A2000000}"/>
    <cellStyle name="Comma 15 4 2 2" xfId="1596" xr:uid="{BD74F45F-F1ED-4D0E-8BB0-7AEBE860128F}"/>
    <cellStyle name="Comma 15 4 3" xfId="1595" xr:uid="{B1349302-0618-4CB9-8CA8-9D8952EE57FE}"/>
    <cellStyle name="Comma 15 5" xfId="163" xr:uid="{00000000-0005-0000-0000-0000A3000000}"/>
    <cellStyle name="Comma 15 5 2" xfId="1597" xr:uid="{18CFAF3E-E626-42E0-9A75-AE96341BB807}"/>
    <cellStyle name="Comma 15 6" xfId="1582" xr:uid="{6D0F2AF7-C7F8-4A0A-8CB0-43EE7610C04D}"/>
    <cellStyle name="Comma 16" xfId="164" xr:uid="{00000000-0005-0000-0000-0000A4000000}"/>
    <cellStyle name="Comma 16 2" xfId="165" xr:uid="{00000000-0005-0000-0000-0000A5000000}"/>
    <cellStyle name="Comma 16 2 2" xfId="166" xr:uid="{00000000-0005-0000-0000-0000A6000000}"/>
    <cellStyle name="Comma 16 2 2 2" xfId="167" xr:uid="{00000000-0005-0000-0000-0000A7000000}"/>
    <cellStyle name="Comma 16 2 2 2 2" xfId="168" xr:uid="{00000000-0005-0000-0000-0000A8000000}"/>
    <cellStyle name="Comma 16 2 2 2 2 2" xfId="1602" xr:uid="{15374837-A83D-4333-9230-880F7AC38407}"/>
    <cellStyle name="Comma 16 2 2 2 3" xfId="1601" xr:uid="{964ECFB2-B089-458A-9CD6-4FC61A480BBC}"/>
    <cellStyle name="Comma 16 2 2 3" xfId="169" xr:uid="{00000000-0005-0000-0000-0000A9000000}"/>
    <cellStyle name="Comma 16 2 2 3 2" xfId="1603" xr:uid="{1D95A666-545A-4FB0-BF26-D1C777487E05}"/>
    <cellStyle name="Comma 16 2 2 4" xfId="1600" xr:uid="{ADDEB3A6-9A79-4EE3-BCFF-38B598AC7A92}"/>
    <cellStyle name="Comma 16 2 3" xfId="170" xr:uid="{00000000-0005-0000-0000-0000AA000000}"/>
    <cellStyle name="Comma 16 2 3 2" xfId="171" xr:uid="{00000000-0005-0000-0000-0000AB000000}"/>
    <cellStyle name="Comma 16 2 3 2 2" xfId="1605" xr:uid="{538BAE77-CEC6-4C3C-8E6D-A37A4791700F}"/>
    <cellStyle name="Comma 16 2 3 3" xfId="1604" xr:uid="{0F237920-1405-4D19-B903-4BFDDB3B7BAB}"/>
    <cellStyle name="Comma 16 2 4" xfId="172" xr:uid="{00000000-0005-0000-0000-0000AC000000}"/>
    <cellStyle name="Comma 16 2 4 2" xfId="1606" xr:uid="{A8262819-F94A-49B4-907B-48E03F09C9CC}"/>
    <cellStyle name="Comma 16 2 5" xfId="1599" xr:uid="{32BD4049-ADB7-4CF8-BCDD-DAD0F616756C}"/>
    <cellStyle name="Comma 16 3" xfId="173" xr:uid="{00000000-0005-0000-0000-0000AD000000}"/>
    <cellStyle name="Comma 16 3 2" xfId="174" xr:uid="{00000000-0005-0000-0000-0000AE000000}"/>
    <cellStyle name="Comma 16 3 2 2" xfId="175" xr:uid="{00000000-0005-0000-0000-0000AF000000}"/>
    <cellStyle name="Comma 16 3 2 2 2" xfId="1609" xr:uid="{250E3EB4-8B34-4D07-9D8F-A118D347B2E4}"/>
    <cellStyle name="Comma 16 3 2 3" xfId="1608" xr:uid="{BEFD1174-8F44-4DD7-98D8-F6D3D1C4A73B}"/>
    <cellStyle name="Comma 16 3 3" xfId="176" xr:uid="{00000000-0005-0000-0000-0000B0000000}"/>
    <cellStyle name="Comma 16 3 3 2" xfId="1610" xr:uid="{00CAA65F-CD97-4DAD-AD7F-BC084CA5092A}"/>
    <cellStyle name="Comma 16 3 4" xfId="1607" xr:uid="{473517C8-8C24-4392-8E33-21B7B068B693}"/>
    <cellStyle name="Comma 16 4" xfId="177" xr:uid="{00000000-0005-0000-0000-0000B1000000}"/>
    <cellStyle name="Comma 16 4 2" xfId="178" xr:uid="{00000000-0005-0000-0000-0000B2000000}"/>
    <cellStyle name="Comma 16 4 2 2" xfId="1612" xr:uid="{5A9AE736-CF12-4A69-86BB-EAF70F52CAEF}"/>
    <cellStyle name="Comma 16 4 3" xfId="1611" xr:uid="{B24EFC31-2E07-4B8A-BAF1-45C6D7213CCD}"/>
    <cellStyle name="Comma 16 5" xfId="179" xr:uid="{00000000-0005-0000-0000-0000B3000000}"/>
    <cellStyle name="Comma 16 5 2" xfId="1613" xr:uid="{AB7884BD-2629-483F-942B-6E8385FD196B}"/>
    <cellStyle name="Comma 16 6" xfId="1598" xr:uid="{84D5957F-5D44-412E-AD27-7E60E27492A5}"/>
    <cellStyle name="Comma 17" xfId="180" xr:uid="{00000000-0005-0000-0000-0000B4000000}"/>
    <cellStyle name="Comma 17 2" xfId="181" xr:uid="{00000000-0005-0000-0000-0000B5000000}"/>
    <cellStyle name="Comma 17 2 2" xfId="182" xr:uid="{00000000-0005-0000-0000-0000B6000000}"/>
    <cellStyle name="Comma 17 2 2 2" xfId="183" xr:uid="{00000000-0005-0000-0000-0000B7000000}"/>
    <cellStyle name="Comma 17 2 2 2 2" xfId="184" xr:uid="{00000000-0005-0000-0000-0000B8000000}"/>
    <cellStyle name="Comma 17 2 2 2 2 2" xfId="1618" xr:uid="{2D056B05-E3B2-49C5-8C3F-A220144124C6}"/>
    <cellStyle name="Comma 17 2 2 2 3" xfId="1617" xr:uid="{90F82002-DB28-435A-ABF6-4D635052E273}"/>
    <cellStyle name="Comma 17 2 2 3" xfId="185" xr:uid="{00000000-0005-0000-0000-0000B9000000}"/>
    <cellStyle name="Comma 17 2 2 3 2" xfId="1619" xr:uid="{2457F73B-F51B-4B28-A801-5B1925427451}"/>
    <cellStyle name="Comma 17 2 2 4" xfId="1616" xr:uid="{B8AF3EC2-E559-4EEB-B4A0-34E5E2D5E668}"/>
    <cellStyle name="Comma 17 2 3" xfId="186" xr:uid="{00000000-0005-0000-0000-0000BA000000}"/>
    <cellStyle name="Comma 17 2 3 2" xfId="187" xr:uid="{00000000-0005-0000-0000-0000BB000000}"/>
    <cellStyle name="Comma 17 2 3 2 2" xfId="1621" xr:uid="{2C19A185-F983-4B81-8C06-4A1E02D435D2}"/>
    <cellStyle name="Comma 17 2 3 3" xfId="1620" xr:uid="{2CF01405-D8A3-4395-AED1-895D7C00C32D}"/>
    <cellStyle name="Comma 17 2 4" xfId="188" xr:uid="{00000000-0005-0000-0000-0000BC000000}"/>
    <cellStyle name="Comma 17 2 4 2" xfId="1622" xr:uid="{71F6F1E2-6EBF-414B-AD7A-64E918336F3F}"/>
    <cellStyle name="Comma 17 2 5" xfId="1615" xr:uid="{6E867001-E18B-4C2C-AF6C-377F8FE0E859}"/>
    <cellStyle name="Comma 17 3" xfId="189" xr:uid="{00000000-0005-0000-0000-0000BD000000}"/>
    <cellStyle name="Comma 17 3 2" xfId="190" xr:uid="{00000000-0005-0000-0000-0000BE000000}"/>
    <cellStyle name="Comma 17 3 2 2" xfId="191" xr:uid="{00000000-0005-0000-0000-0000BF000000}"/>
    <cellStyle name="Comma 17 3 2 2 2" xfId="1625" xr:uid="{06FCA618-3A83-4936-9015-22B71B6403F5}"/>
    <cellStyle name="Comma 17 3 2 3" xfId="1624" xr:uid="{0A9E748C-A87D-456D-AE23-03226EB258D3}"/>
    <cellStyle name="Comma 17 3 3" xfId="192" xr:uid="{00000000-0005-0000-0000-0000C0000000}"/>
    <cellStyle name="Comma 17 3 3 2" xfId="1626" xr:uid="{07398961-5A56-4D97-90D8-2829417D8EA0}"/>
    <cellStyle name="Comma 17 3 4" xfId="1623" xr:uid="{D3AB33BA-472E-4582-8759-129CDD800039}"/>
    <cellStyle name="Comma 17 4" xfId="193" xr:uid="{00000000-0005-0000-0000-0000C1000000}"/>
    <cellStyle name="Comma 17 4 2" xfId="194" xr:uid="{00000000-0005-0000-0000-0000C2000000}"/>
    <cellStyle name="Comma 17 4 2 2" xfId="1628" xr:uid="{C8F39DB5-1933-42E8-A0BF-3F7CFC38F922}"/>
    <cellStyle name="Comma 17 4 3" xfId="1627" xr:uid="{915B4657-3D4F-4445-BBF6-4D96B4FB4C34}"/>
    <cellStyle name="Comma 17 5" xfId="195" xr:uid="{00000000-0005-0000-0000-0000C3000000}"/>
    <cellStyle name="Comma 17 5 2" xfId="1629" xr:uid="{FDA25829-E905-4202-B2DA-2B8D70662570}"/>
    <cellStyle name="Comma 17 6" xfId="1614" xr:uid="{40BA329F-6B9E-44D2-A5BE-83EC7E1D5A41}"/>
    <cellStyle name="Comma 18" xfId="196" xr:uid="{00000000-0005-0000-0000-0000C4000000}"/>
    <cellStyle name="Comma 18 2" xfId="197" xr:uid="{00000000-0005-0000-0000-0000C5000000}"/>
    <cellStyle name="Comma 18 2 2" xfId="198" xr:uid="{00000000-0005-0000-0000-0000C6000000}"/>
    <cellStyle name="Comma 18 2 2 2" xfId="199" xr:uid="{00000000-0005-0000-0000-0000C7000000}"/>
    <cellStyle name="Comma 18 2 2 2 2" xfId="200" xr:uid="{00000000-0005-0000-0000-0000C8000000}"/>
    <cellStyle name="Comma 18 2 2 2 2 2" xfId="1634" xr:uid="{57FB26B1-FD24-4756-BB10-BE5327692063}"/>
    <cellStyle name="Comma 18 2 2 2 3" xfId="1633" xr:uid="{80865240-795E-4DB6-8141-2F525D36738B}"/>
    <cellStyle name="Comma 18 2 2 3" xfId="201" xr:uid="{00000000-0005-0000-0000-0000C9000000}"/>
    <cellStyle name="Comma 18 2 2 3 2" xfId="1635" xr:uid="{3866737F-0D4F-4F9D-BA26-6E1D7DC05C31}"/>
    <cellStyle name="Comma 18 2 2 4" xfId="1632" xr:uid="{6795F101-9B02-494B-B261-5A6385265EB0}"/>
    <cellStyle name="Comma 18 2 3" xfId="202" xr:uid="{00000000-0005-0000-0000-0000CA000000}"/>
    <cellStyle name="Comma 18 2 3 2" xfId="203" xr:uid="{00000000-0005-0000-0000-0000CB000000}"/>
    <cellStyle name="Comma 18 2 3 2 2" xfId="1637" xr:uid="{A9753E42-D09D-4652-8B07-EE381B055A2C}"/>
    <cellStyle name="Comma 18 2 3 3" xfId="1636" xr:uid="{AD8F7594-425C-44C9-A083-7FA4DB8C9353}"/>
    <cellStyle name="Comma 18 2 4" xfId="204" xr:uid="{00000000-0005-0000-0000-0000CC000000}"/>
    <cellStyle name="Comma 18 2 4 2" xfId="1638" xr:uid="{405254A9-23DC-4F3E-AA32-E7A296F1B63F}"/>
    <cellStyle name="Comma 18 2 5" xfId="1631" xr:uid="{44610B8A-A572-4320-A86A-673027852DA2}"/>
    <cellStyle name="Comma 18 3" xfId="205" xr:uid="{00000000-0005-0000-0000-0000CD000000}"/>
    <cellStyle name="Comma 18 3 2" xfId="206" xr:uid="{00000000-0005-0000-0000-0000CE000000}"/>
    <cellStyle name="Comma 18 3 2 2" xfId="207" xr:uid="{00000000-0005-0000-0000-0000CF000000}"/>
    <cellStyle name="Comma 18 3 2 2 2" xfId="1641" xr:uid="{5B3AD365-9099-4D9A-B740-2C838C56C230}"/>
    <cellStyle name="Comma 18 3 2 3" xfId="1640" xr:uid="{4757A201-6FD3-4484-A778-049868524033}"/>
    <cellStyle name="Comma 18 3 3" xfId="208" xr:uid="{00000000-0005-0000-0000-0000D0000000}"/>
    <cellStyle name="Comma 18 3 3 2" xfId="1642" xr:uid="{2228727E-FE2F-4B2A-80AC-A6F5FEA4B529}"/>
    <cellStyle name="Comma 18 3 4" xfId="1639" xr:uid="{3A6751F7-F9B5-4EC1-92C3-A2AE0B006E7F}"/>
    <cellStyle name="Comma 18 4" xfId="209" xr:uid="{00000000-0005-0000-0000-0000D1000000}"/>
    <cellStyle name="Comma 18 4 2" xfId="210" xr:uid="{00000000-0005-0000-0000-0000D2000000}"/>
    <cellStyle name="Comma 18 4 2 2" xfId="1644" xr:uid="{C198D68C-BEE7-4D2C-A562-1FF7FAAB3872}"/>
    <cellStyle name="Comma 18 4 3" xfId="1643" xr:uid="{DCE18169-1E63-406D-81F5-48FF897DF085}"/>
    <cellStyle name="Comma 18 5" xfId="211" xr:uid="{00000000-0005-0000-0000-0000D3000000}"/>
    <cellStyle name="Comma 18 5 2" xfId="1645" xr:uid="{EEEA2A6E-FC74-4296-9551-7468C1A4CD25}"/>
    <cellStyle name="Comma 18 6" xfId="1630" xr:uid="{1E77D5E5-6A3A-4B2B-A70E-15A06663AE8E}"/>
    <cellStyle name="Comma 19" xfId="212" xr:uid="{00000000-0005-0000-0000-0000D4000000}"/>
    <cellStyle name="Comma 19 2" xfId="213" xr:uid="{00000000-0005-0000-0000-0000D5000000}"/>
    <cellStyle name="Comma 19 2 2" xfId="214" xr:uid="{00000000-0005-0000-0000-0000D6000000}"/>
    <cellStyle name="Comma 19 2 2 2" xfId="215" xr:uid="{00000000-0005-0000-0000-0000D7000000}"/>
    <cellStyle name="Comma 19 2 2 2 2" xfId="216" xr:uid="{00000000-0005-0000-0000-0000D8000000}"/>
    <cellStyle name="Comma 19 2 2 2 2 2" xfId="217" xr:uid="{00000000-0005-0000-0000-0000D9000000}"/>
    <cellStyle name="Comma 19 2 2 2 2 2 2" xfId="1651" xr:uid="{3C0E77E5-8232-4763-A243-64B9F5CD5882}"/>
    <cellStyle name="Comma 19 2 2 2 2 3" xfId="1650" xr:uid="{5B92F295-4474-4F84-B23D-859AFC4E0390}"/>
    <cellStyle name="Comma 19 2 2 2 3" xfId="218" xr:uid="{00000000-0005-0000-0000-0000DA000000}"/>
    <cellStyle name="Comma 19 2 2 2 3 2" xfId="1652" xr:uid="{17C4BA85-D63C-4021-887E-3F6DCD5546CE}"/>
    <cellStyle name="Comma 19 2 2 2 4" xfId="1649" xr:uid="{25A55A49-3FB5-4D02-907B-0EE3B0D9950A}"/>
    <cellStyle name="Comma 19 2 2 3" xfId="219" xr:uid="{00000000-0005-0000-0000-0000DB000000}"/>
    <cellStyle name="Comma 19 2 2 3 2" xfId="220" xr:uid="{00000000-0005-0000-0000-0000DC000000}"/>
    <cellStyle name="Comma 19 2 2 3 2 2" xfId="1654" xr:uid="{937488D9-6A4E-46E6-B41D-BCE92CC6C998}"/>
    <cellStyle name="Comma 19 2 2 3 3" xfId="1653" xr:uid="{FF77E4E0-3DBD-414F-A2D6-877148A44823}"/>
    <cellStyle name="Comma 19 2 2 4" xfId="221" xr:uid="{00000000-0005-0000-0000-0000DD000000}"/>
    <cellStyle name="Comma 19 2 2 4 2" xfId="1655" xr:uid="{7BBE0D04-236A-489A-AA0E-7EAADD615EB8}"/>
    <cellStyle name="Comma 19 2 2 5" xfId="1648" xr:uid="{AE189C7E-1BDD-4BEB-8504-EE71F82642C2}"/>
    <cellStyle name="Comma 19 2 3" xfId="222" xr:uid="{00000000-0005-0000-0000-0000DE000000}"/>
    <cellStyle name="Comma 19 2 3 2" xfId="223" xr:uid="{00000000-0005-0000-0000-0000DF000000}"/>
    <cellStyle name="Comma 19 2 3 2 2" xfId="224" xr:uid="{00000000-0005-0000-0000-0000E0000000}"/>
    <cellStyle name="Comma 19 2 3 2 2 2" xfId="1658" xr:uid="{0801B735-07D8-4C61-A995-35F31F6DC2FC}"/>
    <cellStyle name="Comma 19 2 3 2 3" xfId="1657" xr:uid="{0F296434-925D-4DA8-B40C-C403A838BA33}"/>
    <cellStyle name="Comma 19 2 3 3" xfId="225" xr:uid="{00000000-0005-0000-0000-0000E1000000}"/>
    <cellStyle name="Comma 19 2 3 3 2" xfId="1659" xr:uid="{8CC037F3-960E-44C3-89D7-DE744351F445}"/>
    <cellStyle name="Comma 19 2 3 4" xfId="1656" xr:uid="{692FE4FE-91E3-4CB6-8B60-FEA83E5171FB}"/>
    <cellStyle name="Comma 19 2 4" xfId="226" xr:uid="{00000000-0005-0000-0000-0000E2000000}"/>
    <cellStyle name="Comma 19 2 4 2" xfId="227" xr:uid="{00000000-0005-0000-0000-0000E3000000}"/>
    <cellStyle name="Comma 19 2 4 2 2" xfId="1661" xr:uid="{C683FF37-72D6-491E-BC25-9ADD69213428}"/>
    <cellStyle name="Comma 19 2 4 3" xfId="1660" xr:uid="{541782A6-9B0D-4D31-8EA3-2130FBCE7D6E}"/>
    <cellStyle name="Comma 19 2 5" xfId="228" xr:uid="{00000000-0005-0000-0000-0000E4000000}"/>
    <cellStyle name="Comma 19 2 5 2" xfId="1662" xr:uid="{29CB339E-4EB7-490B-9197-4F290A7F6369}"/>
    <cellStyle name="Comma 19 2 6" xfId="1647" xr:uid="{1180096C-BFF2-4C8B-B01E-45AFACC23A68}"/>
    <cellStyle name="Comma 19 3" xfId="229" xr:uid="{00000000-0005-0000-0000-0000E5000000}"/>
    <cellStyle name="Comma 19 3 2" xfId="230" xr:uid="{00000000-0005-0000-0000-0000E6000000}"/>
    <cellStyle name="Comma 19 3 2 2" xfId="231" xr:uid="{00000000-0005-0000-0000-0000E7000000}"/>
    <cellStyle name="Comma 19 3 2 2 2" xfId="232" xr:uid="{00000000-0005-0000-0000-0000E8000000}"/>
    <cellStyle name="Comma 19 3 2 2 2 2" xfId="1666" xr:uid="{E13AED39-7C01-4267-95A0-22BEB7A0A837}"/>
    <cellStyle name="Comma 19 3 2 2 3" xfId="1665" xr:uid="{8CD1B353-CE25-4A53-8C27-F2E5FD3F8843}"/>
    <cellStyle name="Comma 19 3 2 3" xfId="233" xr:uid="{00000000-0005-0000-0000-0000E9000000}"/>
    <cellStyle name="Comma 19 3 2 3 2" xfId="1667" xr:uid="{1A0AEA4D-982E-4096-9017-A4AECF300948}"/>
    <cellStyle name="Comma 19 3 2 4" xfId="1664" xr:uid="{F12247B5-806A-4C6E-89FB-D1A79E6D2C68}"/>
    <cellStyle name="Comma 19 3 3" xfId="234" xr:uid="{00000000-0005-0000-0000-0000EA000000}"/>
    <cellStyle name="Comma 19 3 3 2" xfId="235" xr:uid="{00000000-0005-0000-0000-0000EB000000}"/>
    <cellStyle name="Comma 19 3 3 2 2" xfId="1669" xr:uid="{EF40EB85-4C07-4041-BF50-3B9050407395}"/>
    <cellStyle name="Comma 19 3 3 3" xfId="1668" xr:uid="{8B769290-4420-4176-9AEE-ED0F9B2F6684}"/>
    <cellStyle name="Comma 19 3 4" xfId="236" xr:uid="{00000000-0005-0000-0000-0000EC000000}"/>
    <cellStyle name="Comma 19 3 4 2" xfId="1670" xr:uid="{1A62593C-337D-4262-BD1F-7FF342348EA3}"/>
    <cellStyle name="Comma 19 3 5" xfId="1663" xr:uid="{41E58C41-269D-492B-8A38-B0E05254B900}"/>
    <cellStyle name="Comma 19 4" xfId="237" xr:uid="{00000000-0005-0000-0000-0000ED000000}"/>
    <cellStyle name="Comma 19 4 2" xfId="238" xr:uid="{00000000-0005-0000-0000-0000EE000000}"/>
    <cellStyle name="Comma 19 4 2 2" xfId="239" xr:uid="{00000000-0005-0000-0000-0000EF000000}"/>
    <cellStyle name="Comma 19 4 2 2 2" xfId="1673" xr:uid="{6B95A751-47B7-494B-BFCA-3D115EDA8105}"/>
    <cellStyle name="Comma 19 4 2 3" xfId="1672" xr:uid="{B463FAC2-BF76-4CC5-99CC-2FB860422C55}"/>
    <cellStyle name="Comma 19 4 3" xfId="240" xr:uid="{00000000-0005-0000-0000-0000F0000000}"/>
    <cellStyle name="Comma 19 4 3 2" xfId="1674" xr:uid="{5A043746-80A5-4DD7-B2D3-6C1A407FDEEC}"/>
    <cellStyle name="Comma 19 4 4" xfId="1671" xr:uid="{C071306B-C0FC-4479-84C9-527EF9A9A970}"/>
    <cellStyle name="Comma 19 5" xfId="241" xr:uid="{00000000-0005-0000-0000-0000F1000000}"/>
    <cellStyle name="Comma 19 5 2" xfId="242" xr:uid="{00000000-0005-0000-0000-0000F2000000}"/>
    <cellStyle name="Comma 19 5 2 2" xfId="1676" xr:uid="{7E2DC890-5AFF-4227-ABFF-E442DC629ED6}"/>
    <cellStyle name="Comma 19 5 3" xfId="1675" xr:uid="{B714893D-ABF5-4871-A7A2-EF556A403655}"/>
    <cellStyle name="Comma 19 6" xfId="243" xr:uid="{00000000-0005-0000-0000-0000F3000000}"/>
    <cellStyle name="Comma 19 6 2" xfId="1677" xr:uid="{B5211A84-CA3F-4CA9-8EC3-95D98DAD4238}"/>
    <cellStyle name="Comma 19 7" xfId="1646" xr:uid="{5C1E6508-CD4A-4570-ACA4-EE2A1E5EE32D}"/>
    <cellStyle name="Comma 2" xfId="244" xr:uid="{00000000-0005-0000-0000-0000F4000000}"/>
    <cellStyle name="Comma 2 10" xfId="245" xr:uid="{00000000-0005-0000-0000-0000F5000000}"/>
    <cellStyle name="Comma 2 10 2" xfId="246" xr:uid="{00000000-0005-0000-0000-0000F6000000}"/>
    <cellStyle name="Comma 2 10 2 2" xfId="247" xr:uid="{00000000-0005-0000-0000-0000F7000000}"/>
    <cellStyle name="Comma 2 10 2 2 2" xfId="248" xr:uid="{00000000-0005-0000-0000-0000F8000000}"/>
    <cellStyle name="Comma 2 10 2 2 2 2" xfId="249" xr:uid="{00000000-0005-0000-0000-0000F9000000}"/>
    <cellStyle name="Comma 2 10 2 2 2 2 2" xfId="1683" xr:uid="{14643143-54AC-473C-9903-B97A2C8A950A}"/>
    <cellStyle name="Comma 2 10 2 2 2 3" xfId="1682" xr:uid="{9A5568F2-F3AA-403C-927F-3D15C2074C3A}"/>
    <cellStyle name="Comma 2 10 2 2 3" xfId="250" xr:uid="{00000000-0005-0000-0000-0000FA000000}"/>
    <cellStyle name="Comma 2 10 2 2 3 2" xfId="1684" xr:uid="{F5A50BC4-3125-4217-920C-EDB95937B8DC}"/>
    <cellStyle name="Comma 2 10 2 2 4" xfId="1681" xr:uid="{7F80DE03-3AC6-4F94-87AA-9A91FC9B8075}"/>
    <cellStyle name="Comma 2 10 2 3" xfId="251" xr:uid="{00000000-0005-0000-0000-0000FB000000}"/>
    <cellStyle name="Comma 2 10 2 3 2" xfId="252" xr:uid="{00000000-0005-0000-0000-0000FC000000}"/>
    <cellStyle name="Comma 2 10 2 3 2 2" xfId="1686" xr:uid="{04F6981C-269C-45B8-8E1C-F3A8208704A1}"/>
    <cellStyle name="Comma 2 10 2 3 3" xfId="1685" xr:uid="{A5E3F8BC-D364-4BF1-86F0-8E05961C7D72}"/>
    <cellStyle name="Comma 2 10 2 4" xfId="253" xr:uid="{00000000-0005-0000-0000-0000FD000000}"/>
    <cellStyle name="Comma 2 10 2 4 2" xfId="1687" xr:uid="{7FCF5A34-6072-4B5F-9A19-CA71B2C79243}"/>
    <cellStyle name="Comma 2 10 2 5" xfId="1680" xr:uid="{CBEF032E-ADEF-41E1-9600-7A9AC0905957}"/>
    <cellStyle name="Comma 2 10 3" xfId="254" xr:uid="{00000000-0005-0000-0000-0000FE000000}"/>
    <cellStyle name="Comma 2 10 3 2" xfId="255" xr:uid="{00000000-0005-0000-0000-0000FF000000}"/>
    <cellStyle name="Comma 2 10 3 2 2" xfId="256" xr:uid="{00000000-0005-0000-0000-000000010000}"/>
    <cellStyle name="Comma 2 10 3 2 2 2" xfId="1690" xr:uid="{AF48E79C-19B5-4F25-B83D-6E1C0278369B}"/>
    <cellStyle name="Comma 2 10 3 2 3" xfId="1689" xr:uid="{E89FCAC3-F471-4A8F-B15A-E54030BA7021}"/>
    <cellStyle name="Comma 2 10 3 3" xfId="257" xr:uid="{00000000-0005-0000-0000-000001010000}"/>
    <cellStyle name="Comma 2 10 3 3 2" xfId="1691" xr:uid="{BEF0B391-FA5D-45B8-8F00-1D275048F237}"/>
    <cellStyle name="Comma 2 10 3 4" xfId="1688" xr:uid="{79E37E28-1994-40DB-9D8A-E343BB4590B6}"/>
    <cellStyle name="Comma 2 10 4" xfId="258" xr:uid="{00000000-0005-0000-0000-000002010000}"/>
    <cellStyle name="Comma 2 10 4 2" xfId="259" xr:uid="{00000000-0005-0000-0000-000003010000}"/>
    <cellStyle name="Comma 2 10 4 2 2" xfId="1693" xr:uid="{699D087A-3431-4C46-8FC4-0BCDCA960C56}"/>
    <cellStyle name="Comma 2 10 4 3" xfId="1692" xr:uid="{7ACDA743-5F41-4A55-9ED0-44F013C24A6E}"/>
    <cellStyle name="Comma 2 10 5" xfId="260" xr:uid="{00000000-0005-0000-0000-000004010000}"/>
    <cellStyle name="Comma 2 10 5 2" xfId="1694" xr:uid="{071576F9-C628-49A2-B010-244D058C2860}"/>
    <cellStyle name="Comma 2 10 6" xfId="1679" xr:uid="{7A2897BB-D472-4B8F-A095-317AF8925E24}"/>
    <cellStyle name="Comma 2 11" xfId="2718" xr:uid="{BEBAEFDF-1FEF-4C77-80DE-71B6F2AE3EA2}"/>
    <cellStyle name="Comma 2 2" xfId="261" xr:uid="{00000000-0005-0000-0000-000005010000}"/>
    <cellStyle name="Comma 2 2 2" xfId="262" xr:uid="{00000000-0005-0000-0000-000006010000}"/>
    <cellStyle name="Comma 2 2 2 2" xfId="263" xr:uid="{00000000-0005-0000-0000-000007010000}"/>
    <cellStyle name="Comma 2 2 2 2 2" xfId="264" xr:uid="{00000000-0005-0000-0000-000008010000}"/>
    <cellStyle name="Comma 2 2 2 2 2 2" xfId="265" xr:uid="{00000000-0005-0000-0000-000009010000}"/>
    <cellStyle name="Comma 2 2 2 2 2 2 2" xfId="1699" xr:uid="{70AB0770-3340-41F1-863C-E3CCC109C1C0}"/>
    <cellStyle name="Comma 2 2 2 2 2 3" xfId="1698" xr:uid="{7010DE7C-B10A-421A-9C2F-276136B7494B}"/>
    <cellStyle name="Comma 2 2 2 2 3" xfId="266" xr:uid="{00000000-0005-0000-0000-00000A010000}"/>
    <cellStyle name="Comma 2 2 2 2 3 2" xfId="1700" xr:uid="{BC3A515C-A0AC-4F2B-BD8F-C39E1DA693E2}"/>
    <cellStyle name="Comma 2 2 2 2 4" xfId="1697" xr:uid="{2106629B-0CDB-4029-8E6C-D1F3EC629B6B}"/>
    <cellStyle name="Comma 2 2 2 3" xfId="267" xr:uid="{00000000-0005-0000-0000-00000B010000}"/>
    <cellStyle name="Comma 2 2 2 3 2" xfId="268" xr:uid="{00000000-0005-0000-0000-00000C010000}"/>
    <cellStyle name="Comma 2 2 2 3 2 2" xfId="1702" xr:uid="{E81EB2AE-B17A-4BBC-8A85-4C5CEAEE6A0E}"/>
    <cellStyle name="Comma 2 2 2 3 3" xfId="1701" xr:uid="{84E33F01-CEBD-44F0-A091-367A014EE362}"/>
    <cellStyle name="Comma 2 2 2 4" xfId="269" xr:uid="{00000000-0005-0000-0000-00000D010000}"/>
    <cellStyle name="Comma 2 2 2 4 2" xfId="1703" xr:uid="{9BA0D956-60BB-47D8-B6E7-B739F42D1D41}"/>
    <cellStyle name="Comma 2 2 2 5" xfId="1696" xr:uid="{2D9E6962-654C-4C1E-8F9D-99EC96969F25}"/>
    <cellStyle name="Comma 2 2 3" xfId="270" xr:uid="{00000000-0005-0000-0000-00000E010000}"/>
    <cellStyle name="Comma 2 2 3 2" xfId="271" xr:uid="{00000000-0005-0000-0000-00000F010000}"/>
    <cellStyle name="Comma 2 2 3 2 2" xfId="272" xr:uid="{00000000-0005-0000-0000-000010010000}"/>
    <cellStyle name="Comma 2 2 3 2 2 2" xfId="1706" xr:uid="{128E0192-D529-420F-9FB6-5DBC89131896}"/>
    <cellStyle name="Comma 2 2 3 2 3" xfId="1705" xr:uid="{C3A54A16-0C4C-45E7-9C9B-99DF8D1F69B9}"/>
    <cellStyle name="Comma 2 2 3 3" xfId="273" xr:uid="{00000000-0005-0000-0000-000011010000}"/>
    <cellStyle name="Comma 2 2 3 3 2" xfId="1707" xr:uid="{6711DCFD-CA31-4A3A-A162-D864412F2F8B}"/>
    <cellStyle name="Comma 2 2 3 4" xfId="1704" xr:uid="{10F06786-97BA-4CCE-B8E2-4D480A97792D}"/>
    <cellStyle name="Comma 2 2 4" xfId="274" xr:uid="{00000000-0005-0000-0000-000012010000}"/>
    <cellStyle name="Comma 2 2 4 2" xfId="275" xr:uid="{00000000-0005-0000-0000-000013010000}"/>
    <cellStyle name="Comma 2 2 4 2 2" xfId="276" xr:uid="{00000000-0005-0000-0000-000014010000}"/>
    <cellStyle name="Comma 2 2 4 2 2 2" xfId="277" xr:uid="{00000000-0005-0000-0000-000015010000}"/>
    <cellStyle name="Comma 2 2 4 2 2 2 2" xfId="1711" xr:uid="{2509B5C4-7C19-471A-9450-B9FE4BB173C7}"/>
    <cellStyle name="Comma 2 2 4 2 2 3" xfId="1710" xr:uid="{4BC03D88-EAED-476C-9EB4-184F594A1BF7}"/>
    <cellStyle name="Comma 2 2 4 2 3" xfId="278" xr:uid="{00000000-0005-0000-0000-000016010000}"/>
    <cellStyle name="Comma 2 2 4 2 3 2" xfId="1712" xr:uid="{0CF11D12-F8A3-4AF4-9ED6-EA068580752E}"/>
    <cellStyle name="Comma 2 2 4 2 4" xfId="1709" xr:uid="{73E13F90-BF6A-4865-B54C-7C3281E9CD72}"/>
    <cellStyle name="Comma 2 2 4 3" xfId="279" xr:uid="{00000000-0005-0000-0000-000017010000}"/>
    <cellStyle name="Comma 2 2 4 3 2" xfId="280" xr:uid="{00000000-0005-0000-0000-000018010000}"/>
    <cellStyle name="Comma 2 2 4 3 2 2" xfId="1714" xr:uid="{C634C0F7-E88E-40F2-AA8A-A6ADE278941D}"/>
    <cellStyle name="Comma 2 2 4 3 3" xfId="1713" xr:uid="{EC1EBE31-2B33-47E3-9F0C-C42B67739D1F}"/>
    <cellStyle name="Comma 2 2 4 4" xfId="281" xr:uid="{00000000-0005-0000-0000-000019010000}"/>
    <cellStyle name="Comma 2 2 4 4 2" xfId="1715" xr:uid="{BC30C47E-1D31-4691-BAC4-364FBE835B71}"/>
    <cellStyle name="Comma 2 2 4 5" xfId="1708" xr:uid="{795FE737-6A09-47F8-964E-6C2A714663AC}"/>
    <cellStyle name="Comma 2 2 5" xfId="282" xr:uid="{00000000-0005-0000-0000-00001A010000}"/>
    <cellStyle name="Comma 2 2 5 2" xfId="283" xr:uid="{00000000-0005-0000-0000-00001B010000}"/>
    <cellStyle name="Comma 2 2 5 2 2" xfId="1717" xr:uid="{4393B37D-D838-4ABB-BC87-A2F7FB74C165}"/>
    <cellStyle name="Comma 2 2 5 3" xfId="1716" xr:uid="{BC76C6E1-F937-451C-A0B4-FD571116FE18}"/>
    <cellStyle name="Comma 2 2 6" xfId="284" xr:uid="{00000000-0005-0000-0000-00001C010000}"/>
    <cellStyle name="Comma 2 2 6 2" xfId="1718" xr:uid="{2C5D9781-111B-486C-9264-77741FF28B7C}"/>
    <cellStyle name="Comma 2 2 7" xfId="1695" xr:uid="{3A4A7A7E-72A6-4DFA-B9E9-CDE392E6CFAD}"/>
    <cellStyle name="Comma 2 3" xfId="285" xr:uid="{00000000-0005-0000-0000-00001D010000}"/>
    <cellStyle name="Comma 2 3 2" xfId="286" xr:uid="{00000000-0005-0000-0000-00001E010000}"/>
    <cellStyle name="Comma 2 3 2 2" xfId="287" xr:uid="{00000000-0005-0000-0000-00001F010000}"/>
    <cellStyle name="Comma 2 3 2 2 2" xfId="288" xr:uid="{00000000-0005-0000-0000-000020010000}"/>
    <cellStyle name="Comma 2 3 2 2 2 2" xfId="289" xr:uid="{00000000-0005-0000-0000-000021010000}"/>
    <cellStyle name="Comma 2 3 2 2 2 2 2" xfId="1723" xr:uid="{DD344A71-E8F6-430C-8857-5D6CAB6ECE24}"/>
    <cellStyle name="Comma 2 3 2 2 2 3" xfId="1722" xr:uid="{A94A912F-A6DC-4AB1-9595-89D056D17ED8}"/>
    <cellStyle name="Comma 2 3 2 2 3" xfId="290" xr:uid="{00000000-0005-0000-0000-000022010000}"/>
    <cellStyle name="Comma 2 3 2 2 3 2" xfId="1724" xr:uid="{6C8DC0FF-FA09-42AE-9673-2C6BA74BC0BD}"/>
    <cellStyle name="Comma 2 3 2 2 4" xfId="1721" xr:uid="{878DFC01-E56D-4B42-A3C2-B91469CEF337}"/>
    <cellStyle name="Comma 2 3 2 3" xfId="291" xr:uid="{00000000-0005-0000-0000-000023010000}"/>
    <cellStyle name="Comma 2 3 2 3 2" xfId="292" xr:uid="{00000000-0005-0000-0000-000024010000}"/>
    <cellStyle name="Comma 2 3 2 3 2 2" xfId="1726" xr:uid="{C1C49879-8CDA-4C3B-8392-FA038CD173A9}"/>
    <cellStyle name="Comma 2 3 2 3 3" xfId="1725" xr:uid="{BAD8854D-FF5E-4926-B932-C10400AFB84F}"/>
    <cellStyle name="Comma 2 3 2 4" xfId="293" xr:uid="{00000000-0005-0000-0000-000025010000}"/>
    <cellStyle name="Comma 2 3 2 4 2" xfId="1727" xr:uid="{6511DF4F-E21D-4FA0-954F-EA729056B97D}"/>
    <cellStyle name="Comma 2 3 2 5" xfId="1720" xr:uid="{BB0CA38E-E79D-4A99-8711-81A227259694}"/>
    <cellStyle name="Comma 2 3 3" xfId="294" xr:uid="{00000000-0005-0000-0000-000026010000}"/>
    <cellStyle name="Comma 2 3 3 2" xfId="295" xr:uid="{00000000-0005-0000-0000-000027010000}"/>
    <cellStyle name="Comma 2 3 3 2 2" xfId="296" xr:uid="{00000000-0005-0000-0000-000028010000}"/>
    <cellStyle name="Comma 2 3 3 2 2 2" xfId="1730" xr:uid="{297F8D47-1680-4CDA-95AB-66F23C0FB1D2}"/>
    <cellStyle name="Comma 2 3 3 2 3" xfId="1729" xr:uid="{98918D79-7866-4EB4-9A62-CAADC4F8D800}"/>
    <cellStyle name="Comma 2 3 3 3" xfId="297" xr:uid="{00000000-0005-0000-0000-000029010000}"/>
    <cellStyle name="Comma 2 3 3 3 2" xfId="1731" xr:uid="{D5A2E5CB-49A0-4D3C-B0A2-0D4D18375890}"/>
    <cellStyle name="Comma 2 3 3 4" xfId="1728" xr:uid="{0E3C71B8-4178-496E-B8CA-4602742C410F}"/>
    <cellStyle name="Comma 2 3 4" xfId="298" xr:uid="{00000000-0005-0000-0000-00002A010000}"/>
    <cellStyle name="Comma 2 3 4 2" xfId="299" xr:uid="{00000000-0005-0000-0000-00002B010000}"/>
    <cellStyle name="Comma 2 3 4 2 2" xfId="1733" xr:uid="{ED3795D5-14A4-412B-B2B3-1116BD1C5A16}"/>
    <cellStyle name="Comma 2 3 4 3" xfId="1732" xr:uid="{B5A5E0DB-D065-4CF2-A546-64178E2FE2E0}"/>
    <cellStyle name="Comma 2 3 5" xfId="300" xr:uid="{00000000-0005-0000-0000-00002C010000}"/>
    <cellStyle name="Comma 2 3 5 2" xfId="1734" xr:uid="{53218A41-4900-4B3E-8795-4BEFB953C629}"/>
    <cellStyle name="Comma 2 3 6" xfId="1719" xr:uid="{F1F16A24-37BF-4344-9FF1-E20EB1D3972E}"/>
    <cellStyle name="Comma 2 3_BOQ Baan Thai Layan Update" xfId="301" xr:uid="{00000000-0005-0000-0000-00002D010000}"/>
    <cellStyle name="Comma 2 4" xfId="302" xr:uid="{00000000-0005-0000-0000-00002E010000}"/>
    <cellStyle name="Comma 2 4 2" xfId="303" xr:uid="{00000000-0005-0000-0000-00002F010000}"/>
    <cellStyle name="Comma 2 4 2 2" xfId="304" xr:uid="{00000000-0005-0000-0000-000030010000}"/>
    <cellStyle name="Comma 2 4 2 2 2" xfId="305" xr:uid="{00000000-0005-0000-0000-000031010000}"/>
    <cellStyle name="Comma 2 4 2 2 2 2" xfId="306" xr:uid="{00000000-0005-0000-0000-000032010000}"/>
    <cellStyle name="Comma 2 4 2 2 2 2 2" xfId="1739" xr:uid="{7C285F2C-4F02-44ED-BF3A-47AE219BC3EE}"/>
    <cellStyle name="Comma 2 4 2 2 2 3" xfId="1738" xr:uid="{2509A06C-5082-44C9-91AB-88B227A361D0}"/>
    <cellStyle name="Comma 2 4 2 2 3" xfId="307" xr:uid="{00000000-0005-0000-0000-000033010000}"/>
    <cellStyle name="Comma 2 4 2 2 3 2" xfId="1740" xr:uid="{072223CE-01CA-47B9-A7AA-3AA7A5B8CEEB}"/>
    <cellStyle name="Comma 2 4 2 2 4" xfId="1737" xr:uid="{5E601CEC-8B6F-4D3F-AB95-F1158CD94543}"/>
    <cellStyle name="Comma 2 4 2 3" xfId="308" xr:uid="{00000000-0005-0000-0000-000034010000}"/>
    <cellStyle name="Comma 2 4 2 3 2" xfId="309" xr:uid="{00000000-0005-0000-0000-000035010000}"/>
    <cellStyle name="Comma 2 4 2 3 2 2" xfId="1742" xr:uid="{06EFA8FE-3E75-4F40-A2F5-D6D0BCF71189}"/>
    <cellStyle name="Comma 2 4 2 3 3" xfId="1741" xr:uid="{76771808-FA89-4CB6-9762-018DCFD947BA}"/>
    <cellStyle name="Comma 2 4 2 4" xfId="310" xr:uid="{00000000-0005-0000-0000-000036010000}"/>
    <cellStyle name="Comma 2 4 2 4 2" xfId="1743" xr:uid="{E4F580CA-F3B5-47C2-9920-39B8D2C510F7}"/>
    <cellStyle name="Comma 2 4 2 5" xfId="1736" xr:uid="{89EC0150-A0FC-48CB-ADA8-444D063AAEC2}"/>
    <cellStyle name="Comma 2 4 3" xfId="311" xr:uid="{00000000-0005-0000-0000-000037010000}"/>
    <cellStyle name="Comma 2 4 3 2" xfId="312" xr:uid="{00000000-0005-0000-0000-000038010000}"/>
    <cellStyle name="Comma 2 4 3 2 2" xfId="313" xr:uid="{00000000-0005-0000-0000-000039010000}"/>
    <cellStyle name="Comma 2 4 3 2 2 2" xfId="1746" xr:uid="{71C82469-4778-487A-82D8-DCEEA9F98F6C}"/>
    <cellStyle name="Comma 2 4 3 2 3" xfId="1745" xr:uid="{81C8E4CC-2167-4965-952B-F43F1053874A}"/>
    <cellStyle name="Comma 2 4 3 3" xfId="314" xr:uid="{00000000-0005-0000-0000-00003A010000}"/>
    <cellStyle name="Comma 2 4 3 3 2" xfId="1747" xr:uid="{AB3CCE27-E547-4919-B3EE-39A27591F5C3}"/>
    <cellStyle name="Comma 2 4 3 4" xfId="1744" xr:uid="{3C90C57E-F1C6-4E61-BF37-1B4D87DC5101}"/>
    <cellStyle name="Comma 2 4 4" xfId="315" xr:uid="{00000000-0005-0000-0000-00003B010000}"/>
    <cellStyle name="Comma 2 4 4 2" xfId="316" xr:uid="{00000000-0005-0000-0000-00003C010000}"/>
    <cellStyle name="Comma 2 4 4 2 2" xfId="1749" xr:uid="{B7CF7C53-ACAF-4E27-BD91-4B6BED4DA86A}"/>
    <cellStyle name="Comma 2 4 4 3" xfId="1748" xr:uid="{924D74B7-FB5A-4CB3-B217-6E8771CEE1A3}"/>
    <cellStyle name="Comma 2 4 5" xfId="317" xr:uid="{00000000-0005-0000-0000-00003D010000}"/>
    <cellStyle name="Comma 2 4 5 2" xfId="1750" xr:uid="{FC3F04BD-E352-41DB-A558-26C39B06D214}"/>
    <cellStyle name="Comma 2 4 6" xfId="1735" xr:uid="{81CB52B6-A3CB-408A-9D69-66AA80DCBD01}"/>
    <cellStyle name="Comma 2 5" xfId="318" xr:uid="{00000000-0005-0000-0000-00003E010000}"/>
    <cellStyle name="Comma 2 5 2" xfId="319" xr:uid="{00000000-0005-0000-0000-00003F010000}"/>
    <cellStyle name="Comma 2 5 2 2" xfId="320" xr:uid="{00000000-0005-0000-0000-000040010000}"/>
    <cellStyle name="Comma 2 5 2 2 2" xfId="321" xr:uid="{00000000-0005-0000-0000-000041010000}"/>
    <cellStyle name="Comma 2 5 2 2 2 2" xfId="1754" xr:uid="{75F6CF12-82FC-43F5-9E72-8ACB86C2AFF3}"/>
    <cellStyle name="Comma 2 5 2 2 3" xfId="1753" xr:uid="{BDD50344-620D-4BE3-916E-22D52A1B1DD2}"/>
    <cellStyle name="Comma 2 5 2 3" xfId="322" xr:uid="{00000000-0005-0000-0000-000042010000}"/>
    <cellStyle name="Comma 2 5 2 3 2" xfId="1755" xr:uid="{CF3D4803-22A5-4947-8BC5-00712151B53D}"/>
    <cellStyle name="Comma 2 5 2 4" xfId="1752" xr:uid="{98FF1F42-0CF2-46DE-8B2A-E7AFC949F502}"/>
    <cellStyle name="Comma 2 5 3" xfId="323" xr:uid="{00000000-0005-0000-0000-000043010000}"/>
    <cellStyle name="Comma 2 5 3 2" xfId="324" xr:uid="{00000000-0005-0000-0000-000044010000}"/>
    <cellStyle name="Comma 2 5 3 2 2" xfId="1757" xr:uid="{A6C8BCDC-B67A-4580-8E05-4FB27CAE91B1}"/>
    <cellStyle name="Comma 2 5 3 3" xfId="1756" xr:uid="{2E28A45A-41EA-41B9-82AE-FCB75AF05F58}"/>
    <cellStyle name="Comma 2 5 4" xfId="325" xr:uid="{00000000-0005-0000-0000-000045010000}"/>
    <cellStyle name="Comma 2 5 4 2" xfId="1758" xr:uid="{CEBDFB84-E9CC-4B76-B533-106BD214620F}"/>
    <cellStyle name="Comma 2 5 5" xfId="1751" xr:uid="{E1EC78A7-68FF-4AA5-92DE-39E6E9DA17B8}"/>
    <cellStyle name="Comma 2 6" xfId="326" xr:uid="{00000000-0005-0000-0000-000046010000}"/>
    <cellStyle name="Comma 2 6 2" xfId="327" xr:uid="{00000000-0005-0000-0000-000047010000}"/>
    <cellStyle name="Comma 2 6 2 2" xfId="328" xr:uid="{00000000-0005-0000-0000-000048010000}"/>
    <cellStyle name="Comma 2 6 2 2 2" xfId="329" xr:uid="{00000000-0005-0000-0000-000049010000}"/>
    <cellStyle name="Comma 2 6 2 2 2 2" xfId="1762" xr:uid="{5149C4C5-6DCE-4B70-AA3D-62A80FC77836}"/>
    <cellStyle name="Comma 2 6 2 2 3" xfId="1761" xr:uid="{EC83BA79-CFFB-476E-B7E3-134E5B9A5F2C}"/>
    <cellStyle name="Comma 2 6 2 3" xfId="330" xr:uid="{00000000-0005-0000-0000-00004A010000}"/>
    <cellStyle name="Comma 2 6 2 3 2" xfId="1763" xr:uid="{40801A05-2A72-42A5-B700-1249050FC266}"/>
    <cellStyle name="Comma 2 6 2 4" xfId="1760" xr:uid="{40DCFC49-7B7C-43F8-BC96-692881B14BE7}"/>
    <cellStyle name="Comma 2 6 3" xfId="331" xr:uid="{00000000-0005-0000-0000-00004B010000}"/>
    <cellStyle name="Comma 2 6 3 2" xfId="332" xr:uid="{00000000-0005-0000-0000-00004C010000}"/>
    <cellStyle name="Comma 2 6 3 2 2" xfId="1765" xr:uid="{1A6CAC0D-50B2-451C-A51B-64351A561E45}"/>
    <cellStyle name="Comma 2 6 3 3" xfId="1764" xr:uid="{87D4E9D6-295F-4854-8A7F-87D61A1CBC27}"/>
    <cellStyle name="Comma 2 6 4" xfId="333" xr:uid="{00000000-0005-0000-0000-00004D010000}"/>
    <cellStyle name="Comma 2 6 4 2" xfId="1766" xr:uid="{8F217CB3-4645-4B18-AFC8-54240A7A685D}"/>
    <cellStyle name="Comma 2 6 5" xfId="1759" xr:uid="{61E76003-4AB5-47FE-8065-598F92133158}"/>
    <cellStyle name="Comma 2 7" xfId="1474" xr:uid="{00000000-0005-0000-0000-00004E010000}"/>
    <cellStyle name="Comma 2 7 2" xfId="2711" xr:uid="{1A60EBC3-4555-4EEB-BE81-BA127C9CB278}"/>
    <cellStyle name="Comma 2 8" xfId="1678" xr:uid="{AB99FA99-F857-4885-A636-9A2420A653B1}"/>
    <cellStyle name="Comma 2 9" xfId="2716" xr:uid="{C006D296-EE9C-4E97-BD1D-065510255BC9}"/>
    <cellStyle name="Comma 20" xfId="334" xr:uid="{00000000-0005-0000-0000-00004F010000}"/>
    <cellStyle name="Comma 20 2" xfId="335" xr:uid="{00000000-0005-0000-0000-000050010000}"/>
    <cellStyle name="Comma 20 2 2" xfId="336" xr:uid="{00000000-0005-0000-0000-000051010000}"/>
    <cellStyle name="Comma 20 2 2 2" xfId="337" xr:uid="{00000000-0005-0000-0000-000052010000}"/>
    <cellStyle name="Comma 20 2 2 2 2" xfId="338" xr:uid="{00000000-0005-0000-0000-000053010000}"/>
    <cellStyle name="Comma 20 2 2 2 2 2" xfId="1771" xr:uid="{2958F7A2-28C9-490E-9837-A010D81A460A}"/>
    <cellStyle name="Comma 20 2 2 2 3" xfId="1770" xr:uid="{9538BE03-3326-4A20-9235-23D052DF5B5E}"/>
    <cellStyle name="Comma 20 2 2 3" xfId="339" xr:uid="{00000000-0005-0000-0000-000054010000}"/>
    <cellStyle name="Comma 20 2 2 3 2" xfId="1772" xr:uid="{25FDE053-9A86-49BE-81BF-773C97230ED5}"/>
    <cellStyle name="Comma 20 2 2 4" xfId="1769" xr:uid="{5E03434F-389D-463B-8204-F879CC557FFD}"/>
    <cellStyle name="Comma 20 2 3" xfId="340" xr:uid="{00000000-0005-0000-0000-000055010000}"/>
    <cellStyle name="Comma 20 2 3 2" xfId="341" xr:uid="{00000000-0005-0000-0000-000056010000}"/>
    <cellStyle name="Comma 20 2 3 2 2" xfId="1774" xr:uid="{7E787F16-C35A-4149-8E34-896348CDCF41}"/>
    <cellStyle name="Comma 20 2 3 3" xfId="1773" xr:uid="{E28FB548-3DB7-4DDF-92BB-6AFFE8494E29}"/>
    <cellStyle name="Comma 20 2 4" xfId="342" xr:uid="{00000000-0005-0000-0000-000057010000}"/>
    <cellStyle name="Comma 20 2 4 2" xfId="1775" xr:uid="{38CB2B45-3DAB-4F37-90A8-305589632CC4}"/>
    <cellStyle name="Comma 20 2 5" xfId="1768" xr:uid="{75AB82D0-C0DA-4AE2-B9D2-C5E74EA365ED}"/>
    <cellStyle name="Comma 20 3" xfId="343" xr:uid="{00000000-0005-0000-0000-000058010000}"/>
    <cellStyle name="Comma 20 3 2" xfId="344" xr:uid="{00000000-0005-0000-0000-000059010000}"/>
    <cellStyle name="Comma 20 3 2 2" xfId="345" xr:uid="{00000000-0005-0000-0000-00005A010000}"/>
    <cellStyle name="Comma 20 3 2 2 2" xfId="1778" xr:uid="{7D0617BA-93D9-4D54-A515-1BC4A551FCBA}"/>
    <cellStyle name="Comma 20 3 2 3" xfId="1777" xr:uid="{1C6CFCF1-E7D2-4783-8CBD-1E46C104694A}"/>
    <cellStyle name="Comma 20 3 3" xfId="346" xr:uid="{00000000-0005-0000-0000-00005B010000}"/>
    <cellStyle name="Comma 20 3 3 2" xfId="1779" xr:uid="{94F00B6F-E7C8-46FA-BD1C-7ED2D97F2314}"/>
    <cellStyle name="Comma 20 3 4" xfId="1776" xr:uid="{9DD23FF0-9BC3-47A3-93DE-0A3A23AB58C2}"/>
    <cellStyle name="Comma 20 4" xfId="347" xr:uid="{00000000-0005-0000-0000-00005C010000}"/>
    <cellStyle name="Comma 20 4 2" xfId="348" xr:uid="{00000000-0005-0000-0000-00005D010000}"/>
    <cellStyle name="Comma 20 4 2 2" xfId="1781" xr:uid="{85521D69-03CF-4F76-9854-AAB3B7C9FCC9}"/>
    <cellStyle name="Comma 20 4 3" xfId="1780" xr:uid="{E6E8E2FD-902D-4E64-BBB8-42C1C28A9C0A}"/>
    <cellStyle name="Comma 20 5" xfId="349" xr:uid="{00000000-0005-0000-0000-00005E010000}"/>
    <cellStyle name="Comma 20 5 2" xfId="1782" xr:uid="{57EF5165-642B-4802-A878-D01FF761F316}"/>
    <cellStyle name="Comma 20 6" xfId="1767" xr:uid="{6AC3A2AD-EC9E-48AA-8DA5-7EA3E81F3C2B}"/>
    <cellStyle name="Comma 21" xfId="350" xr:uid="{00000000-0005-0000-0000-00005F010000}"/>
    <cellStyle name="Comma 21 2" xfId="351" xr:uid="{00000000-0005-0000-0000-000060010000}"/>
    <cellStyle name="Comma 21 2 2" xfId="352" xr:uid="{00000000-0005-0000-0000-000061010000}"/>
    <cellStyle name="Comma 21 2 2 2" xfId="353" xr:uid="{00000000-0005-0000-0000-000062010000}"/>
    <cellStyle name="Comma 21 2 2 2 2" xfId="354" xr:uid="{00000000-0005-0000-0000-000063010000}"/>
    <cellStyle name="Comma 21 2 2 2 2 2" xfId="1787" xr:uid="{5C0098A6-BE7B-4DE5-8CC0-9FA8172F4F4F}"/>
    <cellStyle name="Comma 21 2 2 2 3" xfId="1786" xr:uid="{243C6A9D-AD42-411B-993D-1BE2866E0F23}"/>
    <cellStyle name="Comma 21 2 2 3" xfId="355" xr:uid="{00000000-0005-0000-0000-000064010000}"/>
    <cellStyle name="Comma 21 2 2 3 2" xfId="1788" xr:uid="{E60D7390-2734-458B-A2A5-E37342506D14}"/>
    <cellStyle name="Comma 21 2 2 4" xfId="1785" xr:uid="{0B371644-D3B9-4EBD-9568-EDACE05F7147}"/>
    <cellStyle name="Comma 21 2 3" xfId="356" xr:uid="{00000000-0005-0000-0000-000065010000}"/>
    <cellStyle name="Comma 21 2 3 2" xfId="357" xr:uid="{00000000-0005-0000-0000-000066010000}"/>
    <cellStyle name="Comma 21 2 3 2 2" xfId="1790" xr:uid="{BCD75DEE-5556-4ACA-B16D-BCA837CC2C17}"/>
    <cellStyle name="Comma 21 2 3 3" xfId="1789" xr:uid="{8DA26046-A517-4C4C-992C-2C0E69FA2AA9}"/>
    <cellStyle name="Comma 21 2 4" xfId="358" xr:uid="{00000000-0005-0000-0000-000067010000}"/>
    <cellStyle name="Comma 21 2 4 2" xfId="1791" xr:uid="{237E6A5B-D4A6-4758-A679-8B03612D6BA7}"/>
    <cellStyle name="Comma 21 2 5" xfId="1784" xr:uid="{1FAECAAE-C938-4727-ACA3-45F5C5070811}"/>
    <cellStyle name="Comma 21 3" xfId="359" xr:uid="{00000000-0005-0000-0000-000068010000}"/>
    <cellStyle name="Comma 21 3 2" xfId="360" xr:uid="{00000000-0005-0000-0000-000069010000}"/>
    <cellStyle name="Comma 21 3 2 2" xfId="361" xr:uid="{00000000-0005-0000-0000-00006A010000}"/>
    <cellStyle name="Comma 21 3 2 2 2" xfId="1794" xr:uid="{33A2E8AB-AFF5-45B1-A224-31186B2B158E}"/>
    <cellStyle name="Comma 21 3 2 3" xfId="1793" xr:uid="{6BF29083-A80C-481E-8EF6-B38623AAB197}"/>
    <cellStyle name="Comma 21 3 3" xfId="362" xr:uid="{00000000-0005-0000-0000-00006B010000}"/>
    <cellStyle name="Comma 21 3 3 2" xfId="1795" xr:uid="{F454483E-B1A2-4FF2-951D-4956296C0903}"/>
    <cellStyle name="Comma 21 3 4" xfId="1792" xr:uid="{9FECFAD9-7EA1-446C-8652-71E62C9C20EF}"/>
    <cellStyle name="Comma 21 4" xfId="363" xr:uid="{00000000-0005-0000-0000-00006C010000}"/>
    <cellStyle name="Comma 21 4 2" xfId="364" xr:uid="{00000000-0005-0000-0000-00006D010000}"/>
    <cellStyle name="Comma 21 4 2 2" xfId="1797" xr:uid="{62E703DF-AD31-4F85-BDE4-1664AFAF4D5C}"/>
    <cellStyle name="Comma 21 4 3" xfId="1796" xr:uid="{38707545-B69A-4B5A-B5F1-5352C6C8DCC7}"/>
    <cellStyle name="Comma 21 5" xfId="365" xr:uid="{00000000-0005-0000-0000-00006E010000}"/>
    <cellStyle name="Comma 21 5 2" xfId="1798" xr:uid="{19E2CE9F-65C0-4A11-A36D-BCE76720FF69}"/>
    <cellStyle name="Comma 21 6" xfId="1783" xr:uid="{8039982A-61A6-4B4C-9C2C-3A0936F67565}"/>
    <cellStyle name="Comma 22" xfId="366" xr:uid="{00000000-0005-0000-0000-00006F010000}"/>
    <cellStyle name="Comma 22 2" xfId="367" xr:uid="{00000000-0005-0000-0000-000070010000}"/>
    <cellStyle name="Comma 22 2 2" xfId="368" xr:uid="{00000000-0005-0000-0000-000071010000}"/>
    <cellStyle name="Comma 22 2 2 2" xfId="369" xr:uid="{00000000-0005-0000-0000-000072010000}"/>
    <cellStyle name="Comma 22 2 2 2 2" xfId="370" xr:uid="{00000000-0005-0000-0000-000073010000}"/>
    <cellStyle name="Comma 22 2 2 2 2 2" xfId="1803" xr:uid="{775AA7B6-3DED-4664-A7E4-DF5E27841CB0}"/>
    <cellStyle name="Comma 22 2 2 2 3" xfId="1802" xr:uid="{131CE687-742C-41C1-B90E-1DA6E7250F57}"/>
    <cellStyle name="Comma 22 2 2 3" xfId="371" xr:uid="{00000000-0005-0000-0000-000074010000}"/>
    <cellStyle name="Comma 22 2 2 3 2" xfId="1804" xr:uid="{E55D3126-8681-4605-8619-5E1778522796}"/>
    <cellStyle name="Comma 22 2 2 4" xfId="1801" xr:uid="{0BA91046-D77D-41B4-AC62-68327BE45557}"/>
    <cellStyle name="Comma 22 2 3" xfId="372" xr:uid="{00000000-0005-0000-0000-000075010000}"/>
    <cellStyle name="Comma 22 2 3 2" xfId="373" xr:uid="{00000000-0005-0000-0000-000076010000}"/>
    <cellStyle name="Comma 22 2 3 2 2" xfId="1806" xr:uid="{88FC13F0-4A3A-4D9C-857A-DC7256A86DE6}"/>
    <cellStyle name="Comma 22 2 3 3" xfId="1805" xr:uid="{FC2EAD6E-1F7F-40C8-ABA6-2480190E7448}"/>
    <cellStyle name="Comma 22 2 4" xfId="374" xr:uid="{00000000-0005-0000-0000-000077010000}"/>
    <cellStyle name="Comma 22 2 4 2" xfId="1807" xr:uid="{2EEF1CD2-9982-4B65-BFFD-E171D0ABCD50}"/>
    <cellStyle name="Comma 22 2 5" xfId="1800" xr:uid="{35E37C45-707C-4368-9AB4-2D77BABE374F}"/>
    <cellStyle name="Comma 22 3" xfId="375" xr:uid="{00000000-0005-0000-0000-000078010000}"/>
    <cellStyle name="Comma 22 3 2" xfId="376" xr:uid="{00000000-0005-0000-0000-000079010000}"/>
    <cellStyle name="Comma 22 3 2 2" xfId="377" xr:uid="{00000000-0005-0000-0000-00007A010000}"/>
    <cellStyle name="Comma 22 3 2 2 2" xfId="1810" xr:uid="{D1DA41EA-D3C9-4279-BD07-E3ADCB7A4070}"/>
    <cellStyle name="Comma 22 3 2 3" xfId="1809" xr:uid="{E6763B87-2EF6-44B5-8D37-838779EFEAF6}"/>
    <cellStyle name="Comma 22 3 3" xfId="378" xr:uid="{00000000-0005-0000-0000-00007B010000}"/>
    <cellStyle name="Comma 22 3 3 2" xfId="1811" xr:uid="{C332C184-D089-4E6D-9BCB-DA12CBC8B8D3}"/>
    <cellStyle name="Comma 22 3 4" xfId="1808" xr:uid="{6F970E1C-6C48-4867-AE25-1EF2F23C8552}"/>
    <cellStyle name="Comma 22 4" xfId="379" xr:uid="{00000000-0005-0000-0000-00007C010000}"/>
    <cellStyle name="Comma 22 4 2" xfId="380" xr:uid="{00000000-0005-0000-0000-00007D010000}"/>
    <cellStyle name="Comma 22 4 2 2" xfId="1813" xr:uid="{55E23A48-EAA2-4315-809C-3A08D060289C}"/>
    <cellStyle name="Comma 22 4 3" xfId="1812" xr:uid="{E1D9CEF4-FC1E-4727-B32B-233E76D567DE}"/>
    <cellStyle name="Comma 22 5" xfId="381" xr:uid="{00000000-0005-0000-0000-00007E010000}"/>
    <cellStyle name="Comma 22 5 2" xfId="1814" xr:uid="{183C766B-93AE-4F1C-A427-38551A57A04B}"/>
    <cellStyle name="Comma 22 6" xfId="1799" xr:uid="{73EE7858-29F4-4AF9-ADF4-0BFF70806401}"/>
    <cellStyle name="Comma 23" xfId="382" xr:uid="{00000000-0005-0000-0000-00007F010000}"/>
    <cellStyle name="Comma 23 2" xfId="383" xr:uid="{00000000-0005-0000-0000-000080010000}"/>
    <cellStyle name="Comma 23 2 2" xfId="384" xr:uid="{00000000-0005-0000-0000-000081010000}"/>
    <cellStyle name="Comma 23 2 2 2" xfId="385" xr:uid="{00000000-0005-0000-0000-000082010000}"/>
    <cellStyle name="Comma 23 2 2 2 2" xfId="386" xr:uid="{00000000-0005-0000-0000-000083010000}"/>
    <cellStyle name="Comma 23 2 2 2 2 2" xfId="1819" xr:uid="{E1FE4DD5-833C-403A-97C3-FD109C9675E7}"/>
    <cellStyle name="Comma 23 2 2 2 3" xfId="1818" xr:uid="{AC90DF45-46BE-4502-8D8E-86C1810D51EE}"/>
    <cellStyle name="Comma 23 2 2 3" xfId="387" xr:uid="{00000000-0005-0000-0000-000084010000}"/>
    <cellStyle name="Comma 23 2 2 3 2" xfId="1820" xr:uid="{7EE6DA32-4992-45BC-B380-25C76809BD4F}"/>
    <cellStyle name="Comma 23 2 2 4" xfId="1817" xr:uid="{CFF25D91-1DFC-408B-91C9-30A1C46C17EC}"/>
    <cellStyle name="Comma 23 2 3" xfId="388" xr:uid="{00000000-0005-0000-0000-000085010000}"/>
    <cellStyle name="Comma 23 2 3 2" xfId="389" xr:uid="{00000000-0005-0000-0000-000086010000}"/>
    <cellStyle name="Comma 23 2 3 2 2" xfId="1822" xr:uid="{5469CBCC-3757-472B-93CF-529F477D410E}"/>
    <cellStyle name="Comma 23 2 3 3" xfId="1821" xr:uid="{64274C20-3B0D-4399-9D64-91733DA64927}"/>
    <cellStyle name="Comma 23 2 4" xfId="390" xr:uid="{00000000-0005-0000-0000-000087010000}"/>
    <cellStyle name="Comma 23 2 4 2" xfId="1823" xr:uid="{A35C193E-B83E-4771-B87D-798F9649AC23}"/>
    <cellStyle name="Comma 23 2 5" xfId="1816" xr:uid="{DD5643AB-7F2C-442B-B000-8380B76C6732}"/>
    <cellStyle name="Comma 23 3" xfId="391" xr:uid="{00000000-0005-0000-0000-000088010000}"/>
    <cellStyle name="Comma 23 3 2" xfId="392" xr:uid="{00000000-0005-0000-0000-000089010000}"/>
    <cellStyle name="Comma 23 3 2 2" xfId="393" xr:uid="{00000000-0005-0000-0000-00008A010000}"/>
    <cellStyle name="Comma 23 3 2 2 2" xfId="1826" xr:uid="{B0CBCE27-7C0A-4D55-A602-9F4028528236}"/>
    <cellStyle name="Comma 23 3 2 3" xfId="1825" xr:uid="{68BCE2E6-1E66-4398-BF04-6DBC2FC41199}"/>
    <cellStyle name="Comma 23 3 3" xfId="394" xr:uid="{00000000-0005-0000-0000-00008B010000}"/>
    <cellStyle name="Comma 23 3 3 2" xfId="1827" xr:uid="{D8F2DB9C-559B-463E-BF00-4AF21985A3B1}"/>
    <cellStyle name="Comma 23 3 4" xfId="1824" xr:uid="{4A6C827E-F366-42AB-96B9-28C45E2BEE6D}"/>
    <cellStyle name="Comma 23 4" xfId="395" xr:uid="{00000000-0005-0000-0000-00008C010000}"/>
    <cellStyle name="Comma 23 4 2" xfId="396" xr:uid="{00000000-0005-0000-0000-00008D010000}"/>
    <cellStyle name="Comma 23 4 2 2" xfId="1829" xr:uid="{5D0B7689-2404-4F12-9DE2-04D9DA41E260}"/>
    <cellStyle name="Comma 23 4 3" xfId="1828" xr:uid="{4EEBAA9B-F07D-42B6-AE62-8EB4975A33E9}"/>
    <cellStyle name="Comma 23 5" xfId="397" xr:uid="{00000000-0005-0000-0000-00008E010000}"/>
    <cellStyle name="Comma 23 5 2" xfId="1830" xr:uid="{F224EA90-0392-4B6A-81BE-15F7AD38957E}"/>
    <cellStyle name="Comma 23 6" xfId="1815" xr:uid="{1AF60499-EBF4-445E-81EE-117AE3905C1B}"/>
    <cellStyle name="Comma 24" xfId="398" xr:uid="{00000000-0005-0000-0000-00008F010000}"/>
    <cellStyle name="Comma 24 2" xfId="399" xr:uid="{00000000-0005-0000-0000-000090010000}"/>
    <cellStyle name="Comma 24 2 2" xfId="400" xr:uid="{00000000-0005-0000-0000-000091010000}"/>
    <cellStyle name="Comma 24 2 2 2" xfId="401" xr:uid="{00000000-0005-0000-0000-000092010000}"/>
    <cellStyle name="Comma 24 2 2 2 2" xfId="402" xr:uid="{00000000-0005-0000-0000-000093010000}"/>
    <cellStyle name="Comma 24 2 2 2 2 2" xfId="1835" xr:uid="{87F71619-8823-4B37-A263-82FFA7283A8F}"/>
    <cellStyle name="Comma 24 2 2 2 3" xfId="1834" xr:uid="{0DD26817-D2B9-427B-82F5-388CF00E4324}"/>
    <cellStyle name="Comma 24 2 2 3" xfId="403" xr:uid="{00000000-0005-0000-0000-000094010000}"/>
    <cellStyle name="Comma 24 2 2 3 2" xfId="1836" xr:uid="{BF586A28-582F-43CC-A9B0-6C9693B7199D}"/>
    <cellStyle name="Comma 24 2 2 4" xfId="1833" xr:uid="{83FEF237-A5B0-4F30-A1DA-856B560E719D}"/>
    <cellStyle name="Comma 24 2 3" xfId="404" xr:uid="{00000000-0005-0000-0000-000095010000}"/>
    <cellStyle name="Comma 24 2 3 2" xfId="405" xr:uid="{00000000-0005-0000-0000-000096010000}"/>
    <cellStyle name="Comma 24 2 3 2 2" xfId="1838" xr:uid="{6922E7C1-ADA4-4612-B14C-933B43BA6CD3}"/>
    <cellStyle name="Comma 24 2 3 3" xfId="1837" xr:uid="{F2BC1645-A054-4190-9C12-4B74A4DBAB1C}"/>
    <cellStyle name="Comma 24 2 4" xfId="406" xr:uid="{00000000-0005-0000-0000-000097010000}"/>
    <cellStyle name="Comma 24 2 4 2" xfId="1839" xr:uid="{8CF77C10-BC9D-42DC-B2CC-9618B6C4CA41}"/>
    <cellStyle name="Comma 24 2 5" xfId="1832" xr:uid="{36CF15A0-1FF6-438D-8B01-AFFA3CFCDB1D}"/>
    <cellStyle name="Comma 24 3" xfId="407" xr:uid="{00000000-0005-0000-0000-000098010000}"/>
    <cellStyle name="Comma 24 3 2" xfId="408" xr:uid="{00000000-0005-0000-0000-000099010000}"/>
    <cellStyle name="Comma 24 3 2 2" xfId="409" xr:uid="{00000000-0005-0000-0000-00009A010000}"/>
    <cellStyle name="Comma 24 3 2 2 2" xfId="1842" xr:uid="{FC1119D6-597F-41F1-84CF-26313EDB7015}"/>
    <cellStyle name="Comma 24 3 2 3" xfId="1841" xr:uid="{C550BC71-9129-43C3-A365-F8CD69E9FA25}"/>
    <cellStyle name="Comma 24 3 3" xfId="410" xr:uid="{00000000-0005-0000-0000-00009B010000}"/>
    <cellStyle name="Comma 24 3 3 2" xfId="1843" xr:uid="{70F1466C-A775-4079-A6AB-A8AC1F424C0F}"/>
    <cellStyle name="Comma 24 3 4" xfId="1840" xr:uid="{16741E19-C5E6-423E-8F6C-93642A0CA16D}"/>
    <cellStyle name="Comma 24 4" xfId="411" xr:uid="{00000000-0005-0000-0000-00009C010000}"/>
    <cellStyle name="Comma 24 4 2" xfId="412" xr:uid="{00000000-0005-0000-0000-00009D010000}"/>
    <cellStyle name="Comma 24 4 2 2" xfId="1845" xr:uid="{EFA08CE5-03AC-4DC2-BEA4-36ED0906427F}"/>
    <cellStyle name="Comma 24 4 3" xfId="1844" xr:uid="{66EC32BF-32B7-4CF4-B6CB-A962F50AD6A6}"/>
    <cellStyle name="Comma 24 5" xfId="413" xr:uid="{00000000-0005-0000-0000-00009E010000}"/>
    <cellStyle name="Comma 24 5 2" xfId="1846" xr:uid="{8C7992D4-33EE-4BF7-8383-6400FAEC9860}"/>
    <cellStyle name="Comma 24 6" xfId="1831" xr:uid="{5CFCB673-5A79-4363-B078-0F86997FC00F}"/>
    <cellStyle name="Comma 25" xfId="414" xr:uid="{00000000-0005-0000-0000-00009F010000}"/>
    <cellStyle name="Comma 25 2" xfId="415" xr:uid="{00000000-0005-0000-0000-0000A0010000}"/>
    <cellStyle name="Comma 25 2 2" xfId="416" xr:uid="{00000000-0005-0000-0000-0000A1010000}"/>
    <cellStyle name="Comma 25 2 2 2" xfId="417" xr:uid="{00000000-0005-0000-0000-0000A2010000}"/>
    <cellStyle name="Comma 25 2 2 2 2" xfId="1850" xr:uid="{ED6EE18F-8518-4A4A-982A-BB9173DF8233}"/>
    <cellStyle name="Comma 25 2 2 3" xfId="1849" xr:uid="{9456BA0C-7542-42C5-8F62-A51C91BD9ECC}"/>
    <cellStyle name="Comma 25 2 3" xfId="418" xr:uid="{00000000-0005-0000-0000-0000A3010000}"/>
    <cellStyle name="Comma 25 2 3 2" xfId="1851" xr:uid="{7CDA0F84-016D-4E51-9114-ADE535602769}"/>
    <cellStyle name="Comma 25 2 4" xfId="1848" xr:uid="{3A511A01-C735-4501-BEF7-F441A3FD4394}"/>
    <cellStyle name="Comma 25 3" xfId="419" xr:uid="{00000000-0005-0000-0000-0000A4010000}"/>
    <cellStyle name="Comma 25 3 2" xfId="420" xr:uid="{00000000-0005-0000-0000-0000A5010000}"/>
    <cellStyle name="Comma 25 3 2 2" xfId="1853" xr:uid="{41CBC339-EDF0-4AD8-BB58-85D90709CEEC}"/>
    <cellStyle name="Comma 25 3 3" xfId="1852" xr:uid="{E5392BC8-8FF4-4472-B424-80801C09488A}"/>
    <cellStyle name="Comma 25 4" xfId="421" xr:uid="{00000000-0005-0000-0000-0000A6010000}"/>
    <cellStyle name="Comma 25 4 2" xfId="1854" xr:uid="{E3C9D3C5-F21B-49DB-AAE1-1786193BFAD0}"/>
    <cellStyle name="Comma 25 5" xfId="1847" xr:uid="{BD641C9C-952A-4614-B35E-38EC412822FC}"/>
    <cellStyle name="Comma 26" xfId="422" xr:uid="{00000000-0005-0000-0000-0000A7010000}"/>
    <cellStyle name="Comma 26 2" xfId="423" xr:uid="{00000000-0005-0000-0000-0000A8010000}"/>
    <cellStyle name="Comma 26 2 2" xfId="424" xr:uid="{00000000-0005-0000-0000-0000A9010000}"/>
    <cellStyle name="Comma 26 2 2 2" xfId="425" xr:uid="{00000000-0005-0000-0000-0000AA010000}"/>
    <cellStyle name="Comma 26 2 2 2 2" xfId="1858" xr:uid="{6C2E0D2D-98E9-41F9-A101-66472470D29A}"/>
    <cellStyle name="Comma 26 2 2 3" xfId="1857" xr:uid="{68B457A9-258A-4328-B6AA-EAB7E52DC456}"/>
    <cellStyle name="Comma 26 2 3" xfId="426" xr:uid="{00000000-0005-0000-0000-0000AB010000}"/>
    <cellStyle name="Comma 26 2 3 2" xfId="1859" xr:uid="{0A54A60F-155B-4AB7-99CB-D8A29CA02BDB}"/>
    <cellStyle name="Comma 26 2 4" xfId="1856" xr:uid="{EA293773-FB3A-44B5-9C38-059FCF836E91}"/>
    <cellStyle name="Comma 26 3" xfId="427" xr:uid="{00000000-0005-0000-0000-0000AC010000}"/>
    <cellStyle name="Comma 26 3 2" xfId="428" xr:uid="{00000000-0005-0000-0000-0000AD010000}"/>
    <cellStyle name="Comma 26 3 2 2" xfId="1861" xr:uid="{53B522EA-BE9A-458C-BD75-19E5755DA002}"/>
    <cellStyle name="Comma 26 3 3" xfId="1860" xr:uid="{4A436295-BDF2-41F1-806C-D1F1D6A624F8}"/>
    <cellStyle name="Comma 26 4" xfId="429" xr:uid="{00000000-0005-0000-0000-0000AE010000}"/>
    <cellStyle name="Comma 26 4 2" xfId="1862" xr:uid="{C02FF06A-8785-4379-9FA2-3634F9773799}"/>
    <cellStyle name="Comma 26 5" xfId="1855" xr:uid="{484188C9-82F7-45C8-B2D6-33E26DD66CBA}"/>
    <cellStyle name="Comma 27" xfId="430" xr:uid="{00000000-0005-0000-0000-0000AF010000}"/>
    <cellStyle name="Comma 27 2" xfId="431" xr:uid="{00000000-0005-0000-0000-0000B0010000}"/>
    <cellStyle name="Comma 27 2 2" xfId="432" xr:uid="{00000000-0005-0000-0000-0000B1010000}"/>
    <cellStyle name="Comma 27 2 2 2" xfId="433" xr:uid="{00000000-0005-0000-0000-0000B2010000}"/>
    <cellStyle name="Comma 27 2 2 2 2" xfId="1866" xr:uid="{A7E79A85-7DDD-420D-B613-6EEE4C49EE15}"/>
    <cellStyle name="Comma 27 2 2 3" xfId="1865" xr:uid="{37D7D1E4-D675-453D-A1C5-77EE3E05E822}"/>
    <cellStyle name="Comma 27 2 3" xfId="434" xr:uid="{00000000-0005-0000-0000-0000B3010000}"/>
    <cellStyle name="Comma 27 2 3 2" xfId="1867" xr:uid="{DE0AB71C-8DCB-477A-B393-5EDDB3B279B3}"/>
    <cellStyle name="Comma 27 2 4" xfId="1864" xr:uid="{97243941-E1AB-48FC-B8D2-0DBFEC25CEBA}"/>
    <cellStyle name="Comma 27 3" xfId="435" xr:uid="{00000000-0005-0000-0000-0000B4010000}"/>
    <cellStyle name="Comma 27 3 2" xfId="436" xr:uid="{00000000-0005-0000-0000-0000B5010000}"/>
    <cellStyle name="Comma 27 3 2 2" xfId="1869" xr:uid="{65202D47-66EE-4C0A-AACF-B29246B9AC99}"/>
    <cellStyle name="Comma 27 3 3" xfId="1868" xr:uid="{37F3D9CC-6DF4-49A9-A7AD-8A583A1AD63D}"/>
    <cellStyle name="Comma 27 4" xfId="437" xr:uid="{00000000-0005-0000-0000-0000B6010000}"/>
    <cellStyle name="Comma 27 4 2" xfId="1870" xr:uid="{D1CD1689-C0E6-45F8-A4A4-B15C71870059}"/>
    <cellStyle name="Comma 27 5" xfId="1863" xr:uid="{FF231CD0-5BE5-4D66-BB45-7A844A0962F4}"/>
    <cellStyle name="Comma 28" xfId="438" xr:uid="{00000000-0005-0000-0000-0000B7010000}"/>
    <cellStyle name="Comma 28 2" xfId="439" xr:uid="{00000000-0005-0000-0000-0000B8010000}"/>
    <cellStyle name="Comma 28 2 2" xfId="440" xr:uid="{00000000-0005-0000-0000-0000B9010000}"/>
    <cellStyle name="Comma 28 2 2 2" xfId="441" xr:uid="{00000000-0005-0000-0000-0000BA010000}"/>
    <cellStyle name="Comma 28 2 2 2 2" xfId="1874" xr:uid="{E2C1187D-C2AC-4CDE-851D-17F26C401D29}"/>
    <cellStyle name="Comma 28 2 2 3" xfId="1873" xr:uid="{FBF0EB63-7C7E-4EBE-8BFC-1BFD1C5B8832}"/>
    <cellStyle name="Comma 28 2 3" xfId="442" xr:uid="{00000000-0005-0000-0000-0000BB010000}"/>
    <cellStyle name="Comma 28 2 3 2" xfId="1875" xr:uid="{B87221A6-2593-48EE-867E-1FF7F3562F99}"/>
    <cellStyle name="Comma 28 2 4" xfId="1872" xr:uid="{DF8E1FEB-3838-47B8-A6D6-0C033A88CC09}"/>
    <cellStyle name="Comma 28 3" xfId="443" xr:uid="{00000000-0005-0000-0000-0000BC010000}"/>
    <cellStyle name="Comma 28 3 2" xfId="444" xr:uid="{00000000-0005-0000-0000-0000BD010000}"/>
    <cellStyle name="Comma 28 3 2 2" xfId="1877" xr:uid="{88B03783-372C-4CA7-A49A-D014E5F5D554}"/>
    <cellStyle name="Comma 28 3 3" xfId="1876" xr:uid="{AA8D09A8-1B00-4660-A1A0-193F20623F46}"/>
    <cellStyle name="Comma 28 4" xfId="445" xr:uid="{00000000-0005-0000-0000-0000BE010000}"/>
    <cellStyle name="Comma 28 4 2" xfId="1878" xr:uid="{A724AF30-3DFE-40D3-920A-D57100F66506}"/>
    <cellStyle name="Comma 28 5" xfId="1871" xr:uid="{EAA6A33D-77D1-4964-BB6B-E01F187DEBF1}"/>
    <cellStyle name="Comma 29" xfId="446" xr:uid="{00000000-0005-0000-0000-0000BF010000}"/>
    <cellStyle name="Comma 29 2" xfId="447" xr:uid="{00000000-0005-0000-0000-0000C0010000}"/>
    <cellStyle name="Comma 29 2 2" xfId="448" xr:uid="{00000000-0005-0000-0000-0000C1010000}"/>
    <cellStyle name="Comma 29 2 2 2" xfId="449" xr:uid="{00000000-0005-0000-0000-0000C2010000}"/>
    <cellStyle name="Comma 29 2 2 2 2" xfId="1882" xr:uid="{532C43AA-B904-4834-98D7-D25FD5B816C5}"/>
    <cellStyle name="Comma 29 2 2 3" xfId="1881" xr:uid="{63020D26-4BB6-4033-B9F6-596841EC3B1F}"/>
    <cellStyle name="Comma 29 2 3" xfId="450" xr:uid="{00000000-0005-0000-0000-0000C3010000}"/>
    <cellStyle name="Comma 29 2 3 2" xfId="1883" xr:uid="{D630ADB4-8191-4C09-AE05-91B10BC9C26E}"/>
    <cellStyle name="Comma 29 2 4" xfId="1880" xr:uid="{1106D698-FB18-4350-8CFE-752A4131122C}"/>
    <cellStyle name="Comma 29 3" xfId="451" xr:uid="{00000000-0005-0000-0000-0000C4010000}"/>
    <cellStyle name="Comma 29 3 2" xfId="452" xr:uid="{00000000-0005-0000-0000-0000C5010000}"/>
    <cellStyle name="Comma 29 3 2 2" xfId="1885" xr:uid="{E4B62BA0-7192-4E59-8485-5D7A33589093}"/>
    <cellStyle name="Comma 29 3 3" xfId="1884" xr:uid="{634E35B3-D46A-4A37-B593-F25A489D7509}"/>
    <cellStyle name="Comma 29 4" xfId="453" xr:uid="{00000000-0005-0000-0000-0000C6010000}"/>
    <cellStyle name="Comma 29 4 2" xfId="1886" xr:uid="{F967FB36-4342-4158-8AC0-4E4004B4D959}"/>
    <cellStyle name="Comma 29 5" xfId="1879" xr:uid="{6ED06CD4-8BAB-4248-9F0E-6DCE0DFA98CA}"/>
    <cellStyle name="Comma 3" xfId="454" xr:uid="{00000000-0005-0000-0000-0000C7010000}"/>
    <cellStyle name="Comma 3 10" xfId="1887" xr:uid="{12662B5B-A648-4AE1-B8DF-3F2483DF42F4}"/>
    <cellStyle name="Comma 3 2" xfId="455" xr:uid="{00000000-0005-0000-0000-0000C8010000}"/>
    <cellStyle name="Comma 3 2 2" xfId="456" xr:uid="{00000000-0005-0000-0000-0000C9010000}"/>
    <cellStyle name="Comma 3 2 2 2" xfId="457" xr:uid="{00000000-0005-0000-0000-0000CA010000}"/>
    <cellStyle name="Comma 3 2 2 2 2" xfId="458" xr:uid="{00000000-0005-0000-0000-0000CB010000}"/>
    <cellStyle name="Comma 3 2 2 2 2 2" xfId="459" xr:uid="{00000000-0005-0000-0000-0000CC010000}"/>
    <cellStyle name="Comma 3 2 2 2 2 2 2" xfId="460" xr:uid="{00000000-0005-0000-0000-0000CD010000}"/>
    <cellStyle name="Comma 3 2 2 2 2 2 2 2" xfId="1893" xr:uid="{7A8E408F-75C2-4F5D-B74A-31D1C787147B}"/>
    <cellStyle name="Comma 3 2 2 2 2 2 3" xfId="1892" xr:uid="{078FC4EB-02F4-46D2-9036-DC45CB631018}"/>
    <cellStyle name="Comma 3 2 2 2 2 3" xfId="461" xr:uid="{00000000-0005-0000-0000-0000CE010000}"/>
    <cellStyle name="Comma 3 2 2 2 2 3 2" xfId="1894" xr:uid="{39BFE6D8-2ED1-4ED6-8055-435369BB5866}"/>
    <cellStyle name="Comma 3 2 2 2 2 4" xfId="1891" xr:uid="{A6C46540-F9CD-4E10-8DCD-12FA55CC8B3A}"/>
    <cellStyle name="Comma 3 2 2 2 3" xfId="462" xr:uid="{00000000-0005-0000-0000-0000CF010000}"/>
    <cellStyle name="Comma 3 2 2 2 3 2" xfId="463" xr:uid="{00000000-0005-0000-0000-0000D0010000}"/>
    <cellStyle name="Comma 3 2 2 2 3 2 2" xfId="1896" xr:uid="{AA18B8F9-8617-4D3A-A558-1210CDDEE19C}"/>
    <cellStyle name="Comma 3 2 2 2 3 3" xfId="1895" xr:uid="{CED4C460-D088-4EFE-990C-FFB7948CF66E}"/>
    <cellStyle name="Comma 3 2 2 2 4" xfId="464" xr:uid="{00000000-0005-0000-0000-0000D1010000}"/>
    <cellStyle name="Comma 3 2 2 2 4 2" xfId="1897" xr:uid="{BBEEFE2B-C06F-4566-8E5B-2962D462C352}"/>
    <cellStyle name="Comma 3 2 2 2 5" xfId="1890" xr:uid="{10098FAC-8951-49DE-B102-9C3F2EFF5E35}"/>
    <cellStyle name="Comma 3 2 2 3" xfId="465" xr:uid="{00000000-0005-0000-0000-0000D2010000}"/>
    <cellStyle name="Comma 3 2 2 3 2" xfId="466" xr:uid="{00000000-0005-0000-0000-0000D3010000}"/>
    <cellStyle name="Comma 3 2 2 3 2 2" xfId="467" xr:uid="{00000000-0005-0000-0000-0000D4010000}"/>
    <cellStyle name="Comma 3 2 2 3 2 2 2" xfId="1900" xr:uid="{78526ED1-D17C-4370-B0CE-A3C5A3AA1DCD}"/>
    <cellStyle name="Comma 3 2 2 3 2 3" xfId="1899" xr:uid="{EFF3FFCC-139F-4F7A-8996-3F8418BE161D}"/>
    <cellStyle name="Comma 3 2 2 3 3" xfId="468" xr:uid="{00000000-0005-0000-0000-0000D5010000}"/>
    <cellStyle name="Comma 3 2 2 3 3 2" xfId="1901" xr:uid="{333356DB-C150-45BB-B68B-6C35156F3D97}"/>
    <cellStyle name="Comma 3 2 2 3 4" xfId="1898" xr:uid="{D7F3B67D-AEE5-434E-9D7D-259C017BBA5C}"/>
    <cellStyle name="Comma 3 2 2 4" xfId="469" xr:uid="{00000000-0005-0000-0000-0000D6010000}"/>
    <cellStyle name="Comma 3 2 2 4 2" xfId="470" xr:uid="{00000000-0005-0000-0000-0000D7010000}"/>
    <cellStyle name="Comma 3 2 2 4 2 2" xfId="1903" xr:uid="{5D929C91-0589-4926-8C8E-94016590BCEE}"/>
    <cellStyle name="Comma 3 2 2 4 3" xfId="1902" xr:uid="{FAA921FE-E038-4708-B77B-15724F875C2E}"/>
    <cellStyle name="Comma 3 2 2 5" xfId="471" xr:uid="{00000000-0005-0000-0000-0000D8010000}"/>
    <cellStyle name="Comma 3 2 2 5 2" xfId="1904" xr:uid="{68E2D728-55EE-4429-9015-D8EE944C4A49}"/>
    <cellStyle name="Comma 3 2 2 6" xfId="1889" xr:uid="{9CE6B967-4BBD-49EE-A682-9F08D18DD5B8}"/>
    <cellStyle name="Comma 3 2 3" xfId="472" xr:uid="{00000000-0005-0000-0000-0000D9010000}"/>
    <cellStyle name="Comma 3 2 3 2" xfId="473" xr:uid="{00000000-0005-0000-0000-0000DA010000}"/>
    <cellStyle name="Comma 3 2 3 2 2" xfId="474" xr:uid="{00000000-0005-0000-0000-0000DB010000}"/>
    <cellStyle name="Comma 3 2 3 2 2 2" xfId="475" xr:uid="{00000000-0005-0000-0000-0000DC010000}"/>
    <cellStyle name="Comma 3 2 3 2 2 2 2" xfId="1908" xr:uid="{A402B4BB-598E-4F9C-8567-E5C7016AE864}"/>
    <cellStyle name="Comma 3 2 3 2 2 3" xfId="1907" xr:uid="{BDF5751C-20B1-4834-B178-512CACDF765C}"/>
    <cellStyle name="Comma 3 2 3 2 3" xfId="476" xr:uid="{00000000-0005-0000-0000-0000DD010000}"/>
    <cellStyle name="Comma 3 2 3 2 3 2" xfId="1909" xr:uid="{E0EBDD88-A032-48F3-94EC-E0C428AF5A0E}"/>
    <cellStyle name="Comma 3 2 3 2 4" xfId="1906" xr:uid="{8B0DEF75-D16C-4C45-9F91-93BCBDF392A4}"/>
    <cellStyle name="Comma 3 2 3 3" xfId="477" xr:uid="{00000000-0005-0000-0000-0000DE010000}"/>
    <cellStyle name="Comma 3 2 3 3 2" xfId="478" xr:uid="{00000000-0005-0000-0000-0000DF010000}"/>
    <cellStyle name="Comma 3 2 3 3 2 2" xfId="1911" xr:uid="{3616BCF0-7D4A-4362-A340-9E4F4B6A8BF3}"/>
    <cellStyle name="Comma 3 2 3 3 3" xfId="1910" xr:uid="{12D025F8-29CD-4D02-BE11-25BE68D1FA62}"/>
    <cellStyle name="Comma 3 2 3 4" xfId="479" xr:uid="{00000000-0005-0000-0000-0000E0010000}"/>
    <cellStyle name="Comma 3 2 3 4 2" xfId="1912" xr:uid="{FDF8F370-54B0-41FD-B13F-CBA78C64D7FF}"/>
    <cellStyle name="Comma 3 2 3 5" xfId="1905" xr:uid="{84EE5FCF-5B98-429D-8C97-68C90F1BEABE}"/>
    <cellStyle name="Comma 3 2 4" xfId="480" xr:uid="{00000000-0005-0000-0000-0000E1010000}"/>
    <cellStyle name="Comma 3 2 4 2" xfId="481" xr:uid="{00000000-0005-0000-0000-0000E2010000}"/>
    <cellStyle name="Comma 3 2 4 2 2" xfId="482" xr:uid="{00000000-0005-0000-0000-0000E3010000}"/>
    <cellStyle name="Comma 3 2 4 2 2 2" xfId="1915" xr:uid="{317BF181-C560-4196-B0DD-555999AEF658}"/>
    <cellStyle name="Comma 3 2 4 2 3" xfId="1914" xr:uid="{724414F6-A23E-4A34-836B-6D601F43EB81}"/>
    <cellStyle name="Comma 3 2 4 3" xfId="483" xr:uid="{00000000-0005-0000-0000-0000E4010000}"/>
    <cellStyle name="Comma 3 2 4 3 2" xfId="1916" xr:uid="{86AA1302-4CD0-4AEE-9A5D-02DA7EC0BD00}"/>
    <cellStyle name="Comma 3 2 4 4" xfId="1913" xr:uid="{B1B3A1D7-7D66-4139-97E0-0D233D1DD606}"/>
    <cellStyle name="Comma 3 2 5" xfId="484" xr:uid="{00000000-0005-0000-0000-0000E5010000}"/>
    <cellStyle name="Comma 3 2 5 2" xfId="485" xr:uid="{00000000-0005-0000-0000-0000E6010000}"/>
    <cellStyle name="Comma 3 2 5 2 2" xfId="1918" xr:uid="{8FBC7F94-9DBE-4D71-86AC-543273C3E111}"/>
    <cellStyle name="Comma 3 2 5 3" xfId="1917" xr:uid="{89862822-148F-4B2E-9E49-C3CDC51E84A1}"/>
    <cellStyle name="Comma 3 2 6" xfId="486" xr:uid="{00000000-0005-0000-0000-0000E7010000}"/>
    <cellStyle name="Comma 3 2 6 2" xfId="1919" xr:uid="{924B54A1-59DC-43E8-BFA0-6BD600066778}"/>
    <cellStyle name="Comma 3 2 7" xfId="1888" xr:uid="{56BC5A53-F904-46C5-9F0F-E9E3AB5FB37E}"/>
    <cellStyle name="Comma 3 3" xfId="487" xr:uid="{00000000-0005-0000-0000-0000E8010000}"/>
    <cellStyle name="Comma 3 3 2" xfId="488" xr:uid="{00000000-0005-0000-0000-0000E9010000}"/>
    <cellStyle name="Comma 3 3 2 2" xfId="489" xr:uid="{00000000-0005-0000-0000-0000EA010000}"/>
    <cellStyle name="Comma 3 3 2 2 2" xfId="490" xr:uid="{00000000-0005-0000-0000-0000EB010000}"/>
    <cellStyle name="Comma 3 3 2 2 2 2" xfId="491" xr:uid="{00000000-0005-0000-0000-0000EC010000}"/>
    <cellStyle name="Comma 3 3 2 2 2 2 2" xfId="1924" xr:uid="{A58339BA-E280-47CF-BA36-A1F1669E19C5}"/>
    <cellStyle name="Comma 3 3 2 2 2 3" xfId="1923" xr:uid="{D922F8FD-E633-4112-BCB4-800BEAED9388}"/>
    <cellStyle name="Comma 3 3 2 2 3" xfId="492" xr:uid="{00000000-0005-0000-0000-0000ED010000}"/>
    <cellStyle name="Comma 3 3 2 2 3 2" xfId="1925" xr:uid="{F5894E13-9687-4AE1-B7EF-E271BB4C1C67}"/>
    <cellStyle name="Comma 3 3 2 2 4" xfId="1922" xr:uid="{D6E41AE5-B8BE-4F65-B519-8492389359B9}"/>
    <cellStyle name="Comma 3 3 2 3" xfId="493" xr:uid="{00000000-0005-0000-0000-0000EE010000}"/>
    <cellStyle name="Comma 3 3 2 3 2" xfId="494" xr:uid="{00000000-0005-0000-0000-0000EF010000}"/>
    <cellStyle name="Comma 3 3 2 3 2 2" xfId="1927" xr:uid="{39DD4C8A-FDE6-4286-A084-68D372A977BA}"/>
    <cellStyle name="Comma 3 3 2 3 3" xfId="1926" xr:uid="{00FE18CB-021B-4514-A813-45587E24B8DA}"/>
    <cellStyle name="Comma 3 3 2 4" xfId="495" xr:uid="{00000000-0005-0000-0000-0000F0010000}"/>
    <cellStyle name="Comma 3 3 2 4 2" xfId="1928" xr:uid="{19EB3B3B-5151-4EE1-9E4A-1B73E83BAA9D}"/>
    <cellStyle name="Comma 3 3 2 5" xfId="1921" xr:uid="{C348F4F9-ED39-434C-98E6-85ED422BEC5E}"/>
    <cellStyle name="Comma 3 3 3" xfId="496" xr:uid="{00000000-0005-0000-0000-0000F1010000}"/>
    <cellStyle name="Comma 3 3 3 2" xfId="497" xr:uid="{00000000-0005-0000-0000-0000F2010000}"/>
    <cellStyle name="Comma 3 3 3 2 2" xfId="498" xr:uid="{00000000-0005-0000-0000-0000F3010000}"/>
    <cellStyle name="Comma 3 3 3 2 2 2" xfId="1931" xr:uid="{194C6B13-F54F-4775-AB06-AA2C03A2406B}"/>
    <cellStyle name="Comma 3 3 3 2 3" xfId="1930" xr:uid="{63FBD2E9-5382-4261-B253-CF0ECD7F2E04}"/>
    <cellStyle name="Comma 3 3 3 3" xfId="499" xr:uid="{00000000-0005-0000-0000-0000F4010000}"/>
    <cellStyle name="Comma 3 3 3 3 2" xfId="1932" xr:uid="{59F6319B-B655-494E-8BBD-9803232E7B8F}"/>
    <cellStyle name="Comma 3 3 3 4" xfId="1929" xr:uid="{9302ACA3-E7D3-4DA9-91B1-D1B084477B30}"/>
    <cellStyle name="Comma 3 3 4" xfId="500" xr:uid="{00000000-0005-0000-0000-0000F5010000}"/>
    <cellStyle name="Comma 3 3 4 2" xfId="501" xr:uid="{00000000-0005-0000-0000-0000F6010000}"/>
    <cellStyle name="Comma 3 3 4 2 2" xfId="1934" xr:uid="{7ADB856C-BC1C-4559-90E7-8CBBDD9F3AA6}"/>
    <cellStyle name="Comma 3 3 4 3" xfId="1933" xr:uid="{EC2D441F-D3A4-47E7-9363-201363F85470}"/>
    <cellStyle name="Comma 3 3 5" xfId="502" xr:uid="{00000000-0005-0000-0000-0000F7010000}"/>
    <cellStyle name="Comma 3 3 5 2" xfId="1935" xr:uid="{F784CD9B-049A-4D20-B99B-28051FDDE2CE}"/>
    <cellStyle name="Comma 3 3 6" xfId="1920" xr:uid="{43314C72-6173-4F83-AE7B-0FB44528E51E}"/>
    <cellStyle name="Comma 3 4" xfId="503" xr:uid="{00000000-0005-0000-0000-0000F8010000}"/>
    <cellStyle name="Comma 3 4 2" xfId="504" xr:uid="{00000000-0005-0000-0000-0000F9010000}"/>
    <cellStyle name="Comma 3 4 2 2" xfId="505" xr:uid="{00000000-0005-0000-0000-0000FA010000}"/>
    <cellStyle name="Comma 3 4 2 2 2" xfId="506" xr:uid="{00000000-0005-0000-0000-0000FB010000}"/>
    <cellStyle name="Comma 3 4 2 2 2 2" xfId="507" xr:uid="{00000000-0005-0000-0000-0000FC010000}"/>
    <cellStyle name="Comma 3 4 2 2 2 2 2" xfId="1940" xr:uid="{172FBF8A-1CCD-49C1-88C2-8DA17E0C78F2}"/>
    <cellStyle name="Comma 3 4 2 2 2 3" xfId="1939" xr:uid="{5A560154-14B9-465A-AC92-8D86F38F07A7}"/>
    <cellStyle name="Comma 3 4 2 2 3" xfId="508" xr:uid="{00000000-0005-0000-0000-0000FD010000}"/>
    <cellStyle name="Comma 3 4 2 2 3 2" xfId="1941" xr:uid="{1739E63F-BFA1-463C-B3AA-C24C60D1E08B}"/>
    <cellStyle name="Comma 3 4 2 2 4" xfId="1938" xr:uid="{694E1927-5A53-45EC-9714-4FBCABC47A9A}"/>
    <cellStyle name="Comma 3 4 2 3" xfId="509" xr:uid="{00000000-0005-0000-0000-0000FE010000}"/>
    <cellStyle name="Comma 3 4 2 3 2" xfId="510" xr:uid="{00000000-0005-0000-0000-0000FF010000}"/>
    <cellStyle name="Comma 3 4 2 3 2 2" xfId="1943" xr:uid="{D1FEDC0F-C509-43CF-A603-74178ABF987C}"/>
    <cellStyle name="Comma 3 4 2 3 3" xfId="1942" xr:uid="{848A6090-9E44-4B40-B22F-9F1E9FEE28C2}"/>
    <cellStyle name="Comma 3 4 2 4" xfId="511" xr:uid="{00000000-0005-0000-0000-000000020000}"/>
    <cellStyle name="Comma 3 4 2 4 2" xfId="1944" xr:uid="{0FD2A445-9A9D-44A3-9303-19BAEA71C186}"/>
    <cellStyle name="Comma 3 4 2 5" xfId="1937" xr:uid="{E285DE30-8FB7-4D8A-946F-48A2D1A95E49}"/>
    <cellStyle name="Comma 3 4 3" xfId="512" xr:uid="{00000000-0005-0000-0000-000001020000}"/>
    <cellStyle name="Comma 3 4 3 2" xfId="513" xr:uid="{00000000-0005-0000-0000-000002020000}"/>
    <cellStyle name="Comma 3 4 3 2 2" xfId="514" xr:uid="{00000000-0005-0000-0000-000003020000}"/>
    <cellStyle name="Comma 3 4 3 2 2 2" xfId="1947" xr:uid="{FD77BB0C-BFBB-46D0-8E4D-E8EB286E4EE5}"/>
    <cellStyle name="Comma 3 4 3 2 3" xfId="1946" xr:uid="{26F39545-E300-4205-84CD-C325670C686F}"/>
    <cellStyle name="Comma 3 4 3 3" xfId="515" xr:uid="{00000000-0005-0000-0000-000004020000}"/>
    <cellStyle name="Comma 3 4 3 3 2" xfId="1948" xr:uid="{3429A2B5-4114-4789-A0A2-594B71D50F3C}"/>
    <cellStyle name="Comma 3 4 3 4" xfId="1945" xr:uid="{1078B7B2-966A-4B1D-82AC-58F63F583863}"/>
    <cellStyle name="Comma 3 4 4" xfId="516" xr:uid="{00000000-0005-0000-0000-000005020000}"/>
    <cellStyle name="Comma 3 4 4 2" xfId="517" xr:uid="{00000000-0005-0000-0000-000006020000}"/>
    <cellStyle name="Comma 3 4 4 2 2" xfId="1950" xr:uid="{8B7FE6D1-B92E-489B-A17C-3FDC074248B5}"/>
    <cellStyle name="Comma 3 4 4 3" xfId="1949" xr:uid="{1D353675-C692-4FEC-9D61-77DC384C963C}"/>
    <cellStyle name="Comma 3 4 5" xfId="518" xr:uid="{00000000-0005-0000-0000-000007020000}"/>
    <cellStyle name="Comma 3 4 5 2" xfId="1951" xr:uid="{977C37D9-8631-45FF-870B-EADC9BCFB2AA}"/>
    <cellStyle name="Comma 3 4 6" xfId="1936" xr:uid="{F08A8ED7-0E35-468B-9699-53FF0288ABC8}"/>
    <cellStyle name="Comma 3 5" xfId="519" xr:uid="{00000000-0005-0000-0000-000008020000}"/>
    <cellStyle name="Comma 3 5 2" xfId="520" xr:uid="{00000000-0005-0000-0000-000009020000}"/>
    <cellStyle name="Comma 3 5 2 2" xfId="521" xr:uid="{00000000-0005-0000-0000-00000A020000}"/>
    <cellStyle name="Comma 3 5 2 2 2" xfId="522" xr:uid="{00000000-0005-0000-0000-00000B020000}"/>
    <cellStyle name="Comma 3 5 2 2 2 2" xfId="1955" xr:uid="{0AE88B7D-9F62-46A9-84EF-9AD505F2A256}"/>
    <cellStyle name="Comma 3 5 2 2 3" xfId="1954" xr:uid="{EC43F781-0202-4F78-AC4F-F67AD84EE585}"/>
    <cellStyle name="Comma 3 5 2 3" xfId="523" xr:uid="{00000000-0005-0000-0000-00000C020000}"/>
    <cellStyle name="Comma 3 5 2 3 2" xfId="1956" xr:uid="{FF1489B6-BCA4-4419-8AFB-3F0566663827}"/>
    <cellStyle name="Comma 3 5 2 4" xfId="1953" xr:uid="{64FC7760-6FC7-4A67-A65C-820619E95C01}"/>
    <cellStyle name="Comma 3 5 3" xfId="524" xr:uid="{00000000-0005-0000-0000-00000D020000}"/>
    <cellStyle name="Comma 3 5 3 2" xfId="525" xr:uid="{00000000-0005-0000-0000-00000E020000}"/>
    <cellStyle name="Comma 3 5 3 2 2" xfId="1958" xr:uid="{47E9D9C7-6562-494A-8B78-B8FD65C860EA}"/>
    <cellStyle name="Comma 3 5 3 3" xfId="1957" xr:uid="{A994F712-6257-40DE-8BC2-BA78C9C63C7A}"/>
    <cellStyle name="Comma 3 5 4" xfId="526" xr:uid="{00000000-0005-0000-0000-00000F020000}"/>
    <cellStyle name="Comma 3 5 4 2" xfId="1959" xr:uid="{A73F4ADF-A751-4923-885A-02C9535C742A}"/>
    <cellStyle name="Comma 3 5 5" xfId="1952" xr:uid="{E68B27F9-EB5C-4690-B894-F588F50DA8F1}"/>
    <cellStyle name="Comma 3 6" xfId="527" xr:uid="{00000000-0005-0000-0000-000010020000}"/>
    <cellStyle name="Comma 3 6 2" xfId="528" xr:uid="{00000000-0005-0000-0000-000011020000}"/>
    <cellStyle name="Comma 3 6 2 2" xfId="529" xr:uid="{00000000-0005-0000-0000-000012020000}"/>
    <cellStyle name="Comma 3 6 2 2 2" xfId="1962" xr:uid="{F4BD83FB-007C-4703-B9DB-99911711110F}"/>
    <cellStyle name="Comma 3 6 2 3" xfId="1961" xr:uid="{0D0144BE-4FAE-4F58-ADDF-DEA93F59BA27}"/>
    <cellStyle name="Comma 3 6 3" xfId="530" xr:uid="{00000000-0005-0000-0000-000013020000}"/>
    <cellStyle name="Comma 3 6 3 2" xfId="1963" xr:uid="{4AB1A27D-2720-467F-A84A-A5A2B03A1312}"/>
    <cellStyle name="Comma 3 6 4" xfId="1960" xr:uid="{1456AD1E-F781-4DA5-9E70-66CBDF1AA8AC}"/>
    <cellStyle name="Comma 3 7" xfId="531" xr:uid="{00000000-0005-0000-0000-000014020000}"/>
    <cellStyle name="Comma 3 7 2" xfId="532" xr:uid="{00000000-0005-0000-0000-000015020000}"/>
    <cellStyle name="Comma 3 7 2 2" xfId="1965" xr:uid="{0AC079C1-449D-4FA8-9E8E-FC47E718A6D2}"/>
    <cellStyle name="Comma 3 7 3" xfId="1964" xr:uid="{CB781B77-1B8A-4BB8-92C2-3A3404DDA23E}"/>
    <cellStyle name="Comma 3 8" xfId="533" xr:uid="{00000000-0005-0000-0000-000016020000}"/>
    <cellStyle name="Comma 3 8 2" xfId="1966" xr:uid="{652F7D56-4C2D-4BCB-8450-306D9FF6872B}"/>
    <cellStyle name="Comma 3 9" xfId="1478" xr:uid="{00000000-0005-0000-0000-000017020000}"/>
    <cellStyle name="Comma 3 9 2" xfId="2712" xr:uid="{1A8F3B0C-8024-4065-9A81-0B4B881EB8EB}"/>
    <cellStyle name="Comma 30" xfId="534" xr:uid="{00000000-0005-0000-0000-000018020000}"/>
    <cellStyle name="Comma 30 2" xfId="535" xr:uid="{00000000-0005-0000-0000-000019020000}"/>
    <cellStyle name="Comma 30 2 2" xfId="536" xr:uid="{00000000-0005-0000-0000-00001A020000}"/>
    <cellStyle name="Comma 30 2 2 2" xfId="537" xr:uid="{00000000-0005-0000-0000-00001B020000}"/>
    <cellStyle name="Comma 30 2 2 2 2" xfId="1970" xr:uid="{983DAE04-8E71-433E-8613-EC6A365636A5}"/>
    <cellStyle name="Comma 30 2 2 3" xfId="1969" xr:uid="{1098F42A-5538-4215-A37F-A612EAF99ECF}"/>
    <cellStyle name="Comma 30 2 3" xfId="538" xr:uid="{00000000-0005-0000-0000-00001C020000}"/>
    <cellStyle name="Comma 30 2 3 2" xfId="1971" xr:uid="{4B428D18-AA74-4FB1-BA8E-0E4A8584AB1F}"/>
    <cellStyle name="Comma 30 2 4" xfId="1968" xr:uid="{8F5CB68C-C209-4ECB-86A0-C9E40D61C435}"/>
    <cellStyle name="Comma 30 3" xfId="539" xr:uid="{00000000-0005-0000-0000-00001D020000}"/>
    <cellStyle name="Comma 30 3 2" xfId="540" xr:uid="{00000000-0005-0000-0000-00001E020000}"/>
    <cellStyle name="Comma 30 3 2 2" xfId="1973" xr:uid="{03085343-B342-4982-A48C-E924D0CD11F2}"/>
    <cellStyle name="Comma 30 3 3" xfId="1972" xr:uid="{03B3817F-6F78-4C9E-9A54-E55543184B44}"/>
    <cellStyle name="Comma 30 4" xfId="541" xr:uid="{00000000-0005-0000-0000-00001F020000}"/>
    <cellStyle name="Comma 30 4 2" xfId="1974" xr:uid="{77CA8F97-6623-4B4E-A512-96C3D08E43E2}"/>
    <cellStyle name="Comma 30 5" xfId="1967" xr:uid="{D314E85C-B710-4BF9-BA46-D1CFD3D73250}"/>
    <cellStyle name="Comma 31" xfId="542" xr:uid="{00000000-0005-0000-0000-000020020000}"/>
    <cellStyle name="Comma 31 2" xfId="543" xr:uid="{00000000-0005-0000-0000-000021020000}"/>
    <cellStyle name="Comma 31 2 2" xfId="544" xr:uid="{00000000-0005-0000-0000-000022020000}"/>
    <cellStyle name="Comma 31 2 2 2" xfId="545" xr:uid="{00000000-0005-0000-0000-000023020000}"/>
    <cellStyle name="Comma 31 2 2 2 2" xfId="1978" xr:uid="{AE9ED548-08CF-478A-B8E3-7CED2DB7BF3A}"/>
    <cellStyle name="Comma 31 2 2 3" xfId="1977" xr:uid="{DEF154CB-EA39-475E-948D-E7D7E6422D59}"/>
    <cellStyle name="Comma 31 2 3" xfId="546" xr:uid="{00000000-0005-0000-0000-000024020000}"/>
    <cellStyle name="Comma 31 2 3 2" xfId="1979" xr:uid="{9C525895-310E-4CC6-A4A0-53E7AF0E0A6C}"/>
    <cellStyle name="Comma 31 2 4" xfId="1976" xr:uid="{E4AB9C00-9B35-4B8A-8320-9937EAF0933C}"/>
    <cellStyle name="Comma 31 3" xfId="547" xr:uid="{00000000-0005-0000-0000-000025020000}"/>
    <cellStyle name="Comma 31 3 2" xfId="548" xr:uid="{00000000-0005-0000-0000-000026020000}"/>
    <cellStyle name="Comma 31 3 2 2" xfId="1981" xr:uid="{136C91B7-79FB-485F-80EF-45CDEE6937C2}"/>
    <cellStyle name="Comma 31 3 3" xfId="1980" xr:uid="{ED2D0FBB-EADF-4D0C-958C-08D533093CF5}"/>
    <cellStyle name="Comma 31 4" xfId="549" xr:uid="{00000000-0005-0000-0000-000027020000}"/>
    <cellStyle name="Comma 31 4 2" xfId="1982" xr:uid="{B506D8D5-1CF5-4FAE-938F-E2AB1C4C6E83}"/>
    <cellStyle name="Comma 31 5" xfId="1975" xr:uid="{F23AA80B-39D8-461F-9E5F-CA1051F89CA7}"/>
    <cellStyle name="Comma 32" xfId="550" xr:uid="{00000000-0005-0000-0000-000028020000}"/>
    <cellStyle name="Comma 32 2" xfId="551" xr:uid="{00000000-0005-0000-0000-000029020000}"/>
    <cellStyle name="Comma 32 2 2" xfId="552" xr:uid="{00000000-0005-0000-0000-00002A020000}"/>
    <cellStyle name="Comma 32 2 2 2" xfId="553" xr:uid="{00000000-0005-0000-0000-00002B020000}"/>
    <cellStyle name="Comma 32 2 2 2 2" xfId="1986" xr:uid="{DB583578-B753-47EA-BAE2-B8F57CCDA54E}"/>
    <cellStyle name="Comma 32 2 2 3" xfId="1985" xr:uid="{D1E57FE2-16F9-4408-86F0-BA21C065A5C7}"/>
    <cellStyle name="Comma 32 2 3" xfId="554" xr:uid="{00000000-0005-0000-0000-00002C020000}"/>
    <cellStyle name="Comma 32 2 3 2" xfId="1987" xr:uid="{E8F58BA9-6979-408B-B4F5-DD48362DF470}"/>
    <cellStyle name="Comma 32 2 4" xfId="1984" xr:uid="{88A448A9-6E4D-476D-B889-3F81C3190706}"/>
    <cellStyle name="Comma 32 3" xfId="555" xr:uid="{00000000-0005-0000-0000-00002D020000}"/>
    <cellStyle name="Comma 32 3 2" xfId="556" xr:uid="{00000000-0005-0000-0000-00002E020000}"/>
    <cellStyle name="Comma 32 3 2 2" xfId="1989" xr:uid="{E6964F63-2DF9-4ABE-8E86-DEB3C406C56B}"/>
    <cellStyle name="Comma 32 3 3" xfId="1988" xr:uid="{73E47EB3-24C3-4A75-8506-0BDBE9A1678E}"/>
    <cellStyle name="Comma 32 4" xfId="557" xr:uid="{00000000-0005-0000-0000-00002F020000}"/>
    <cellStyle name="Comma 32 4 2" xfId="1990" xr:uid="{6BEBA2EA-4104-4649-8444-D82DF0628C55}"/>
    <cellStyle name="Comma 32 5" xfId="1983" xr:uid="{1B66E8C2-76CD-4EE1-80F5-26840D7966AE}"/>
    <cellStyle name="Comma 33" xfId="558" xr:uid="{00000000-0005-0000-0000-000030020000}"/>
    <cellStyle name="Comma 33 2" xfId="559" xr:uid="{00000000-0005-0000-0000-000031020000}"/>
    <cellStyle name="Comma 33 2 2" xfId="560" xr:uid="{00000000-0005-0000-0000-000032020000}"/>
    <cellStyle name="Comma 33 2 2 2" xfId="561" xr:uid="{00000000-0005-0000-0000-000033020000}"/>
    <cellStyle name="Comma 33 2 2 2 2" xfId="1994" xr:uid="{0E4DA60E-79BF-4DCD-B089-C119870F8428}"/>
    <cellStyle name="Comma 33 2 2 3" xfId="1993" xr:uid="{BE8E1D9A-80C9-4756-B73F-CB2A2DA9283A}"/>
    <cellStyle name="Comma 33 2 3" xfId="562" xr:uid="{00000000-0005-0000-0000-000034020000}"/>
    <cellStyle name="Comma 33 2 3 2" xfId="1995" xr:uid="{DDE9AB8A-83C5-489C-97FE-15B82D8D52AF}"/>
    <cellStyle name="Comma 33 2 4" xfId="1992" xr:uid="{D0868F07-3BA1-4D55-8F4D-F6F87D016CA3}"/>
    <cellStyle name="Comma 33 3" xfId="563" xr:uid="{00000000-0005-0000-0000-000035020000}"/>
    <cellStyle name="Comma 33 3 2" xfId="564" xr:uid="{00000000-0005-0000-0000-000036020000}"/>
    <cellStyle name="Comma 33 3 2 2" xfId="1997" xr:uid="{A1797CDE-A722-40CF-956B-C944F40D8E1A}"/>
    <cellStyle name="Comma 33 3 3" xfId="1996" xr:uid="{1C2D3269-7762-44B4-A1F7-0EFDC29DF48C}"/>
    <cellStyle name="Comma 33 4" xfId="565" xr:uid="{00000000-0005-0000-0000-000037020000}"/>
    <cellStyle name="Comma 33 4 2" xfId="1998" xr:uid="{4F327017-88ED-47E5-B305-5179D3CA1366}"/>
    <cellStyle name="Comma 33 5" xfId="1991" xr:uid="{AA113D4C-2D2F-4CBF-84AA-ADB24A2FA729}"/>
    <cellStyle name="Comma 34" xfId="566" xr:uid="{00000000-0005-0000-0000-000038020000}"/>
    <cellStyle name="Comma 34 2" xfId="567" xr:uid="{00000000-0005-0000-0000-000039020000}"/>
    <cellStyle name="Comma 34 2 2" xfId="568" xr:uid="{00000000-0005-0000-0000-00003A020000}"/>
    <cellStyle name="Comma 34 2 2 2" xfId="569" xr:uid="{00000000-0005-0000-0000-00003B020000}"/>
    <cellStyle name="Comma 34 2 2 2 2" xfId="2002" xr:uid="{5B0B2705-F491-4E40-9D40-236A6C45B7E3}"/>
    <cellStyle name="Comma 34 2 2 3" xfId="2001" xr:uid="{D6034DD7-40B7-4E68-A98C-3ACE441B81F0}"/>
    <cellStyle name="Comma 34 2 3" xfId="570" xr:uid="{00000000-0005-0000-0000-00003C020000}"/>
    <cellStyle name="Comma 34 2 3 2" xfId="2003" xr:uid="{34FFDA5A-B77C-4E35-B526-96A20D7F7B6A}"/>
    <cellStyle name="Comma 34 2 4" xfId="2000" xr:uid="{CD0DEDB8-D59C-4C6A-A032-248ABCD65639}"/>
    <cellStyle name="Comma 34 3" xfId="571" xr:uid="{00000000-0005-0000-0000-00003D020000}"/>
    <cellStyle name="Comma 34 3 2" xfId="572" xr:uid="{00000000-0005-0000-0000-00003E020000}"/>
    <cellStyle name="Comma 34 3 2 2" xfId="2005" xr:uid="{EA9D34B0-4EFD-444D-A178-8433FBF61F0A}"/>
    <cellStyle name="Comma 34 3 3" xfId="2004" xr:uid="{208D2CFA-0E15-4DDA-9275-0CB584644F89}"/>
    <cellStyle name="Comma 34 4" xfId="573" xr:uid="{00000000-0005-0000-0000-00003F020000}"/>
    <cellStyle name="Comma 34 4 2" xfId="2006" xr:uid="{FBE423F6-F359-493C-A10A-61E40C6E9E5E}"/>
    <cellStyle name="Comma 34 5" xfId="1999" xr:uid="{00720E54-EA50-4705-A370-1A14B877FF3E}"/>
    <cellStyle name="Comma 35" xfId="574" xr:uid="{00000000-0005-0000-0000-000040020000}"/>
    <cellStyle name="Comma 35 2" xfId="575" xr:uid="{00000000-0005-0000-0000-000041020000}"/>
    <cellStyle name="Comma 35 2 2" xfId="576" xr:uid="{00000000-0005-0000-0000-000042020000}"/>
    <cellStyle name="Comma 35 2 2 2" xfId="2009" xr:uid="{58FB4007-E8AC-4C92-9A32-9B4A18BEEAB2}"/>
    <cellStyle name="Comma 35 2 3" xfId="2008" xr:uid="{E90254D5-E690-4FA3-A6F3-DDC4AF710106}"/>
    <cellStyle name="Comma 35 3" xfId="577" xr:uid="{00000000-0005-0000-0000-000043020000}"/>
    <cellStyle name="Comma 35 3 2" xfId="2010" xr:uid="{90E2AF35-0200-4F58-A51A-590D315C70A3}"/>
    <cellStyle name="Comma 35 4" xfId="2007" xr:uid="{F7FBD33A-75C8-415E-BF88-0256E57D2DD0}"/>
    <cellStyle name="Comma 36" xfId="578" xr:uid="{00000000-0005-0000-0000-000044020000}"/>
    <cellStyle name="Comma 36 2" xfId="579" xr:uid="{00000000-0005-0000-0000-000045020000}"/>
    <cellStyle name="Comma 36 2 2" xfId="2012" xr:uid="{86915EFE-9694-40A8-A6CA-1C7825064D91}"/>
    <cellStyle name="Comma 36 3" xfId="2011" xr:uid="{5FA07735-7E81-48A9-835B-45626500C87B}"/>
    <cellStyle name="Comma 37" xfId="580" xr:uid="{00000000-0005-0000-0000-000046020000}"/>
    <cellStyle name="Comma 37 2" xfId="581" xr:uid="{00000000-0005-0000-0000-000047020000}"/>
    <cellStyle name="Comma 37 2 2" xfId="2014" xr:uid="{6B9A7646-B001-4168-9614-117FCA17884F}"/>
    <cellStyle name="Comma 37 3" xfId="2013" xr:uid="{DFDE0B4D-F610-4C85-A0D8-4B8AEECCD9E0}"/>
    <cellStyle name="Comma 38" xfId="582" xr:uid="{00000000-0005-0000-0000-000048020000}"/>
    <cellStyle name="Comma 38 2" xfId="583" xr:uid="{00000000-0005-0000-0000-000049020000}"/>
    <cellStyle name="Comma 38 2 2" xfId="2016" xr:uid="{45F509D5-A86A-49D5-8E6C-90BE7E23D011}"/>
    <cellStyle name="Comma 38 3" xfId="2015" xr:uid="{543A7449-1036-4948-A727-76A53BDEBFD8}"/>
    <cellStyle name="Comma 39" xfId="584" xr:uid="{00000000-0005-0000-0000-00004A020000}"/>
    <cellStyle name="Comma 39 2" xfId="585" xr:uid="{00000000-0005-0000-0000-00004B020000}"/>
    <cellStyle name="Comma 39 2 2" xfId="2018" xr:uid="{6300895E-C0EF-46FB-B450-4D17123C17D2}"/>
    <cellStyle name="Comma 39 3" xfId="2017" xr:uid="{2DA460BA-85D9-4D4E-83A9-6CFA5C732840}"/>
    <cellStyle name="Comma 4" xfId="586" xr:uid="{00000000-0005-0000-0000-00004C020000}"/>
    <cellStyle name="Comma 4 10" xfId="2019" xr:uid="{AB3ECD00-3262-49A5-AE93-333680BA3613}"/>
    <cellStyle name="Comma 4 2" xfId="587" xr:uid="{00000000-0005-0000-0000-00004D020000}"/>
    <cellStyle name="Comma 4 2 2" xfId="588" xr:uid="{00000000-0005-0000-0000-00004E020000}"/>
    <cellStyle name="Comma 4 2 2 2" xfId="589" xr:uid="{00000000-0005-0000-0000-00004F020000}"/>
    <cellStyle name="Comma 4 2 2 2 2" xfId="590" xr:uid="{00000000-0005-0000-0000-000050020000}"/>
    <cellStyle name="Comma 4 2 2 2 2 2" xfId="591" xr:uid="{00000000-0005-0000-0000-000051020000}"/>
    <cellStyle name="Comma 4 2 2 2 2 2 2" xfId="592" xr:uid="{00000000-0005-0000-0000-000052020000}"/>
    <cellStyle name="Comma 4 2 2 2 2 2 2 2" xfId="2025" xr:uid="{16B6AD9B-CBF0-43BD-A03B-484DDB7B2815}"/>
    <cellStyle name="Comma 4 2 2 2 2 2 3" xfId="2024" xr:uid="{12641EFD-B5E4-41BA-902E-3CA1742AF82A}"/>
    <cellStyle name="Comma 4 2 2 2 2 3" xfId="593" xr:uid="{00000000-0005-0000-0000-000053020000}"/>
    <cellStyle name="Comma 4 2 2 2 2 3 2" xfId="2026" xr:uid="{71AD4302-AB75-4100-8FC9-E1D4CB560CB7}"/>
    <cellStyle name="Comma 4 2 2 2 2 4" xfId="2023" xr:uid="{66AB34C6-9444-46CB-AD3E-50FC6B4F08ED}"/>
    <cellStyle name="Comma 4 2 2 2 3" xfId="594" xr:uid="{00000000-0005-0000-0000-000054020000}"/>
    <cellStyle name="Comma 4 2 2 2 3 2" xfId="595" xr:uid="{00000000-0005-0000-0000-000055020000}"/>
    <cellStyle name="Comma 4 2 2 2 3 2 2" xfId="2028" xr:uid="{B483BCD8-B9D7-466F-8E11-84CF8D05E838}"/>
    <cellStyle name="Comma 4 2 2 2 3 3" xfId="2027" xr:uid="{DEF3473B-FD2C-4185-BDFF-521D1035CB56}"/>
    <cellStyle name="Comma 4 2 2 2 4" xfId="596" xr:uid="{00000000-0005-0000-0000-000056020000}"/>
    <cellStyle name="Comma 4 2 2 2 4 2" xfId="2029" xr:uid="{157C6B1A-037B-40B0-8728-AE719C088A8A}"/>
    <cellStyle name="Comma 4 2 2 2 5" xfId="2022" xr:uid="{C1B55A72-373B-4491-AE54-3121AD73C9FE}"/>
    <cellStyle name="Comma 4 2 2 3" xfId="597" xr:uid="{00000000-0005-0000-0000-000057020000}"/>
    <cellStyle name="Comma 4 2 2 3 2" xfId="598" xr:uid="{00000000-0005-0000-0000-000058020000}"/>
    <cellStyle name="Comma 4 2 2 3 2 2" xfId="599" xr:uid="{00000000-0005-0000-0000-000059020000}"/>
    <cellStyle name="Comma 4 2 2 3 2 2 2" xfId="2032" xr:uid="{758D589C-317A-4974-A6C8-BBEBCDFBA415}"/>
    <cellStyle name="Comma 4 2 2 3 2 3" xfId="2031" xr:uid="{4F5D6E0D-CD00-487D-ABE4-4FFE4B9A0190}"/>
    <cellStyle name="Comma 4 2 2 3 3" xfId="600" xr:uid="{00000000-0005-0000-0000-00005A020000}"/>
    <cellStyle name="Comma 4 2 2 3 3 2" xfId="2033" xr:uid="{9019BA2A-0E87-4E8C-9064-C1F1DFFB93A9}"/>
    <cellStyle name="Comma 4 2 2 3 4" xfId="2030" xr:uid="{508A1557-B69E-423A-A445-EAA3C9646940}"/>
    <cellStyle name="Comma 4 2 2 4" xfId="601" xr:uid="{00000000-0005-0000-0000-00005B020000}"/>
    <cellStyle name="Comma 4 2 2 4 2" xfId="602" xr:uid="{00000000-0005-0000-0000-00005C020000}"/>
    <cellStyle name="Comma 4 2 2 4 2 2" xfId="2035" xr:uid="{30E6F958-4AB2-4E1B-AA7C-BECF3796B59D}"/>
    <cellStyle name="Comma 4 2 2 4 3" xfId="2034" xr:uid="{180B6838-1676-4949-8684-E450B295CE66}"/>
    <cellStyle name="Comma 4 2 2 5" xfId="603" xr:uid="{00000000-0005-0000-0000-00005D020000}"/>
    <cellStyle name="Comma 4 2 2 5 2" xfId="2036" xr:uid="{DC73D61F-73B0-4754-9753-25292744D068}"/>
    <cellStyle name="Comma 4 2 2 6" xfId="2021" xr:uid="{39D67402-DE77-4BEA-B9F2-38E16F63FCCC}"/>
    <cellStyle name="Comma 4 2 3" xfId="604" xr:uid="{00000000-0005-0000-0000-00005E020000}"/>
    <cellStyle name="Comma 4 2 3 2" xfId="605" xr:uid="{00000000-0005-0000-0000-00005F020000}"/>
    <cellStyle name="Comma 4 2 3 2 2" xfId="606" xr:uid="{00000000-0005-0000-0000-000060020000}"/>
    <cellStyle name="Comma 4 2 3 2 2 2" xfId="607" xr:uid="{00000000-0005-0000-0000-000061020000}"/>
    <cellStyle name="Comma 4 2 3 2 2 2 2" xfId="2040" xr:uid="{6DC3841B-9636-4415-B7D3-D2CD2BD3E9FA}"/>
    <cellStyle name="Comma 4 2 3 2 2 3" xfId="2039" xr:uid="{8218E08F-ABAF-4F67-93C8-E0F8FBD8AABF}"/>
    <cellStyle name="Comma 4 2 3 2 3" xfId="608" xr:uid="{00000000-0005-0000-0000-000062020000}"/>
    <cellStyle name="Comma 4 2 3 2 3 2" xfId="2041" xr:uid="{C3DC9A5E-72BE-4F37-B7D8-B8199A8FA470}"/>
    <cellStyle name="Comma 4 2 3 2 4" xfId="2038" xr:uid="{7F7502FB-913A-4BAE-B041-1F2F5773591D}"/>
    <cellStyle name="Comma 4 2 3 3" xfId="609" xr:uid="{00000000-0005-0000-0000-000063020000}"/>
    <cellStyle name="Comma 4 2 3 3 2" xfId="610" xr:uid="{00000000-0005-0000-0000-000064020000}"/>
    <cellStyle name="Comma 4 2 3 3 2 2" xfId="2043" xr:uid="{57C9AE52-9330-4BD0-9ED2-4106AE46BEA0}"/>
    <cellStyle name="Comma 4 2 3 3 3" xfId="2042" xr:uid="{501FF520-FF5C-4F10-A51D-11D5DD627189}"/>
    <cellStyle name="Comma 4 2 3 4" xfId="611" xr:uid="{00000000-0005-0000-0000-000065020000}"/>
    <cellStyle name="Comma 4 2 3 4 2" xfId="2044" xr:uid="{88EE3EF8-6C6F-4A8F-B3FB-33CB97C5F97B}"/>
    <cellStyle name="Comma 4 2 3 5" xfId="2037" xr:uid="{443DAD6F-091B-49A8-910F-8B66FC224C94}"/>
    <cellStyle name="Comma 4 2 4" xfId="612" xr:uid="{00000000-0005-0000-0000-000066020000}"/>
    <cellStyle name="Comma 4 2 4 2" xfId="613" xr:uid="{00000000-0005-0000-0000-000067020000}"/>
    <cellStyle name="Comma 4 2 4 2 2" xfId="614" xr:uid="{00000000-0005-0000-0000-000068020000}"/>
    <cellStyle name="Comma 4 2 4 2 2 2" xfId="2047" xr:uid="{C939729A-BAA7-478E-BC52-32BFF3FE26AD}"/>
    <cellStyle name="Comma 4 2 4 2 3" xfId="2046" xr:uid="{E993F9C6-7C95-4DBB-A68D-D5AB679223AD}"/>
    <cellStyle name="Comma 4 2 4 3" xfId="615" xr:uid="{00000000-0005-0000-0000-000069020000}"/>
    <cellStyle name="Comma 4 2 4 3 2" xfId="2048" xr:uid="{C84AEEC0-FF44-4FDD-ADF4-BC1D20DE63B1}"/>
    <cellStyle name="Comma 4 2 4 4" xfId="2045" xr:uid="{7BD187F0-9BB1-416A-97C9-CAC7192E5878}"/>
    <cellStyle name="Comma 4 2 5" xfId="616" xr:uid="{00000000-0005-0000-0000-00006A020000}"/>
    <cellStyle name="Comma 4 2 5 2" xfId="617" xr:uid="{00000000-0005-0000-0000-00006B020000}"/>
    <cellStyle name="Comma 4 2 5 2 2" xfId="2050" xr:uid="{360D810F-FBCB-467B-A091-10BC9883AEF9}"/>
    <cellStyle name="Comma 4 2 5 3" xfId="2049" xr:uid="{EA325550-016B-4C99-A06D-1E0B745BD4B0}"/>
    <cellStyle name="Comma 4 2 6" xfId="618" xr:uid="{00000000-0005-0000-0000-00006C020000}"/>
    <cellStyle name="Comma 4 2 6 2" xfId="2051" xr:uid="{C0999A12-5A1E-49E1-9A5D-414DEA88CBB4}"/>
    <cellStyle name="Comma 4 2 7" xfId="2020" xr:uid="{DF71F12D-D199-48DB-A663-D7B1E0FC4618}"/>
    <cellStyle name="Comma 4 3" xfId="619" xr:uid="{00000000-0005-0000-0000-00006D020000}"/>
    <cellStyle name="Comma 4 3 2" xfId="620" xr:uid="{00000000-0005-0000-0000-00006E020000}"/>
    <cellStyle name="Comma 4 3 2 2" xfId="621" xr:uid="{00000000-0005-0000-0000-00006F020000}"/>
    <cellStyle name="Comma 4 3 2 2 2" xfId="622" xr:uid="{00000000-0005-0000-0000-000070020000}"/>
    <cellStyle name="Comma 4 3 2 2 2 2" xfId="623" xr:uid="{00000000-0005-0000-0000-000071020000}"/>
    <cellStyle name="Comma 4 3 2 2 2 2 2" xfId="2056" xr:uid="{53E01F28-8BAE-4C0C-B1B8-B3357C3A753F}"/>
    <cellStyle name="Comma 4 3 2 2 2 3" xfId="2055" xr:uid="{BCEDC8B8-4A17-48BF-9D19-5877121B235B}"/>
    <cellStyle name="Comma 4 3 2 2 3" xfId="624" xr:uid="{00000000-0005-0000-0000-000072020000}"/>
    <cellStyle name="Comma 4 3 2 2 3 2" xfId="2057" xr:uid="{6F6961EB-CDA4-49A4-8104-FB448BCD8A7B}"/>
    <cellStyle name="Comma 4 3 2 2 4" xfId="2054" xr:uid="{EE391CFD-1EB9-4765-B15C-C77A48421AFF}"/>
    <cellStyle name="Comma 4 3 2 3" xfId="625" xr:uid="{00000000-0005-0000-0000-000073020000}"/>
    <cellStyle name="Comma 4 3 2 3 2" xfId="626" xr:uid="{00000000-0005-0000-0000-000074020000}"/>
    <cellStyle name="Comma 4 3 2 3 2 2" xfId="2059" xr:uid="{DDC3E05B-D205-4AFC-B835-F19DAC98C718}"/>
    <cellStyle name="Comma 4 3 2 3 3" xfId="2058" xr:uid="{F4A44968-5958-4382-9232-385D985320FF}"/>
    <cellStyle name="Comma 4 3 2 4" xfId="627" xr:uid="{00000000-0005-0000-0000-000075020000}"/>
    <cellStyle name="Comma 4 3 2 4 2" xfId="2060" xr:uid="{CA41071D-B0BA-461F-86E4-CEFC56509FC0}"/>
    <cellStyle name="Comma 4 3 2 5" xfId="2053" xr:uid="{4659C205-B2CA-412A-B348-A311E66D46CE}"/>
    <cellStyle name="Comma 4 3 3" xfId="628" xr:uid="{00000000-0005-0000-0000-000076020000}"/>
    <cellStyle name="Comma 4 3 3 2" xfId="629" xr:uid="{00000000-0005-0000-0000-000077020000}"/>
    <cellStyle name="Comma 4 3 3 2 2" xfId="630" xr:uid="{00000000-0005-0000-0000-000078020000}"/>
    <cellStyle name="Comma 4 3 3 2 2 2" xfId="2063" xr:uid="{D71917A2-4DA8-4039-BA64-2C971559C6CD}"/>
    <cellStyle name="Comma 4 3 3 2 3" xfId="2062" xr:uid="{EFDA62E6-2DBA-481D-ABCC-16A5210E5D62}"/>
    <cellStyle name="Comma 4 3 3 3" xfId="631" xr:uid="{00000000-0005-0000-0000-000079020000}"/>
    <cellStyle name="Comma 4 3 3 3 2" xfId="2064" xr:uid="{589FD678-D5E4-4A7B-81BF-1725CE0C2047}"/>
    <cellStyle name="Comma 4 3 3 4" xfId="2061" xr:uid="{6AF0525A-EE96-4F8A-978D-A237C80F3360}"/>
    <cellStyle name="Comma 4 3 4" xfId="632" xr:uid="{00000000-0005-0000-0000-00007A020000}"/>
    <cellStyle name="Comma 4 3 4 2" xfId="633" xr:uid="{00000000-0005-0000-0000-00007B020000}"/>
    <cellStyle name="Comma 4 3 4 2 2" xfId="2066" xr:uid="{473990DC-82F0-4026-AC07-61CA658093BC}"/>
    <cellStyle name="Comma 4 3 4 3" xfId="2065" xr:uid="{D65393B3-7AB4-48F7-8007-75DAA3A0FB50}"/>
    <cellStyle name="Comma 4 3 5" xfId="634" xr:uid="{00000000-0005-0000-0000-00007C020000}"/>
    <cellStyle name="Comma 4 3 5 2" xfId="2067" xr:uid="{AE138572-915D-4B43-AC49-4C828E945597}"/>
    <cellStyle name="Comma 4 3 6" xfId="2052" xr:uid="{C5522D91-7C14-4B71-904C-CF87A118CF7E}"/>
    <cellStyle name="Comma 4 4" xfId="635" xr:uid="{00000000-0005-0000-0000-00007D020000}"/>
    <cellStyle name="Comma 4 4 2" xfId="636" xr:uid="{00000000-0005-0000-0000-00007E020000}"/>
    <cellStyle name="Comma 4 4 2 2" xfId="637" xr:uid="{00000000-0005-0000-0000-00007F020000}"/>
    <cellStyle name="Comma 4 4 2 2 2" xfId="638" xr:uid="{00000000-0005-0000-0000-000080020000}"/>
    <cellStyle name="Comma 4 4 2 2 2 2" xfId="639" xr:uid="{00000000-0005-0000-0000-000081020000}"/>
    <cellStyle name="Comma 4 4 2 2 2 2 2" xfId="2072" xr:uid="{66755E97-32B2-417C-A52E-DEF77F8B2144}"/>
    <cellStyle name="Comma 4 4 2 2 2 3" xfId="2071" xr:uid="{20B4E085-8DEF-4D00-AA92-BDDC18BA0AA9}"/>
    <cellStyle name="Comma 4 4 2 2 3" xfId="640" xr:uid="{00000000-0005-0000-0000-000082020000}"/>
    <cellStyle name="Comma 4 4 2 2 3 2" xfId="2073" xr:uid="{9C683B96-B0A3-4529-9CC4-3D21D0BF68F8}"/>
    <cellStyle name="Comma 4 4 2 2 4" xfId="2070" xr:uid="{97B4B940-12E0-4468-BEBF-56F420F21F89}"/>
    <cellStyle name="Comma 4 4 2 3" xfId="641" xr:uid="{00000000-0005-0000-0000-000083020000}"/>
    <cellStyle name="Comma 4 4 2 3 2" xfId="642" xr:uid="{00000000-0005-0000-0000-000084020000}"/>
    <cellStyle name="Comma 4 4 2 3 2 2" xfId="2075" xr:uid="{5F3987D5-D177-4FB4-94C8-45C0D3B23123}"/>
    <cellStyle name="Comma 4 4 2 3 3" xfId="2074" xr:uid="{EE7DA2D5-09AC-4DD5-A0A0-E6F56D9ADC11}"/>
    <cellStyle name="Comma 4 4 2 4" xfId="643" xr:uid="{00000000-0005-0000-0000-000085020000}"/>
    <cellStyle name="Comma 4 4 2 4 2" xfId="2076" xr:uid="{1396F385-EF6F-4582-9EB8-5CDF268AF335}"/>
    <cellStyle name="Comma 4 4 2 5" xfId="2069" xr:uid="{A75E959E-B4BF-4A9D-9E3B-9F2E40706910}"/>
    <cellStyle name="Comma 4 4 3" xfId="644" xr:uid="{00000000-0005-0000-0000-000086020000}"/>
    <cellStyle name="Comma 4 4 3 2" xfId="645" xr:uid="{00000000-0005-0000-0000-000087020000}"/>
    <cellStyle name="Comma 4 4 3 2 2" xfId="646" xr:uid="{00000000-0005-0000-0000-000088020000}"/>
    <cellStyle name="Comma 4 4 3 2 2 2" xfId="2079" xr:uid="{566B54E2-BD16-4435-8B67-CC989811DF88}"/>
    <cellStyle name="Comma 4 4 3 2 3" xfId="2078" xr:uid="{1D37890A-9FDB-4AC8-A033-4A5A00413FBD}"/>
    <cellStyle name="Comma 4 4 3 3" xfId="647" xr:uid="{00000000-0005-0000-0000-000089020000}"/>
    <cellStyle name="Comma 4 4 3 3 2" xfId="2080" xr:uid="{E09ED0C8-FA64-4D72-9E57-6DDEA38F9010}"/>
    <cellStyle name="Comma 4 4 3 4" xfId="2077" xr:uid="{B8FDD891-9237-481A-AC06-50294281CE53}"/>
    <cellStyle name="Comma 4 4 4" xfId="648" xr:uid="{00000000-0005-0000-0000-00008A020000}"/>
    <cellStyle name="Comma 4 4 4 2" xfId="649" xr:uid="{00000000-0005-0000-0000-00008B020000}"/>
    <cellStyle name="Comma 4 4 4 2 2" xfId="2082" xr:uid="{51D4D23A-77C8-4984-B666-748226B60F26}"/>
    <cellStyle name="Comma 4 4 4 3" xfId="2081" xr:uid="{45985728-7C63-4A87-BB73-7C04B5BB0CCE}"/>
    <cellStyle name="Comma 4 4 5" xfId="650" xr:uid="{00000000-0005-0000-0000-00008C020000}"/>
    <cellStyle name="Comma 4 4 5 2" xfId="2083" xr:uid="{11281ED7-AD4B-4A06-A5C2-B4FA6570DF86}"/>
    <cellStyle name="Comma 4 4 6" xfId="2068" xr:uid="{673F357A-58F8-44CA-A87D-DF8DB577873C}"/>
    <cellStyle name="Comma 4 5" xfId="651" xr:uid="{00000000-0005-0000-0000-00008D020000}"/>
    <cellStyle name="Comma 4 6" xfId="652" xr:uid="{00000000-0005-0000-0000-00008E020000}"/>
    <cellStyle name="Comma 4 6 2" xfId="653" xr:uid="{00000000-0005-0000-0000-00008F020000}"/>
    <cellStyle name="Comma 4 6 2 2" xfId="654" xr:uid="{00000000-0005-0000-0000-000090020000}"/>
    <cellStyle name="Comma 4 6 2 2 2" xfId="655" xr:uid="{00000000-0005-0000-0000-000091020000}"/>
    <cellStyle name="Comma 4 6 2 2 2 2" xfId="2087" xr:uid="{9A569790-5FFD-41E4-934E-362A2B5EEF3F}"/>
    <cellStyle name="Comma 4 6 2 2 3" xfId="2086" xr:uid="{641CF470-6023-4BCE-997F-0690E358CF61}"/>
    <cellStyle name="Comma 4 6 2 3" xfId="656" xr:uid="{00000000-0005-0000-0000-000092020000}"/>
    <cellStyle name="Comma 4 6 2 3 2" xfId="2088" xr:uid="{6628AA95-7A25-4EA0-B959-EA9BC1AC2DF1}"/>
    <cellStyle name="Comma 4 6 2 4" xfId="2085" xr:uid="{EBE6155C-F352-4C3A-8EA3-302192FACA0E}"/>
    <cellStyle name="Comma 4 6 3" xfId="657" xr:uid="{00000000-0005-0000-0000-000093020000}"/>
    <cellStyle name="Comma 4 6 3 2" xfId="658" xr:uid="{00000000-0005-0000-0000-000094020000}"/>
    <cellStyle name="Comma 4 6 3 2 2" xfId="2090" xr:uid="{87146610-AEA2-4898-A26E-70496849AC01}"/>
    <cellStyle name="Comma 4 6 3 3" xfId="2089" xr:uid="{90CBE998-667B-4EFC-BA9D-BAB10E68FCCA}"/>
    <cellStyle name="Comma 4 6 4" xfId="659" xr:uid="{00000000-0005-0000-0000-000095020000}"/>
    <cellStyle name="Comma 4 6 4 2" xfId="2091" xr:uid="{FAEBB22E-98BB-4C6E-87CE-5A930D1AF6CD}"/>
    <cellStyle name="Comma 4 6 5" xfId="2084" xr:uid="{B2D1C6B7-CD51-473E-8430-749FEF9A7ECE}"/>
    <cellStyle name="Comma 4 7" xfId="660" xr:uid="{00000000-0005-0000-0000-000096020000}"/>
    <cellStyle name="Comma 4 7 2" xfId="661" xr:uid="{00000000-0005-0000-0000-000097020000}"/>
    <cellStyle name="Comma 4 7 2 2" xfId="662" xr:uid="{00000000-0005-0000-0000-000098020000}"/>
    <cellStyle name="Comma 4 7 2 2 2" xfId="2094" xr:uid="{83E8BF37-BD71-4E30-AD7E-DE8826CA65F0}"/>
    <cellStyle name="Comma 4 7 2 3" xfId="2093" xr:uid="{2E6677BB-31B4-48CB-B584-BD362E1A0C44}"/>
    <cellStyle name="Comma 4 7 3" xfId="663" xr:uid="{00000000-0005-0000-0000-000099020000}"/>
    <cellStyle name="Comma 4 7 3 2" xfId="2095" xr:uid="{AEE066F9-BE1A-4D40-985F-6B9AD6E22260}"/>
    <cellStyle name="Comma 4 7 4" xfId="2092" xr:uid="{D6DAD6BE-EF6D-450E-B848-50F97F9BFAE6}"/>
    <cellStyle name="Comma 4 8" xfId="664" xr:uid="{00000000-0005-0000-0000-00009A020000}"/>
    <cellStyle name="Comma 4 8 2" xfId="665" xr:uid="{00000000-0005-0000-0000-00009B020000}"/>
    <cellStyle name="Comma 4 8 2 2" xfId="2097" xr:uid="{AAD47645-4A50-4D7A-8A4B-5774D2D56452}"/>
    <cellStyle name="Comma 4 8 3" xfId="2096" xr:uid="{5E30810D-2950-4212-9646-A6867BADAA01}"/>
    <cellStyle name="Comma 4 9" xfId="666" xr:uid="{00000000-0005-0000-0000-00009C020000}"/>
    <cellStyle name="Comma 4 9 2" xfId="2098" xr:uid="{8C3CB317-E31B-4C9A-9796-E94CCF484939}"/>
    <cellStyle name="Comma 40" xfId="667" xr:uid="{00000000-0005-0000-0000-00009D020000}"/>
    <cellStyle name="Comma 40 2" xfId="2099" xr:uid="{E7076C88-D2BA-448D-B590-3EC4C91F8E32}"/>
    <cellStyle name="Comma 41" xfId="668" xr:uid="{00000000-0005-0000-0000-00009E020000}"/>
    <cellStyle name="Comma 41 2" xfId="2100" xr:uid="{E8DF9FA5-40E0-44C2-B924-0DCD78C4F342}"/>
    <cellStyle name="Comma 42" xfId="669" xr:uid="{00000000-0005-0000-0000-00009F020000}"/>
    <cellStyle name="Comma 42 2" xfId="2101" xr:uid="{096483A0-4C1C-4855-B1AD-D7DA9E60EC11}"/>
    <cellStyle name="Comma 43" xfId="670" xr:uid="{00000000-0005-0000-0000-0000A0020000}"/>
    <cellStyle name="Comma 43 2" xfId="2102" xr:uid="{20E3FBE2-6383-4419-A6E3-E94CC3381A66}"/>
    <cellStyle name="Comma 44" xfId="671" xr:uid="{00000000-0005-0000-0000-0000A1020000}"/>
    <cellStyle name="Comma 44 2" xfId="2103" xr:uid="{CB12A917-B72A-430F-B422-905B77B04CF7}"/>
    <cellStyle name="Comma 44 3" xfId="2717" xr:uid="{0BE32326-80FF-4921-84AC-08545BAFC340}"/>
    <cellStyle name="Comma 45" xfId="2707" xr:uid="{246BD9AF-3320-4280-B3DF-0E53D94AEFB1}"/>
    <cellStyle name="Comma 5" xfId="672" xr:uid="{00000000-0005-0000-0000-0000A2020000}"/>
    <cellStyle name="Comma 5 2" xfId="673" xr:uid="{00000000-0005-0000-0000-0000A3020000}"/>
    <cellStyle name="Comma 5 2 2" xfId="674" xr:uid="{00000000-0005-0000-0000-0000A4020000}"/>
    <cellStyle name="Comma 5 2 2 2" xfId="675" xr:uid="{00000000-0005-0000-0000-0000A5020000}"/>
    <cellStyle name="Comma 5 2 2 2 2" xfId="676" xr:uid="{00000000-0005-0000-0000-0000A6020000}"/>
    <cellStyle name="Comma 5 2 2 2 2 2" xfId="677" xr:uid="{00000000-0005-0000-0000-0000A7020000}"/>
    <cellStyle name="Comma 5 2 2 2 2 2 2" xfId="2109" xr:uid="{4A236611-8E3D-4CCF-8572-05F1831CEBD0}"/>
    <cellStyle name="Comma 5 2 2 2 2 3" xfId="2108" xr:uid="{A1A5B6A6-636C-455B-AC49-BE33567F28C3}"/>
    <cellStyle name="Comma 5 2 2 2 3" xfId="678" xr:uid="{00000000-0005-0000-0000-0000A8020000}"/>
    <cellStyle name="Comma 5 2 2 2 3 2" xfId="2110" xr:uid="{3735ECA1-AE32-4F1F-A12B-2ED8F8E0AE34}"/>
    <cellStyle name="Comma 5 2 2 2 4" xfId="2107" xr:uid="{357BE275-3862-4B10-848F-9B292B6C1D09}"/>
    <cellStyle name="Comma 5 2 2 3" xfId="679" xr:uid="{00000000-0005-0000-0000-0000A9020000}"/>
    <cellStyle name="Comma 5 2 2 3 2" xfId="680" xr:uid="{00000000-0005-0000-0000-0000AA020000}"/>
    <cellStyle name="Comma 5 2 2 3 2 2" xfId="2112" xr:uid="{2B5C52CF-2745-48D6-BEFD-C4965CA47667}"/>
    <cellStyle name="Comma 5 2 2 3 3" xfId="2111" xr:uid="{39C61335-E890-49B0-B297-A61E2FBB5B55}"/>
    <cellStyle name="Comma 5 2 2 4" xfId="681" xr:uid="{00000000-0005-0000-0000-0000AB020000}"/>
    <cellStyle name="Comma 5 2 2 4 2" xfId="2113" xr:uid="{C30FECFF-A0FB-4F52-8982-F945AB603BAB}"/>
    <cellStyle name="Comma 5 2 2 5" xfId="2106" xr:uid="{69BBC15E-814E-415E-BCC8-8559D0BBF98E}"/>
    <cellStyle name="Comma 5 2 3" xfId="682" xr:uid="{00000000-0005-0000-0000-0000AC020000}"/>
    <cellStyle name="Comma 5 2 3 2" xfId="683" xr:uid="{00000000-0005-0000-0000-0000AD020000}"/>
    <cellStyle name="Comma 5 2 3 2 2" xfId="684" xr:uid="{00000000-0005-0000-0000-0000AE020000}"/>
    <cellStyle name="Comma 5 2 3 2 2 2" xfId="2116" xr:uid="{BFC67AC7-C208-4214-8A8F-B39FD3A9CC01}"/>
    <cellStyle name="Comma 5 2 3 2 3" xfId="2115" xr:uid="{4E2547A4-13C9-4D04-B3FC-737F69C59BD1}"/>
    <cellStyle name="Comma 5 2 3 3" xfId="685" xr:uid="{00000000-0005-0000-0000-0000AF020000}"/>
    <cellStyle name="Comma 5 2 3 3 2" xfId="2117" xr:uid="{8FB35245-E829-41DD-A9EE-7874BE5BD258}"/>
    <cellStyle name="Comma 5 2 3 4" xfId="2114" xr:uid="{4635DAA0-6703-436B-8D70-FF6FD0765DA9}"/>
    <cellStyle name="Comma 5 2 4" xfId="686" xr:uid="{00000000-0005-0000-0000-0000B0020000}"/>
    <cellStyle name="Comma 5 2 4 2" xfId="687" xr:uid="{00000000-0005-0000-0000-0000B1020000}"/>
    <cellStyle name="Comma 5 2 4 2 2" xfId="2119" xr:uid="{4C20D579-8F79-4A7A-98EF-D8390BCBDE30}"/>
    <cellStyle name="Comma 5 2 4 3" xfId="2118" xr:uid="{F7CB691A-7CD5-41F3-A69F-054392787CC2}"/>
    <cellStyle name="Comma 5 2 5" xfId="688" xr:uid="{00000000-0005-0000-0000-0000B2020000}"/>
    <cellStyle name="Comma 5 2 5 2" xfId="2120" xr:uid="{CDF26DC1-AEEF-4111-9268-DB7A4DAD07E4}"/>
    <cellStyle name="Comma 5 2 6" xfId="2105" xr:uid="{F4C82655-B701-4983-9999-BE6E13DCC9DD}"/>
    <cellStyle name="Comma 5 3" xfId="689" xr:uid="{00000000-0005-0000-0000-0000B3020000}"/>
    <cellStyle name="Comma 5 3 2" xfId="690" xr:uid="{00000000-0005-0000-0000-0000B4020000}"/>
    <cellStyle name="Comma 5 3 2 2" xfId="691" xr:uid="{00000000-0005-0000-0000-0000B5020000}"/>
    <cellStyle name="Comma 5 3 2 2 2" xfId="692" xr:uid="{00000000-0005-0000-0000-0000B6020000}"/>
    <cellStyle name="Comma 5 3 2 2 2 2" xfId="2124" xr:uid="{CAFB55FE-589A-42F9-969D-BCD826CE6B98}"/>
    <cellStyle name="Comma 5 3 2 2 3" xfId="2123" xr:uid="{BE890C26-5DFA-4B64-829E-CB0D98466C2E}"/>
    <cellStyle name="Comma 5 3 2 3" xfId="693" xr:uid="{00000000-0005-0000-0000-0000B7020000}"/>
    <cellStyle name="Comma 5 3 2 3 2" xfId="2125" xr:uid="{42AD5427-567A-45EA-873B-1EC90AB44779}"/>
    <cellStyle name="Comma 5 3 2 4" xfId="2122" xr:uid="{0AADF5E9-69B1-4D6A-B7FA-A62D446434C9}"/>
    <cellStyle name="Comma 5 3 3" xfId="694" xr:uid="{00000000-0005-0000-0000-0000B8020000}"/>
    <cellStyle name="Comma 5 3 3 2" xfId="695" xr:uid="{00000000-0005-0000-0000-0000B9020000}"/>
    <cellStyle name="Comma 5 3 3 2 2" xfId="2127" xr:uid="{5E77B535-B3AA-4FEA-BF03-6A7961269147}"/>
    <cellStyle name="Comma 5 3 3 3" xfId="2126" xr:uid="{15C8AA05-BFBD-4D16-BB16-F90EF350583C}"/>
    <cellStyle name="Comma 5 3 4" xfId="696" xr:uid="{00000000-0005-0000-0000-0000BA020000}"/>
    <cellStyle name="Comma 5 3 4 2" xfId="2128" xr:uid="{146791BC-D87B-4C06-AC48-23E9E680865E}"/>
    <cellStyle name="Comma 5 3 5" xfId="2121" xr:uid="{7A0E94B7-373E-499E-85EA-5F8EF242EEA0}"/>
    <cellStyle name="Comma 5 4" xfId="697" xr:uid="{00000000-0005-0000-0000-0000BB020000}"/>
    <cellStyle name="Comma 5 4 2" xfId="698" xr:uid="{00000000-0005-0000-0000-0000BC020000}"/>
    <cellStyle name="Comma 5 4 2 2" xfId="699" xr:uid="{00000000-0005-0000-0000-0000BD020000}"/>
    <cellStyle name="Comma 5 4 2 2 2" xfId="2131" xr:uid="{CE548934-9A06-403A-93B7-CDC1606CA90C}"/>
    <cellStyle name="Comma 5 4 2 3" xfId="2130" xr:uid="{908C0B15-B70F-41F0-93FB-4394F8945262}"/>
    <cellStyle name="Comma 5 4 3" xfId="700" xr:uid="{00000000-0005-0000-0000-0000BE020000}"/>
    <cellStyle name="Comma 5 4 3 2" xfId="2132" xr:uid="{503C0957-0C42-46C8-9AB7-30FA8E11A8B5}"/>
    <cellStyle name="Comma 5 4 4" xfId="2129" xr:uid="{F9566BC0-FE84-42D0-9F1D-6DCA95BBB647}"/>
    <cellStyle name="Comma 5 5" xfId="701" xr:uid="{00000000-0005-0000-0000-0000BF020000}"/>
    <cellStyle name="Comma 5 5 2" xfId="702" xr:uid="{00000000-0005-0000-0000-0000C0020000}"/>
    <cellStyle name="Comma 5 5 2 2" xfId="2134" xr:uid="{6E6946FD-9270-489A-A2BE-FB81A87A6D42}"/>
    <cellStyle name="Comma 5 5 3" xfId="2133" xr:uid="{77198278-D71E-4761-BBB4-F322C58F77E7}"/>
    <cellStyle name="Comma 5 6" xfId="703" xr:uid="{00000000-0005-0000-0000-0000C1020000}"/>
    <cellStyle name="Comma 5 6 2" xfId="2135" xr:uid="{14CCC309-8D8C-48D6-B752-98C422200AB9}"/>
    <cellStyle name="Comma 5 7" xfId="2104" xr:uid="{98C304C5-E6AF-407E-93C4-28170E5A46B3}"/>
    <cellStyle name="Comma 6" xfId="704" xr:uid="{00000000-0005-0000-0000-0000C2020000}"/>
    <cellStyle name="Comma 6 2" xfId="705" xr:uid="{00000000-0005-0000-0000-0000C3020000}"/>
    <cellStyle name="Comma 6 2 2" xfId="706" xr:uid="{00000000-0005-0000-0000-0000C4020000}"/>
    <cellStyle name="Comma 6 2 2 2" xfId="707" xr:uid="{00000000-0005-0000-0000-0000C5020000}"/>
    <cellStyle name="Comma 6 2 2 2 2" xfId="708" xr:uid="{00000000-0005-0000-0000-0000C6020000}"/>
    <cellStyle name="Comma 6 2 2 2 2 2" xfId="709" xr:uid="{00000000-0005-0000-0000-0000C7020000}"/>
    <cellStyle name="Comma 6 2 2 2 2 2 2" xfId="2141" xr:uid="{C49B66DB-09AB-42EB-B41A-ED06BA108E8C}"/>
    <cellStyle name="Comma 6 2 2 2 2 3" xfId="2140" xr:uid="{EA6D93D4-A2EA-433D-A9CD-D4C1D4CBEA85}"/>
    <cellStyle name="Comma 6 2 2 2 3" xfId="710" xr:uid="{00000000-0005-0000-0000-0000C8020000}"/>
    <cellStyle name="Comma 6 2 2 2 3 2" xfId="2142" xr:uid="{A82DCD82-F2BE-4589-B254-FDB825BF648A}"/>
    <cellStyle name="Comma 6 2 2 2 4" xfId="2139" xr:uid="{79A11948-E4AF-4855-9061-DBFC50CE20F3}"/>
    <cellStyle name="Comma 6 2 2 3" xfId="711" xr:uid="{00000000-0005-0000-0000-0000C9020000}"/>
    <cellStyle name="Comma 6 2 2 3 2" xfId="712" xr:uid="{00000000-0005-0000-0000-0000CA020000}"/>
    <cellStyle name="Comma 6 2 2 3 2 2" xfId="2144" xr:uid="{A9D4A056-90B1-422A-9D27-E3ECFA47194B}"/>
    <cellStyle name="Comma 6 2 2 3 3" xfId="2143" xr:uid="{795DAB09-C22D-42DA-A0EC-38F366000EBD}"/>
    <cellStyle name="Comma 6 2 2 4" xfId="713" xr:uid="{00000000-0005-0000-0000-0000CB020000}"/>
    <cellStyle name="Comma 6 2 2 4 2" xfId="2145" xr:uid="{8178F6F2-A26F-44E3-B39E-DBBAA704C4A0}"/>
    <cellStyle name="Comma 6 2 2 5" xfId="2138" xr:uid="{AFE68552-7386-4F04-BE6D-487279ED85A1}"/>
    <cellStyle name="Comma 6 2 3" xfId="714" xr:uid="{00000000-0005-0000-0000-0000CC020000}"/>
    <cellStyle name="Comma 6 2 3 2" xfId="715" xr:uid="{00000000-0005-0000-0000-0000CD020000}"/>
    <cellStyle name="Comma 6 2 3 2 2" xfId="716" xr:uid="{00000000-0005-0000-0000-0000CE020000}"/>
    <cellStyle name="Comma 6 2 3 2 2 2" xfId="2148" xr:uid="{48F1CEE4-007D-487C-85F7-6ECF3CF3EAE3}"/>
    <cellStyle name="Comma 6 2 3 2 3" xfId="2147" xr:uid="{DED3E6F7-2C76-456C-B31D-D6FCAF9CA91E}"/>
    <cellStyle name="Comma 6 2 3 3" xfId="717" xr:uid="{00000000-0005-0000-0000-0000CF020000}"/>
    <cellStyle name="Comma 6 2 3 3 2" xfId="2149" xr:uid="{492FF1DB-DD36-46E5-8437-2A3760AA1A6D}"/>
    <cellStyle name="Comma 6 2 3 4" xfId="2146" xr:uid="{F080F1BD-6A55-4FAC-9535-3980AE721D3B}"/>
    <cellStyle name="Comma 6 2 4" xfId="718" xr:uid="{00000000-0005-0000-0000-0000D0020000}"/>
    <cellStyle name="Comma 6 2 4 2" xfId="719" xr:uid="{00000000-0005-0000-0000-0000D1020000}"/>
    <cellStyle name="Comma 6 2 4 2 2" xfId="2151" xr:uid="{A99512D4-8128-4734-9FF0-BF6D1D034EE6}"/>
    <cellStyle name="Comma 6 2 4 3" xfId="2150" xr:uid="{B2F53C71-6E96-4285-B969-34B4FDA51F87}"/>
    <cellStyle name="Comma 6 2 5" xfId="720" xr:uid="{00000000-0005-0000-0000-0000D2020000}"/>
    <cellStyle name="Comma 6 2 5 2" xfId="2152" xr:uid="{FA58301B-9FD2-4C8C-A4AC-E94F29D6B546}"/>
    <cellStyle name="Comma 6 2 6" xfId="2137" xr:uid="{9986CC2C-CD62-41B0-A1AD-5A346590598E}"/>
    <cellStyle name="Comma 6 3" xfId="721" xr:uid="{00000000-0005-0000-0000-0000D3020000}"/>
    <cellStyle name="Comma 6 3 2" xfId="722" xr:uid="{00000000-0005-0000-0000-0000D4020000}"/>
    <cellStyle name="Comma 6 3 2 2" xfId="723" xr:uid="{00000000-0005-0000-0000-0000D5020000}"/>
    <cellStyle name="Comma 6 3 2 2 2" xfId="724" xr:uid="{00000000-0005-0000-0000-0000D6020000}"/>
    <cellStyle name="Comma 6 3 2 2 2 2" xfId="2156" xr:uid="{6C0422EA-01C1-472F-A8D2-5111EC39D795}"/>
    <cellStyle name="Comma 6 3 2 2 3" xfId="2155" xr:uid="{547B245D-6918-46C0-9463-E98EFE58B71B}"/>
    <cellStyle name="Comma 6 3 2 3" xfId="725" xr:uid="{00000000-0005-0000-0000-0000D7020000}"/>
    <cellStyle name="Comma 6 3 2 3 2" xfId="2157" xr:uid="{2160E199-D0A7-4286-A586-FE0D1A8E06F0}"/>
    <cellStyle name="Comma 6 3 2 4" xfId="2154" xr:uid="{E7421F8F-8842-43A2-9E26-CFF1F3F888A0}"/>
    <cellStyle name="Comma 6 3 3" xfId="726" xr:uid="{00000000-0005-0000-0000-0000D8020000}"/>
    <cellStyle name="Comma 6 3 3 2" xfId="727" xr:uid="{00000000-0005-0000-0000-0000D9020000}"/>
    <cellStyle name="Comma 6 3 3 2 2" xfId="2159" xr:uid="{0657A91D-7181-414C-9D5A-EDAA80FFF154}"/>
    <cellStyle name="Comma 6 3 3 3" xfId="2158" xr:uid="{35A22D9C-6ADE-414F-B15E-718C73C714D5}"/>
    <cellStyle name="Comma 6 3 4" xfId="728" xr:uid="{00000000-0005-0000-0000-0000DA020000}"/>
    <cellStyle name="Comma 6 3 4 2" xfId="2160" xr:uid="{9339DD5E-F1FF-40A7-8CF8-F25BF9F1AA4A}"/>
    <cellStyle name="Comma 6 3 5" xfId="2153" xr:uid="{8B1D3C95-E023-4431-9030-8C5C8AE4BBBE}"/>
    <cellStyle name="Comma 6 4" xfId="729" xr:uid="{00000000-0005-0000-0000-0000DB020000}"/>
    <cellStyle name="Comma 6 4 2" xfId="730" xr:uid="{00000000-0005-0000-0000-0000DC020000}"/>
    <cellStyle name="Comma 6 4 2 2" xfId="731" xr:uid="{00000000-0005-0000-0000-0000DD020000}"/>
    <cellStyle name="Comma 6 4 2 2 2" xfId="2163" xr:uid="{266E5BD2-4808-48BB-A557-F97B7B16D581}"/>
    <cellStyle name="Comma 6 4 2 3" xfId="2162" xr:uid="{B6B736CD-808D-447D-BDAA-A3F8C854D8EB}"/>
    <cellStyle name="Comma 6 4 3" xfId="732" xr:uid="{00000000-0005-0000-0000-0000DE020000}"/>
    <cellStyle name="Comma 6 4 3 2" xfId="2164" xr:uid="{01A8D844-8CBB-4A13-BE69-C22FE0B9763C}"/>
    <cellStyle name="Comma 6 4 4" xfId="2161" xr:uid="{FA582229-8FF2-4571-B611-3B28EA68AA8C}"/>
    <cellStyle name="Comma 6 5" xfId="733" xr:uid="{00000000-0005-0000-0000-0000DF020000}"/>
    <cellStyle name="Comma 6 5 2" xfId="734" xr:uid="{00000000-0005-0000-0000-0000E0020000}"/>
    <cellStyle name="Comma 6 5 2 2" xfId="2166" xr:uid="{383EFC5D-89CF-4611-83A4-B2A029B40C72}"/>
    <cellStyle name="Comma 6 5 3" xfId="2165" xr:uid="{A5314984-166B-4952-AA8E-22246A4C6AAF}"/>
    <cellStyle name="Comma 6 6" xfId="735" xr:uid="{00000000-0005-0000-0000-0000E1020000}"/>
    <cellStyle name="Comma 6 6 2" xfId="2167" xr:uid="{EC6E700D-82B9-4C9C-B8DA-3272BDE9031F}"/>
    <cellStyle name="Comma 6 7" xfId="2136" xr:uid="{BFAA7B90-718D-433C-A1F2-EC14682AE808}"/>
    <cellStyle name="Comma 7" xfId="736" xr:uid="{00000000-0005-0000-0000-0000E2020000}"/>
    <cellStyle name="Comma 7 2" xfId="737" xr:uid="{00000000-0005-0000-0000-0000E3020000}"/>
    <cellStyle name="Comma 7 2 2" xfId="738" xr:uid="{00000000-0005-0000-0000-0000E4020000}"/>
    <cellStyle name="Comma 7 2 2 2" xfId="739" xr:uid="{00000000-0005-0000-0000-0000E5020000}"/>
    <cellStyle name="Comma 7 2 2 2 2" xfId="740" xr:uid="{00000000-0005-0000-0000-0000E6020000}"/>
    <cellStyle name="Comma 7 2 2 2 2 2" xfId="741" xr:uid="{00000000-0005-0000-0000-0000E7020000}"/>
    <cellStyle name="Comma 7 2 2 2 2 2 2" xfId="2173" xr:uid="{011BEA4D-657A-40A8-9E16-D56D0C26EE7B}"/>
    <cellStyle name="Comma 7 2 2 2 2 3" xfId="2172" xr:uid="{8D7B6110-61FE-49ED-B354-DB044D87A5E6}"/>
    <cellStyle name="Comma 7 2 2 2 3" xfId="742" xr:uid="{00000000-0005-0000-0000-0000E8020000}"/>
    <cellStyle name="Comma 7 2 2 2 3 2" xfId="2174" xr:uid="{34E2519B-FB4C-415B-9A65-8CE039859038}"/>
    <cellStyle name="Comma 7 2 2 2 4" xfId="2171" xr:uid="{AD0CC38D-27C2-47D0-A546-E476F645FB6B}"/>
    <cellStyle name="Comma 7 2 2 3" xfId="743" xr:uid="{00000000-0005-0000-0000-0000E9020000}"/>
    <cellStyle name="Comma 7 2 2 3 2" xfId="744" xr:uid="{00000000-0005-0000-0000-0000EA020000}"/>
    <cellStyle name="Comma 7 2 2 3 2 2" xfId="2176" xr:uid="{7AFD776A-3140-4F67-AED2-D73869AC9092}"/>
    <cellStyle name="Comma 7 2 2 3 3" xfId="2175" xr:uid="{568D8123-97F4-4782-9371-4C5C64A5C9D8}"/>
    <cellStyle name="Comma 7 2 2 4" xfId="745" xr:uid="{00000000-0005-0000-0000-0000EB020000}"/>
    <cellStyle name="Comma 7 2 2 4 2" xfId="2177" xr:uid="{F8157B44-B755-4050-955E-EE071F4F5B95}"/>
    <cellStyle name="Comma 7 2 2 5" xfId="2170" xr:uid="{FCC41C37-2D70-438F-BB6B-CF263E69A8F3}"/>
    <cellStyle name="Comma 7 2 3" xfId="746" xr:uid="{00000000-0005-0000-0000-0000EC020000}"/>
    <cellStyle name="Comma 7 2 3 2" xfId="747" xr:uid="{00000000-0005-0000-0000-0000ED020000}"/>
    <cellStyle name="Comma 7 2 3 2 2" xfId="748" xr:uid="{00000000-0005-0000-0000-0000EE020000}"/>
    <cellStyle name="Comma 7 2 3 2 2 2" xfId="2180" xr:uid="{DF15E0BA-F760-4F4C-8CC5-222449A6F3E5}"/>
    <cellStyle name="Comma 7 2 3 2 3" xfId="2179" xr:uid="{13564D55-30F3-41B8-A2FE-19CEB307FFBA}"/>
    <cellStyle name="Comma 7 2 3 3" xfId="749" xr:uid="{00000000-0005-0000-0000-0000EF020000}"/>
    <cellStyle name="Comma 7 2 3 3 2" xfId="2181" xr:uid="{38825FA0-FA78-4F7B-895F-3C27E460392B}"/>
    <cellStyle name="Comma 7 2 3 4" xfId="2178" xr:uid="{5A9F28CB-5E87-4AA5-844D-30F2BC947A82}"/>
    <cellStyle name="Comma 7 2 4" xfId="750" xr:uid="{00000000-0005-0000-0000-0000F0020000}"/>
    <cellStyle name="Comma 7 2 4 2" xfId="751" xr:uid="{00000000-0005-0000-0000-0000F1020000}"/>
    <cellStyle name="Comma 7 2 4 2 2" xfId="2183" xr:uid="{F0C9C14C-91E6-4DE7-BF28-9BB6440A3A1C}"/>
    <cellStyle name="Comma 7 2 4 3" xfId="2182" xr:uid="{4D1370C0-7939-4E95-88A3-2D19071F07E8}"/>
    <cellStyle name="Comma 7 2 5" xfId="752" xr:uid="{00000000-0005-0000-0000-0000F2020000}"/>
    <cellStyle name="Comma 7 2 5 2" xfId="2184" xr:uid="{E716CD8A-DF66-4647-A697-63FF8F1CA50F}"/>
    <cellStyle name="Comma 7 2 6" xfId="2169" xr:uid="{3095B738-1DEF-4BCF-8818-2372FB57577C}"/>
    <cellStyle name="Comma 7 3" xfId="753" xr:uid="{00000000-0005-0000-0000-0000F3020000}"/>
    <cellStyle name="Comma 7 3 2" xfId="754" xr:uid="{00000000-0005-0000-0000-0000F4020000}"/>
    <cellStyle name="Comma 7 3 2 2" xfId="755" xr:uid="{00000000-0005-0000-0000-0000F5020000}"/>
    <cellStyle name="Comma 7 3 2 2 2" xfId="756" xr:uid="{00000000-0005-0000-0000-0000F6020000}"/>
    <cellStyle name="Comma 7 3 2 2 2 2" xfId="2188" xr:uid="{AB09CA09-05BA-446A-95F9-9C7641A4E8D4}"/>
    <cellStyle name="Comma 7 3 2 2 3" xfId="2187" xr:uid="{CDD2E0E4-E5C1-4D28-96D7-0AC3FE83C870}"/>
    <cellStyle name="Comma 7 3 2 3" xfId="757" xr:uid="{00000000-0005-0000-0000-0000F7020000}"/>
    <cellStyle name="Comma 7 3 2 3 2" xfId="2189" xr:uid="{73BD4C06-A27D-4379-91E3-955ACDB6645F}"/>
    <cellStyle name="Comma 7 3 2 4" xfId="2186" xr:uid="{04867E5B-3D96-4275-8289-9852E0C26DFA}"/>
    <cellStyle name="Comma 7 3 3" xfId="758" xr:uid="{00000000-0005-0000-0000-0000F8020000}"/>
    <cellStyle name="Comma 7 3 3 2" xfId="759" xr:uid="{00000000-0005-0000-0000-0000F9020000}"/>
    <cellStyle name="Comma 7 3 3 2 2" xfId="2191" xr:uid="{1FFF2B87-8E6F-4EBE-A9AE-4A334CAF0C3E}"/>
    <cellStyle name="Comma 7 3 3 3" xfId="2190" xr:uid="{3DAD0C7B-C0C9-4E61-8F70-6E4ADD0987B3}"/>
    <cellStyle name="Comma 7 3 4" xfId="760" xr:uid="{00000000-0005-0000-0000-0000FA020000}"/>
    <cellStyle name="Comma 7 3 4 2" xfId="2192" xr:uid="{C51EA643-46B4-4443-ACE0-E805A4A69B0A}"/>
    <cellStyle name="Comma 7 3 5" xfId="2185" xr:uid="{35F5F277-0494-421A-878F-1E89605B8A3F}"/>
    <cellStyle name="Comma 7 4" xfId="761" xr:uid="{00000000-0005-0000-0000-0000FB020000}"/>
    <cellStyle name="Comma 7 4 2" xfId="762" xr:uid="{00000000-0005-0000-0000-0000FC020000}"/>
    <cellStyle name="Comma 7 4 2 2" xfId="763" xr:uid="{00000000-0005-0000-0000-0000FD020000}"/>
    <cellStyle name="Comma 7 4 2 2 2" xfId="2195" xr:uid="{4F94E789-AF3E-436B-A3DC-0D6B025AD6AF}"/>
    <cellStyle name="Comma 7 4 2 3" xfId="2194" xr:uid="{FFC67AB7-D8C8-4414-8153-1F50C210059D}"/>
    <cellStyle name="Comma 7 4 3" xfId="764" xr:uid="{00000000-0005-0000-0000-0000FE020000}"/>
    <cellStyle name="Comma 7 4 3 2" xfId="2196" xr:uid="{7657168D-95F9-4FE9-BA53-03DFACFE00B7}"/>
    <cellStyle name="Comma 7 4 4" xfId="2193" xr:uid="{209D77BB-513D-4BA7-8F54-6E3BAD3B079B}"/>
    <cellStyle name="Comma 7 5" xfId="765" xr:uid="{00000000-0005-0000-0000-0000FF020000}"/>
    <cellStyle name="Comma 7 5 2" xfId="766" xr:uid="{00000000-0005-0000-0000-000000030000}"/>
    <cellStyle name="Comma 7 5 2 2" xfId="2198" xr:uid="{F1DE6ADC-9D04-4236-9666-97AAE6949612}"/>
    <cellStyle name="Comma 7 5 3" xfId="2197" xr:uid="{776CCAE3-F97A-4C20-B6A5-B07A6590C89A}"/>
    <cellStyle name="Comma 7 6" xfId="767" xr:uid="{00000000-0005-0000-0000-000001030000}"/>
    <cellStyle name="Comma 7 6 2" xfId="2199" xr:uid="{6AE1A3FF-C151-462F-88B9-CB1B44C8CAA3}"/>
    <cellStyle name="Comma 7 7" xfId="2168" xr:uid="{15302426-9EF1-4FF7-9D88-74431179AD44}"/>
    <cellStyle name="Comma 8" xfId="768" xr:uid="{00000000-0005-0000-0000-000002030000}"/>
    <cellStyle name="Comma 8 2" xfId="769" xr:uid="{00000000-0005-0000-0000-000003030000}"/>
    <cellStyle name="Comma 8 2 2" xfId="770" xr:uid="{00000000-0005-0000-0000-000004030000}"/>
    <cellStyle name="Comma 8 2 2 2" xfId="771" xr:uid="{00000000-0005-0000-0000-000005030000}"/>
    <cellStyle name="Comma 8 2 2 2 2" xfId="772" xr:uid="{00000000-0005-0000-0000-000006030000}"/>
    <cellStyle name="Comma 8 2 2 2 2 2" xfId="2204" xr:uid="{D204875B-E75F-4AA1-A6BD-F3779C4D595F}"/>
    <cellStyle name="Comma 8 2 2 2 3" xfId="2203" xr:uid="{904F360E-4BD6-42D8-B541-D49D85AA1B67}"/>
    <cellStyle name="Comma 8 2 2 3" xfId="773" xr:uid="{00000000-0005-0000-0000-000007030000}"/>
    <cellStyle name="Comma 8 2 2 3 2" xfId="2205" xr:uid="{277B283E-2AB0-42CD-8BC0-EF7FF92B87E6}"/>
    <cellStyle name="Comma 8 2 2 4" xfId="2202" xr:uid="{5ED2103D-BA3F-4CAF-B658-CCFE69F10E26}"/>
    <cellStyle name="Comma 8 2 3" xfId="774" xr:uid="{00000000-0005-0000-0000-000008030000}"/>
    <cellStyle name="Comma 8 2 3 2" xfId="775" xr:uid="{00000000-0005-0000-0000-000009030000}"/>
    <cellStyle name="Comma 8 2 3 2 2" xfId="2207" xr:uid="{22A5CFDD-A9A3-460C-8797-71D10DFDF77A}"/>
    <cellStyle name="Comma 8 2 3 3" xfId="2206" xr:uid="{4E7A6831-B821-41BF-81F0-489E2F4D8FB7}"/>
    <cellStyle name="Comma 8 2 4" xfId="776" xr:uid="{00000000-0005-0000-0000-00000A030000}"/>
    <cellStyle name="Comma 8 2 4 2" xfId="2208" xr:uid="{A42534C1-205B-46C0-8BCA-F90F3085C2DF}"/>
    <cellStyle name="Comma 8 2 5" xfId="2201" xr:uid="{B68AFFA2-E7D7-4838-9068-4E5CE2898980}"/>
    <cellStyle name="Comma 8 3" xfId="777" xr:uid="{00000000-0005-0000-0000-00000B030000}"/>
    <cellStyle name="Comma 8 3 2" xfId="778" xr:uid="{00000000-0005-0000-0000-00000C030000}"/>
    <cellStyle name="Comma 8 3 2 2" xfId="779" xr:uid="{00000000-0005-0000-0000-00000D030000}"/>
    <cellStyle name="Comma 8 3 2 2 2" xfId="2211" xr:uid="{D9F2BB1E-BDF6-4879-9A89-EB31552726EA}"/>
    <cellStyle name="Comma 8 3 2 3" xfId="2210" xr:uid="{14C493D4-CC9F-43A0-A3B4-0573B93AE5B7}"/>
    <cellStyle name="Comma 8 3 3" xfId="780" xr:uid="{00000000-0005-0000-0000-00000E030000}"/>
    <cellStyle name="Comma 8 3 3 2" xfId="2212" xr:uid="{2F4FB20C-951B-4A77-B780-A62CF46C0D8D}"/>
    <cellStyle name="Comma 8 3 4" xfId="2209" xr:uid="{918E6451-4B31-404A-AD4A-69A968A7A7FA}"/>
    <cellStyle name="Comma 8 4" xfId="781" xr:uid="{00000000-0005-0000-0000-00000F030000}"/>
    <cellStyle name="Comma 8 4 2" xfId="782" xr:uid="{00000000-0005-0000-0000-000010030000}"/>
    <cellStyle name="Comma 8 4 2 2" xfId="2214" xr:uid="{B91221F7-AB35-4A36-B62A-0F8B4169C504}"/>
    <cellStyle name="Comma 8 4 3" xfId="2213" xr:uid="{CB7F48CF-A438-4C16-AD51-629071FB25C0}"/>
    <cellStyle name="Comma 8 5" xfId="783" xr:uid="{00000000-0005-0000-0000-000011030000}"/>
    <cellStyle name="Comma 8 5 2" xfId="2215" xr:uid="{FFAFC0E8-DF4C-4157-862F-B94C399B9D73}"/>
    <cellStyle name="Comma 8 6" xfId="2200" xr:uid="{2450BFC2-5472-420C-949E-212A78A1D396}"/>
    <cellStyle name="Comma 9" xfId="784" xr:uid="{00000000-0005-0000-0000-000012030000}"/>
    <cellStyle name="Comma 9 2" xfId="785" xr:uid="{00000000-0005-0000-0000-000013030000}"/>
    <cellStyle name="Comma 9 2 2" xfId="786" xr:uid="{00000000-0005-0000-0000-000014030000}"/>
    <cellStyle name="Comma 9 2 2 2" xfId="787" xr:uid="{00000000-0005-0000-0000-000015030000}"/>
    <cellStyle name="Comma 9 2 2 2 2" xfId="788" xr:uid="{00000000-0005-0000-0000-000016030000}"/>
    <cellStyle name="Comma 9 2 2 2 2 2" xfId="2220" xr:uid="{FA897998-DB27-45F0-A35A-A60E4C4FE4A5}"/>
    <cellStyle name="Comma 9 2 2 2 3" xfId="2219" xr:uid="{2E5A9E8C-B2C4-42C1-9D19-18CFB4609355}"/>
    <cellStyle name="Comma 9 2 2 3" xfId="789" xr:uid="{00000000-0005-0000-0000-000017030000}"/>
    <cellStyle name="Comma 9 2 2 3 2" xfId="2221" xr:uid="{C5CD42C0-572F-4078-AE18-1E1F19C9DB37}"/>
    <cellStyle name="Comma 9 2 2 4" xfId="2218" xr:uid="{17FD1916-9B66-4420-82C7-8232C4D30783}"/>
    <cellStyle name="Comma 9 2 3" xfId="790" xr:uid="{00000000-0005-0000-0000-000018030000}"/>
    <cellStyle name="Comma 9 2 3 2" xfId="791" xr:uid="{00000000-0005-0000-0000-000019030000}"/>
    <cellStyle name="Comma 9 2 3 2 2" xfId="2223" xr:uid="{644B252D-DCC9-434E-817E-AACE2DBA31EC}"/>
    <cellStyle name="Comma 9 2 3 3" xfId="2222" xr:uid="{9C1BB5E4-C034-4A66-8CD1-9DB8F7454FEF}"/>
    <cellStyle name="Comma 9 2 4" xfId="792" xr:uid="{00000000-0005-0000-0000-00001A030000}"/>
    <cellStyle name="Comma 9 2 4 2" xfId="2224" xr:uid="{E26E7DA3-9030-467F-8400-20529CAA097B}"/>
    <cellStyle name="Comma 9 2 5" xfId="2217" xr:uid="{6F366D7E-31E4-4630-90B3-752B07D085CC}"/>
    <cellStyle name="Comma 9 3" xfId="793" xr:uid="{00000000-0005-0000-0000-00001B030000}"/>
    <cellStyle name="Comma 9 3 2" xfId="794" xr:uid="{00000000-0005-0000-0000-00001C030000}"/>
    <cellStyle name="Comma 9 3 2 2" xfId="795" xr:uid="{00000000-0005-0000-0000-00001D030000}"/>
    <cellStyle name="Comma 9 3 2 2 2" xfId="2227" xr:uid="{80381642-081B-44ED-97AA-B0638251B492}"/>
    <cellStyle name="Comma 9 3 2 3" xfId="2226" xr:uid="{DF0F9630-23FA-430C-A537-654F23CD4A41}"/>
    <cellStyle name="Comma 9 3 3" xfId="796" xr:uid="{00000000-0005-0000-0000-00001E030000}"/>
    <cellStyle name="Comma 9 3 3 2" xfId="2228" xr:uid="{EBFA86B9-8B1D-4BC1-BD4D-C06C7F42E9E5}"/>
    <cellStyle name="Comma 9 3 4" xfId="2225" xr:uid="{5ADEF774-9500-4019-BDA0-F83DCC773E4E}"/>
    <cellStyle name="Comma 9 4" xfId="797" xr:uid="{00000000-0005-0000-0000-00001F030000}"/>
    <cellStyle name="Comma 9 4 2" xfId="798" xr:uid="{00000000-0005-0000-0000-000020030000}"/>
    <cellStyle name="Comma 9 4 2 2" xfId="2230" xr:uid="{5B427B05-8FDF-4819-B1CC-BCDD2D9A250B}"/>
    <cellStyle name="Comma 9 4 3" xfId="2229" xr:uid="{8AAEC985-F586-4796-98B2-855761B38ABE}"/>
    <cellStyle name="Comma 9 5" xfId="799" xr:uid="{00000000-0005-0000-0000-000021030000}"/>
    <cellStyle name="Comma 9 5 2" xfId="2231" xr:uid="{8F0742A0-E58D-4663-A107-E2CECFFB8609}"/>
    <cellStyle name="Comma 9 6" xfId="2216" xr:uid="{BCA9F51E-9049-4A1A-9F8B-DEC0AF8075BD}"/>
    <cellStyle name="comma zerodec" xfId="800" xr:uid="{00000000-0005-0000-0000-000022030000}"/>
    <cellStyle name="company_title" xfId="801" xr:uid="{00000000-0005-0000-0000-000023030000}"/>
    <cellStyle name="Currency [00]" xfId="802" xr:uid="{00000000-0005-0000-0000-000024030000}"/>
    <cellStyle name="Currency 2" xfId="803" xr:uid="{00000000-0005-0000-0000-000025030000}"/>
    <cellStyle name="Currency 2 2" xfId="804" xr:uid="{00000000-0005-0000-0000-000026030000}"/>
    <cellStyle name="Currency 2 2 2" xfId="805" xr:uid="{00000000-0005-0000-0000-000027030000}"/>
    <cellStyle name="Currency 2 2 2 2" xfId="806" xr:uid="{00000000-0005-0000-0000-000028030000}"/>
    <cellStyle name="Currency 2 2 2 2 2" xfId="807" xr:uid="{00000000-0005-0000-0000-000029030000}"/>
    <cellStyle name="Currency 2 2 2 2 2 2" xfId="2236" xr:uid="{CD53195D-EE20-4B6B-920C-26BDC8F7209A}"/>
    <cellStyle name="Currency 2 2 2 2 3" xfId="2235" xr:uid="{EC44CF31-2938-4BC1-BAF5-1CCB43E170EF}"/>
    <cellStyle name="Currency 2 2 2 3" xfId="808" xr:uid="{00000000-0005-0000-0000-00002A030000}"/>
    <cellStyle name="Currency 2 2 2 3 2" xfId="2237" xr:uid="{EA1A0B0A-980A-4CB1-AA3C-2D0ECDE11183}"/>
    <cellStyle name="Currency 2 2 2 4" xfId="2234" xr:uid="{E4C8B7B0-78AF-4444-8605-EAF5B0E08707}"/>
    <cellStyle name="Currency 2 2 3" xfId="809" xr:uid="{00000000-0005-0000-0000-00002B030000}"/>
    <cellStyle name="Currency 2 2 3 2" xfId="810" xr:uid="{00000000-0005-0000-0000-00002C030000}"/>
    <cellStyle name="Currency 2 2 3 2 2" xfId="2239" xr:uid="{C17B4E26-1555-488A-8ABB-E4226D45E838}"/>
    <cellStyle name="Currency 2 2 3 3" xfId="2238" xr:uid="{921D6606-4DDD-4AB6-9CBB-6D72FCF8E259}"/>
    <cellStyle name="Currency 2 2 4" xfId="811" xr:uid="{00000000-0005-0000-0000-00002D030000}"/>
    <cellStyle name="Currency 2 2 4 2" xfId="2240" xr:uid="{021D86A5-9850-4292-B0B6-1867C4AD2D08}"/>
    <cellStyle name="Currency 2 2 5" xfId="2233" xr:uid="{5E3B6CF8-A602-4739-A63B-363CB9AEB868}"/>
    <cellStyle name="Currency 2 3" xfId="812" xr:uid="{00000000-0005-0000-0000-00002E030000}"/>
    <cellStyle name="Currency 2 3 2" xfId="813" xr:uid="{00000000-0005-0000-0000-00002F030000}"/>
    <cellStyle name="Currency 2 3 2 2" xfId="814" xr:uid="{00000000-0005-0000-0000-000030030000}"/>
    <cellStyle name="Currency 2 3 2 2 2" xfId="2243" xr:uid="{FD9B73C7-20A1-4634-92D7-59A89D4FFDBB}"/>
    <cellStyle name="Currency 2 3 2 3" xfId="2242" xr:uid="{30DB553A-97E7-45F3-BB9A-70FAEF2EA55D}"/>
    <cellStyle name="Currency 2 3 3" xfId="815" xr:uid="{00000000-0005-0000-0000-000031030000}"/>
    <cellStyle name="Currency 2 3 3 2" xfId="2244" xr:uid="{3F305E99-978E-48AB-BDE8-799496CEB804}"/>
    <cellStyle name="Currency 2 3 4" xfId="2241" xr:uid="{2F17F713-6370-4079-97FD-4E55C071ED2F}"/>
    <cellStyle name="Currency 2 4" xfId="816" xr:uid="{00000000-0005-0000-0000-000032030000}"/>
    <cellStyle name="Currency 2 4 2" xfId="817" xr:uid="{00000000-0005-0000-0000-000033030000}"/>
    <cellStyle name="Currency 2 4 2 2" xfId="2246" xr:uid="{24EAE546-D59C-4383-B838-E0D60F439E60}"/>
    <cellStyle name="Currency 2 4 3" xfId="2245" xr:uid="{7F4C4F96-5E73-4C5B-B490-F4DCA3B62A3B}"/>
    <cellStyle name="Currency 2 5" xfId="818" xr:uid="{00000000-0005-0000-0000-000034030000}"/>
    <cellStyle name="Currency 2 5 2" xfId="2247" xr:uid="{435DBC26-8D4B-4C14-B5ED-5403FF6473B9}"/>
    <cellStyle name="Currency 2 6" xfId="2232" xr:uid="{EB360A31-077B-47A5-8EF5-E90BB8C0F9B5}"/>
    <cellStyle name="Currency1" xfId="819" xr:uid="{00000000-0005-0000-0000-000035030000}"/>
    <cellStyle name="Date" xfId="820" xr:uid="{00000000-0005-0000-0000-000036030000}"/>
    <cellStyle name="Date Short" xfId="821" xr:uid="{00000000-0005-0000-0000-000037030000}"/>
    <cellStyle name="date_format" xfId="822" xr:uid="{00000000-0005-0000-0000-000038030000}"/>
    <cellStyle name="Dollar (zero dec)" xfId="823" xr:uid="{00000000-0005-0000-0000-000039030000}"/>
    <cellStyle name="Enter Currency (0)" xfId="824" xr:uid="{00000000-0005-0000-0000-00003A030000}"/>
    <cellStyle name="Enter Currency (2)" xfId="825" xr:uid="{00000000-0005-0000-0000-00003B030000}"/>
    <cellStyle name="Enter Units (0)" xfId="826" xr:uid="{00000000-0005-0000-0000-00003C030000}"/>
    <cellStyle name="Enter Units (1)" xfId="827" xr:uid="{00000000-0005-0000-0000-00003D030000}"/>
    <cellStyle name="Enter Units (2)" xfId="828" xr:uid="{00000000-0005-0000-0000-00003E030000}"/>
    <cellStyle name="En-t๊te 1" xfId="829" xr:uid="{00000000-0005-0000-0000-00003F030000}"/>
    <cellStyle name="En-t๊te 2" xfId="830" xr:uid="{00000000-0005-0000-0000-000040030000}"/>
    <cellStyle name="Financier0" xfId="831" xr:uid="{00000000-0005-0000-0000-000041030000}"/>
    <cellStyle name="Fixed" xfId="832" xr:uid="{00000000-0005-0000-0000-000042030000}"/>
    <cellStyle name="Grey" xfId="833" xr:uid="{00000000-0005-0000-0000-000043030000}"/>
    <cellStyle name="Header1" xfId="834" xr:uid="{00000000-0005-0000-0000-000044030000}"/>
    <cellStyle name="Header2" xfId="835" xr:uid="{00000000-0005-0000-0000-000045030000}"/>
    <cellStyle name="HEADING1" xfId="836" xr:uid="{00000000-0005-0000-0000-000046030000}"/>
    <cellStyle name="HEADING2" xfId="837" xr:uid="{00000000-0005-0000-0000-000047030000}"/>
    <cellStyle name="Hyperlink" xfId="838" builtinId="8"/>
    <cellStyle name="Input [yellow]" xfId="839" xr:uid="{00000000-0005-0000-0000-000049030000}"/>
    <cellStyle name="Link Currency (0)" xfId="840" xr:uid="{00000000-0005-0000-0000-00004A030000}"/>
    <cellStyle name="Link Currency (2)" xfId="841" xr:uid="{00000000-0005-0000-0000-00004B030000}"/>
    <cellStyle name="Link Units (0)" xfId="842" xr:uid="{00000000-0005-0000-0000-00004C030000}"/>
    <cellStyle name="Link Units (1)" xfId="843" xr:uid="{00000000-0005-0000-0000-00004D030000}"/>
    <cellStyle name="Link Units (2)" xfId="844" xr:uid="{00000000-0005-0000-0000-00004E030000}"/>
    <cellStyle name="Milliers [0]_ADMFT1" xfId="845" xr:uid="{00000000-0005-0000-0000-00004F030000}"/>
    <cellStyle name="Milliers_ADMFT1" xfId="846" xr:uid="{00000000-0005-0000-0000-000050030000}"/>
    <cellStyle name="Mon้taire [0]_ADMFT1" xfId="847" xr:uid="{00000000-0005-0000-0000-000051030000}"/>
    <cellStyle name="Mon้taire_ADMFT1" xfId="848" xr:uid="{00000000-0005-0000-0000-000052030000}"/>
    <cellStyle name="Mon้taire0" xfId="849" xr:uid="{00000000-0005-0000-0000-000053030000}"/>
    <cellStyle name="no dec" xfId="850" xr:uid="{00000000-0005-0000-0000-000054030000}"/>
    <cellStyle name="Normal" xfId="0" builtinId="0"/>
    <cellStyle name="Normal - Style1" xfId="851" xr:uid="{00000000-0005-0000-0000-000055030000}"/>
    <cellStyle name="Normal - Style3" xfId="852" xr:uid="{00000000-0005-0000-0000-000056030000}"/>
    <cellStyle name="Normal 10" xfId="853" xr:uid="{00000000-0005-0000-0000-000057030000}"/>
    <cellStyle name="Normal 10 2" xfId="854" xr:uid="{00000000-0005-0000-0000-000058030000}"/>
    <cellStyle name="Normal 11" xfId="855" xr:uid="{00000000-0005-0000-0000-000059030000}"/>
    <cellStyle name="Normal 11 2" xfId="856" xr:uid="{00000000-0005-0000-0000-00005A030000}"/>
    <cellStyle name="Normal 12" xfId="857" xr:uid="{00000000-0005-0000-0000-00005B030000}"/>
    <cellStyle name="Normal 12 2" xfId="858" xr:uid="{00000000-0005-0000-0000-00005C030000}"/>
    <cellStyle name="Normal 13" xfId="859" xr:uid="{00000000-0005-0000-0000-00005D030000}"/>
    <cellStyle name="Normal 13 2" xfId="860" xr:uid="{00000000-0005-0000-0000-00005E030000}"/>
    <cellStyle name="Normal 14" xfId="861" xr:uid="{00000000-0005-0000-0000-00005F030000}"/>
    <cellStyle name="Normal 14 2" xfId="862" xr:uid="{00000000-0005-0000-0000-000060030000}"/>
    <cellStyle name="Normal 15" xfId="863" xr:uid="{00000000-0005-0000-0000-000061030000}"/>
    <cellStyle name="Normal 15 2" xfId="864" xr:uid="{00000000-0005-0000-0000-000062030000}"/>
    <cellStyle name="Normal 16" xfId="865" xr:uid="{00000000-0005-0000-0000-000063030000}"/>
    <cellStyle name="Normal 16 2" xfId="866" xr:uid="{00000000-0005-0000-0000-000064030000}"/>
    <cellStyle name="Normal 17" xfId="867" xr:uid="{00000000-0005-0000-0000-000065030000}"/>
    <cellStyle name="Normal 17 2" xfId="868" xr:uid="{00000000-0005-0000-0000-000066030000}"/>
    <cellStyle name="Normal 18" xfId="869" xr:uid="{00000000-0005-0000-0000-000067030000}"/>
    <cellStyle name="Normal 18 2" xfId="870" xr:uid="{00000000-0005-0000-0000-000068030000}"/>
    <cellStyle name="Normal 19" xfId="871" xr:uid="{00000000-0005-0000-0000-000069030000}"/>
    <cellStyle name="Normal 19 2" xfId="872" xr:uid="{00000000-0005-0000-0000-00006A030000}"/>
    <cellStyle name="Normal 2" xfId="873" xr:uid="{00000000-0005-0000-0000-00006B030000}"/>
    <cellStyle name="Normal 2 2" xfId="874" xr:uid="{00000000-0005-0000-0000-00006C030000}"/>
    <cellStyle name="Normal 2 2 2" xfId="875" xr:uid="{00000000-0005-0000-0000-00006D030000}"/>
    <cellStyle name="Normal 2 2 3" xfId="876" xr:uid="{00000000-0005-0000-0000-00006E030000}"/>
    <cellStyle name="Normal 2 3" xfId="877" xr:uid="{00000000-0005-0000-0000-00006F030000}"/>
    <cellStyle name="Normal 2 3 2" xfId="1481" xr:uid="{6BC44660-128C-45A9-8FBF-C6516C032BF9}"/>
    <cellStyle name="Normal 2 4" xfId="878" xr:uid="{00000000-0005-0000-0000-000070030000}"/>
    <cellStyle name="Normal 2 5" xfId="879" xr:uid="{00000000-0005-0000-0000-000071030000}"/>
    <cellStyle name="Normal 2 6" xfId="1466" xr:uid="{00000000-0005-0000-0000-000072030000}"/>
    <cellStyle name="Normal 2_BOQ2012+EE" xfId="880" xr:uid="{00000000-0005-0000-0000-000073030000}"/>
    <cellStyle name="Normal 20" xfId="881" xr:uid="{00000000-0005-0000-0000-000074030000}"/>
    <cellStyle name="Normal 20 2" xfId="882" xr:uid="{00000000-0005-0000-0000-000075030000}"/>
    <cellStyle name="Normal 21" xfId="883" xr:uid="{00000000-0005-0000-0000-000076030000}"/>
    <cellStyle name="Normal 21 2" xfId="884" xr:uid="{00000000-0005-0000-0000-000077030000}"/>
    <cellStyle name="Normal 22" xfId="885" xr:uid="{00000000-0005-0000-0000-000078030000}"/>
    <cellStyle name="Normal 22 2" xfId="886" xr:uid="{00000000-0005-0000-0000-000079030000}"/>
    <cellStyle name="Normal 23" xfId="887" xr:uid="{00000000-0005-0000-0000-00007A030000}"/>
    <cellStyle name="Normal 23 2" xfId="888" xr:uid="{00000000-0005-0000-0000-00007B030000}"/>
    <cellStyle name="Normal 24" xfId="889" xr:uid="{00000000-0005-0000-0000-00007C030000}"/>
    <cellStyle name="Normal 24 2" xfId="890" xr:uid="{00000000-0005-0000-0000-00007D030000}"/>
    <cellStyle name="Normal 25" xfId="891" xr:uid="{00000000-0005-0000-0000-00007E030000}"/>
    <cellStyle name="Normal 25 2" xfId="892" xr:uid="{00000000-0005-0000-0000-00007F030000}"/>
    <cellStyle name="Normal 26" xfId="893" xr:uid="{00000000-0005-0000-0000-000080030000}"/>
    <cellStyle name="Normal 26 2" xfId="894" xr:uid="{00000000-0005-0000-0000-000081030000}"/>
    <cellStyle name="Normal 27" xfId="895" xr:uid="{00000000-0005-0000-0000-000082030000}"/>
    <cellStyle name="Normal 27 2" xfId="896" xr:uid="{00000000-0005-0000-0000-000083030000}"/>
    <cellStyle name="Normal 28" xfId="897" xr:uid="{00000000-0005-0000-0000-000084030000}"/>
    <cellStyle name="Normal 28 2" xfId="898" xr:uid="{00000000-0005-0000-0000-000085030000}"/>
    <cellStyle name="Normal 29" xfId="899" xr:uid="{00000000-0005-0000-0000-000086030000}"/>
    <cellStyle name="Normal 29 2" xfId="900" xr:uid="{00000000-0005-0000-0000-000087030000}"/>
    <cellStyle name="Normal 3" xfId="901" xr:uid="{00000000-0005-0000-0000-000088030000}"/>
    <cellStyle name="Normal 3 2" xfId="902" xr:uid="{00000000-0005-0000-0000-000089030000}"/>
    <cellStyle name="Normal 3 2 2" xfId="1467" xr:uid="{00000000-0005-0000-0000-00008A030000}"/>
    <cellStyle name="Normal 3 2 2 2" xfId="2721" xr:uid="{EC7109ED-81CD-4406-85B4-1D90868224D6}"/>
    <cellStyle name="Normal 3 2 3" xfId="2249" xr:uid="{E1AF7BBF-9E62-4E22-96DB-D2A6891558D5}"/>
    <cellStyle name="Normal 3 3" xfId="903" xr:uid="{00000000-0005-0000-0000-00008B030000}"/>
    <cellStyle name="Normal 3 3 2" xfId="2250" xr:uid="{D2B7D544-23FF-426E-87BF-D5A0EF1E9FBA}"/>
    <cellStyle name="Normal 3 4" xfId="2248" xr:uid="{C0DC6CE9-36D2-4358-B87B-472FB1BE99F7}"/>
    <cellStyle name="Normal 3_BOQ - Master" xfId="904" xr:uid="{00000000-0005-0000-0000-00008C030000}"/>
    <cellStyle name="Normal 30" xfId="905" xr:uid="{00000000-0005-0000-0000-00008D030000}"/>
    <cellStyle name="Normal 30 2" xfId="906" xr:uid="{00000000-0005-0000-0000-00008E030000}"/>
    <cellStyle name="Normal 31" xfId="907" xr:uid="{00000000-0005-0000-0000-00008F030000}"/>
    <cellStyle name="Normal 31 2" xfId="908" xr:uid="{00000000-0005-0000-0000-000090030000}"/>
    <cellStyle name="Normal 32" xfId="909" xr:uid="{00000000-0005-0000-0000-000091030000}"/>
    <cellStyle name="Normal 32 2" xfId="910" xr:uid="{00000000-0005-0000-0000-000092030000}"/>
    <cellStyle name="Normal 33" xfId="911" xr:uid="{00000000-0005-0000-0000-000093030000}"/>
    <cellStyle name="Normal 33 2" xfId="912" xr:uid="{00000000-0005-0000-0000-000094030000}"/>
    <cellStyle name="Normal 34" xfId="913" xr:uid="{00000000-0005-0000-0000-000095030000}"/>
    <cellStyle name="Normal 34 2" xfId="914" xr:uid="{00000000-0005-0000-0000-000096030000}"/>
    <cellStyle name="Normal 35" xfId="915" xr:uid="{00000000-0005-0000-0000-000097030000}"/>
    <cellStyle name="Normal 35 2" xfId="916" xr:uid="{00000000-0005-0000-0000-000098030000}"/>
    <cellStyle name="Normal 36" xfId="917" xr:uid="{00000000-0005-0000-0000-000099030000}"/>
    <cellStyle name="Normal 36 2" xfId="918" xr:uid="{00000000-0005-0000-0000-00009A030000}"/>
    <cellStyle name="Normal 37" xfId="919" xr:uid="{00000000-0005-0000-0000-00009B030000}"/>
    <cellStyle name="Normal 37 2" xfId="920" xr:uid="{00000000-0005-0000-0000-00009C030000}"/>
    <cellStyle name="Normal 38" xfId="921" xr:uid="{00000000-0005-0000-0000-00009D030000}"/>
    <cellStyle name="Normal 38 2" xfId="922" xr:uid="{00000000-0005-0000-0000-00009E030000}"/>
    <cellStyle name="Normal 39" xfId="923" xr:uid="{00000000-0005-0000-0000-00009F030000}"/>
    <cellStyle name="Normal 39 2" xfId="924" xr:uid="{00000000-0005-0000-0000-0000A0030000}"/>
    <cellStyle name="Normal 4" xfId="925" xr:uid="{00000000-0005-0000-0000-0000A1030000}"/>
    <cellStyle name="Normal 4 2" xfId="926" xr:uid="{00000000-0005-0000-0000-0000A2030000}"/>
    <cellStyle name="Normal 40" xfId="927" xr:uid="{00000000-0005-0000-0000-0000A3030000}"/>
    <cellStyle name="Normal 40 2" xfId="928" xr:uid="{00000000-0005-0000-0000-0000A4030000}"/>
    <cellStyle name="Normal 41" xfId="929" xr:uid="{00000000-0005-0000-0000-0000A5030000}"/>
    <cellStyle name="Normal 41 2" xfId="930" xr:uid="{00000000-0005-0000-0000-0000A6030000}"/>
    <cellStyle name="Normal 42" xfId="931" xr:uid="{00000000-0005-0000-0000-0000A7030000}"/>
    <cellStyle name="Normal 42 2" xfId="932" xr:uid="{00000000-0005-0000-0000-0000A8030000}"/>
    <cellStyle name="Normal 43" xfId="933" xr:uid="{00000000-0005-0000-0000-0000A9030000}"/>
    <cellStyle name="Normal 43 2" xfId="934" xr:uid="{00000000-0005-0000-0000-0000AA030000}"/>
    <cellStyle name="Normal 44" xfId="935" xr:uid="{00000000-0005-0000-0000-0000AB030000}"/>
    <cellStyle name="Normal 44 2" xfId="936" xr:uid="{00000000-0005-0000-0000-0000AC030000}"/>
    <cellStyle name="Normal 45" xfId="937" xr:uid="{00000000-0005-0000-0000-0000AD030000}"/>
    <cellStyle name="Normal 45 2" xfId="938" xr:uid="{00000000-0005-0000-0000-0000AE030000}"/>
    <cellStyle name="Normal 46" xfId="939" xr:uid="{00000000-0005-0000-0000-0000AF030000}"/>
    <cellStyle name="Normal 46 2" xfId="2251" xr:uid="{4CBBE426-6524-4387-B41B-8F4D1481DA10}"/>
    <cellStyle name="Normal 47" xfId="940" xr:uid="{00000000-0005-0000-0000-0000B0030000}"/>
    <cellStyle name="Normal 47 2" xfId="2252" xr:uid="{0AC8511F-94D5-4805-8AB2-BD9F9CC3D1B7}"/>
    <cellStyle name="Normal 48" xfId="941" xr:uid="{00000000-0005-0000-0000-0000B1030000}"/>
    <cellStyle name="Normal 48 2" xfId="2253" xr:uid="{2ECDA11D-7B73-4733-B4C7-861689CE9F48}"/>
    <cellStyle name="Normal 49" xfId="942" xr:uid="{00000000-0005-0000-0000-0000B2030000}"/>
    <cellStyle name="Normal 49 2" xfId="2254" xr:uid="{1E3C7B2C-AC71-4176-9A5D-960D7FE57962}"/>
    <cellStyle name="Normal 5" xfId="943" xr:uid="{00000000-0005-0000-0000-0000B3030000}"/>
    <cellStyle name="Normal 50" xfId="944" xr:uid="{00000000-0005-0000-0000-0000B4030000}"/>
    <cellStyle name="Normal 50 2" xfId="945" xr:uid="{00000000-0005-0000-0000-0000B5030000}"/>
    <cellStyle name="Normal 51" xfId="946" xr:uid="{00000000-0005-0000-0000-0000B6030000}"/>
    <cellStyle name="Normal 51 2" xfId="2255" xr:uid="{59E9674A-2AC5-41E2-BA7A-0DE0F04BBE3C}"/>
    <cellStyle name="Normal 52" xfId="1483" xr:uid="{F38D3206-5796-4439-A87B-95D7AE59292A}"/>
    <cellStyle name="Normal 6" xfId="947" xr:uid="{00000000-0005-0000-0000-0000B7030000}"/>
    <cellStyle name="Normal 7" xfId="948" xr:uid="{00000000-0005-0000-0000-0000B8030000}"/>
    <cellStyle name="Normal 7 2" xfId="1476" xr:uid="{00000000-0005-0000-0000-0000B9030000}"/>
    <cellStyle name="Normal 7 2 2 2" xfId="1469" xr:uid="{00000000-0005-0000-0000-0000BA030000}"/>
    <cellStyle name="Normal 7 2 2 2 2" xfId="2723" xr:uid="{933171F4-5D19-4AE6-854A-FB3DC226DFC7}"/>
    <cellStyle name="Normal 7 2 2 2 3" xfId="1471" xr:uid="{00000000-0005-0000-0000-0000BB030000}"/>
    <cellStyle name="Normal 7 2 2 2 3 2" xfId="2725" xr:uid="{A24C543A-ED15-4720-B08F-EBA6CD8AA909}"/>
    <cellStyle name="Normal 7 3 2" xfId="1468" xr:uid="{00000000-0005-0000-0000-0000BC030000}"/>
    <cellStyle name="Normal 7 3 2 2" xfId="2722" xr:uid="{7A0B0F47-5F16-40CA-BC5C-AB2B0775A9D1}"/>
    <cellStyle name="Normal 7 3 2 3" xfId="1472" xr:uid="{00000000-0005-0000-0000-0000BD030000}"/>
    <cellStyle name="Normal 7 3 2 3 2" xfId="2726" xr:uid="{B001926A-DEFB-4BA0-A0EE-D7C2A535B4D4}"/>
    <cellStyle name="Normal 7 3 2 4" xfId="1470" xr:uid="{00000000-0005-0000-0000-0000BE030000}"/>
    <cellStyle name="Normal 7 3 2 4 2" xfId="2724" xr:uid="{E2B28897-CEF3-492A-BC8D-6063CACE8381}"/>
    <cellStyle name="Normal 8" xfId="949" xr:uid="{00000000-0005-0000-0000-0000BF030000}"/>
    <cellStyle name="Normal 8 2" xfId="950" xr:uid="{00000000-0005-0000-0000-0000C0030000}"/>
    <cellStyle name="Normal 9" xfId="951" xr:uid="{00000000-0005-0000-0000-0000C1030000}"/>
    <cellStyle name="Normal 9 2" xfId="952" xr:uid="{00000000-0005-0000-0000-0000C2030000}"/>
    <cellStyle name="Normal_Back up งานโครงสร้าง Parking" xfId="953" xr:uid="{00000000-0005-0000-0000-0000C3030000}"/>
    <cellStyle name="Normal_Back up งานโครงสร้าง Parking 2" xfId="954" xr:uid="{00000000-0005-0000-0000-0000C4030000}"/>
    <cellStyle name="Normal_Back up งานโครงสร้าง Parking 2 2" xfId="1473" xr:uid="{00000000-0005-0000-0000-0000C5030000}"/>
    <cellStyle name="Normal_BOQกลุ่มงานST CV_030949" xfId="955" xr:uid="{00000000-0005-0000-0000-0000C6030000}"/>
    <cellStyle name="Normal_BOQกลุ่มงานST CV_030949 2" xfId="956" xr:uid="{00000000-0005-0000-0000-0000C7030000}"/>
    <cellStyle name="Normal_BOQกลุ่มงานST CV_030949 2 2" xfId="1477" xr:uid="{00000000-0005-0000-0000-0000C8030000}"/>
    <cellStyle name="ParaBirimi [0]_RESULTS" xfId="957" xr:uid="{00000000-0005-0000-0000-0000C9030000}"/>
    <cellStyle name="ParaBirimi_RESULTS" xfId="958" xr:uid="{00000000-0005-0000-0000-0000CA030000}"/>
    <cellStyle name="Percent" xfId="1439" builtinId="5"/>
    <cellStyle name="Percent [0]" xfId="959" xr:uid="{00000000-0005-0000-0000-0000CB030000}"/>
    <cellStyle name="Percent [00]" xfId="960" xr:uid="{00000000-0005-0000-0000-0000CC030000}"/>
    <cellStyle name="Percent [2]" xfId="961" xr:uid="{00000000-0005-0000-0000-0000CD030000}"/>
    <cellStyle name="Percent [2] 2" xfId="2256" xr:uid="{F35CFF1E-AE62-4FD9-A723-0A2903A82B2F}"/>
    <cellStyle name="Percent 10" xfId="962" xr:uid="{00000000-0005-0000-0000-0000CE030000}"/>
    <cellStyle name="Percent 10 2" xfId="963" xr:uid="{00000000-0005-0000-0000-0000CF030000}"/>
    <cellStyle name="Percent 10 2 2" xfId="2258" xr:uid="{591D9237-AA06-4CA7-80E9-84661F3EF41A}"/>
    <cellStyle name="Percent 10 3" xfId="2257" xr:uid="{DEB9B1AC-50F4-4923-A97F-418896B4FAD2}"/>
    <cellStyle name="Percent 11" xfId="964" xr:uid="{00000000-0005-0000-0000-0000D0030000}"/>
    <cellStyle name="Percent 11 2" xfId="2259" xr:uid="{438AB2BF-D76B-48B4-8914-14EB942731C6}"/>
    <cellStyle name="Percent 12" xfId="965" xr:uid="{00000000-0005-0000-0000-0000D1030000}"/>
    <cellStyle name="Percent 12 2" xfId="2260" xr:uid="{AD3062E3-20AA-453C-B0FD-6CD94A0F5DC5}"/>
    <cellStyle name="Percent 13" xfId="966" xr:uid="{00000000-0005-0000-0000-0000D2030000}"/>
    <cellStyle name="Percent 13 2" xfId="2261" xr:uid="{30AD3A60-4156-47ED-8F69-CD084106F733}"/>
    <cellStyle name="Percent 14" xfId="967" xr:uid="{00000000-0005-0000-0000-0000D3030000}"/>
    <cellStyle name="Percent 14 2" xfId="2262" xr:uid="{8F875564-AE5D-4EDB-BB69-BAFB6BD00CE8}"/>
    <cellStyle name="Percent 2" xfId="968" xr:uid="{00000000-0005-0000-0000-0000D4030000}"/>
    <cellStyle name="Percent 2 2" xfId="969" xr:uid="{00000000-0005-0000-0000-0000D5030000}"/>
    <cellStyle name="Percent 2 3" xfId="970" xr:uid="{00000000-0005-0000-0000-0000D6030000}"/>
    <cellStyle name="Percent 2 4" xfId="971" xr:uid="{00000000-0005-0000-0000-0000D7030000}"/>
    <cellStyle name="Percent 2 5" xfId="2263" xr:uid="{88F07155-B6A2-4A5E-8FDC-EFA35229FB67}"/>
    <cellStyle name="Percent 3" xfId="972" xr:uid="{00000000-0005-0000-0000-0000D8030000}"/>
    <cellStyle name="Percent 3 2" xfId="973" xr:uid="{00000000-0005-0000-0000-0000D9030000}"/>
    <cellStyle name="Percent 4" xfId="974" xr:uid="{00000000-0005-0000-0000-0000DA030000}"/>
    <cellStyle name="Percent 4 2" xfId="975" xr:uid="{00000000-0005-0000-0000-0000DB030000}"/>
    <cellStyle name="Percent 5" xfId="976" xr:uid="{00000000-0005-0000-0000-0000DC030000}"/>
    <cellStyle name="Percent 6" xfId="977" xr:uid="{00000000-0005-0000-0000-0000DD030000}"/>
    <cellStyle name="Percent 6 2" xfId="2264" xr:uid="{EE2B6A8B-2B0F-4BD7-A9CE-E78890045FD3}"/>
    <cellStyle name="Percent 7" xfId="978" xr:uid="{00000000-0005-0000-0000-0000DE030000}"/>
    <cellStyle name="Percent 7 2" xfId="979" xr:uid="{00000000-0005-0000-0000-0000DF030000}"/>
    <cellStyle name="Percent 7 2 2" xfId="2266" xr:uid="{72696321-384A-441A-B9CD-45373932379F}"/>
    <cellStyle name="Percent 7 3" xfId="2265" xr:uid="{CA8AF3CD-8F3E-4CF7-8A3E-5CE31E505909}"/>
    <cellStyle name="Percent 8" xfId="980" xr:uid="{00000000-0005-0000-0000-0000E0030000}"/>
    <cellStyle name="Percent 8 2" xfId="981" xr:uid="{00000000-0005-0000-0000-0000E1030000}"/>
    <cellStyle name="Percent 8 2 2" xfId="2268" xr:uid="{AA9DA153-3B66-4D28-A123-BD442407B5FB}"/>
    <cellStyle name="Percent 8 3" xfId="2267" xr:uid="{5F4E6598-0537-4565-80E8-FEC296EF7FC6}"/>
    <cellStyle name="Percent 9" xfId="982" xr:uid="{00000000-0005-0000-0000-0000E2030000}"/>
    <cellStyle name="Percent 9 2" xfId="983" xr:uid="{00000000-0005-0000-0000-0000E3030000}"/>
    <cellStyle name="Percent 9 2 2" xfId="2270" xr:uid="{EAB04F7C-1D07-449D-AB89-B5D4D69ADBA7}"/>
    <cellStyle name="Percent 9 3" xfId="2269" xr:uid="{EA427DAE-A378-484E-8E2A-BB9F717AE673}"/>
    <cellStyle name="Pourcentage_TEMPTRAN" xfId="984" xr:uid="{00000000-0005-0000-0000-0000E4030000}"/>
    <cellStyle name="PrePop Currency (0)" xfId="985" xr:uid="{00000000-0005-0000-0000-0000E5030000}"/>
    <cellStyle name="PrePop Currency (2)" xfId="986" xr:uid="{00000000-0005-0000-0000-0000E6030000}"/>
    <cellStyle name="PrePop Units (0)" xfId="987" xr:uid="{00000000-0005-0000-0000-0000E7030000}"/>
    <cellStyle name="PrePop Units (1)" xfId="988" xr:uid="{00000000-0005-0000-0000-0000E8030000}"/>
    <cellStyle name="PrePop Units (2)" xfId="989" xr:uid="{00000000-0005-0000-0000-0000E9030000}"/>
    <cellStyle name="Qt้ calcul้es" xfId="990" xr:uid="{00000000-0005-0000-0000-0000EA030000}"/>
    <cellStyle name="QT้ entr้es" xfId="991" xr:uid="{00000000-0005-0000-0000-0000EB030000}"/>
    <cellStyle name="report_title" xfId="992" xr:uid="{00000000-0005-0000-0000-0000EC030000}"/>
    <cellStyle name="Style 1" xfId="993" xr:uid="{00000000-0005-0000-0000-0000ED030000}"/>
    <cellStyle name="Style 1 2" xfId="994" xr:uid="{00000000-0005-0000-0000-0000EE030000}"/>
    <cellStyle name="Style 1 2 2" xfId="2271" xr:uid="{4EB7BFAE-D6FF-4040-BE3B-DD308169F6B9}"/>
    <cellStyle name="Style 1 3" xfId="995" xr:uid="{00000000-0005-0000-0000-0000EF030000}"/>
    <cellStyle name="Style 1 3 2" xfId="996" xr:uid="{00000000-0005-0000-0000-0000F0030000}"/>
    <cellStyle name="Style 1 3 2 2" xfId="2273" xr:uid="{C088A611-6F55-41E6-9077-A5E373ECCB4F}"/>
    <cellStyle name="Style 1 3 3" xfId="2272" xr:uid="{4EE99D87-468F-4B65-B2DD-77D0279F9EFF}"/>
    <cellStyle name="Style 1 4" xfId="997" xr:uid="{00000000-0005-0000-0000-0000F1030000}"/>
    <cellStyle name="Style 1 4 2" xfId="2274" xr:uid="{5205AEFD-959B-4808-9106-C9E451BA7B55}"/>
    <cellStyle name="Text Indent A" xfId="998" xr:uid="{00000000-0005-0000-0000-0000F2030000}"/>
    <cellStyle name="Text Indent B" xfId="999" xr:uid="{00000000-0005-0000-0000-0000F3030000}"/>
    <cellStyle name="Text Indent C" xfId="1000" xr:uid="{00000000-0005-0000-0000-0000F4030000}"/>
    <cellStyle name="TMS 24 - Style7" xfId="1001" xr:uid="{00000000-0005-0000-0000-0000F5030000}"/>
    <cellStyle name="Virg? [0]_RESULTS" xfId="1002" xr:uid="{00000000-0005-0000-0000-0000F6030000}"/>
    <cellStyle name="Virg?_RESULTS" xfId="1003" xr:uid="{00000000-0005-0000-0000-0000F7030000}"/>
    <cellStyle name="Virgule fixe" xfId="1004" xr:uid="{00000000-0005-0000-0000-0000F8030000}"/>
    <cellStyle name="เครื่องหมายจุลภาค 10" xfId="1005" xr:uid="{00000000-0005-0000-0000-0000FA030000}"/>
    <cellStyle name="เครื่องหมายจุลภาค 10 2" xfId="1006" xr:uid="{00000000-0005-0000-0000-0000FB030000}"/>
    <cellStyle name="เครื่องหมายจุลภาค 10 2 2" xfId="1007" xr:uid="{00000000-0005-0000-0000-0000FC030000}"/>
    <cellStyle name="เครื่องหมายจุลภาค 10 2 2 2" xfId="1008" xr:uid="{00000000-0005-0000-0000-0000FD030000}"/>
    <cellStyle name="เครื่องหมายจุลภาค 10 2 2 2 2" xfId="1009" xr:uid="{00000000-0005-0000-0000-0000FE030000}"/>
    <cellStyle name="เครื่องหมายจุลภาค 10 2 2 2 2 2" xfId="1010" xr:uid="{00000000-0005-0000-0000-0000FF030000}"/>
    <cellStyle name="เครื่องหมายจุลภาค 10 2 2 2 2 2 2" xfId="2280" xr:uid="{5ACC9D44-FE79-4194-ACB0-D67018B86450}"/>
    <cellStyle name="เครื่องหมายจุลภาค 10 2 2 2 2 3" xfId="2279" xr:uid="{1158051A-7C63-47D2-B643-1C34F7756FA9}"/>
    <cellStyle name="เครื่องหมายจุลภาค 10 2 2 2 3" xfId="1011" xr:uid="{00000000-0005-0000-0000-000000040000}"/>
    <cellStyle name="เครื่องหมายจุลภาค 10 2 2 2 3 2" xfId="2281" xr:uid="{B7CAE96C-D028-4F6A-A513-B6CDBBA31A84}"/>
    <cellStyle name="เครื่องหมายจุลภาค 10 2 2 2 4" xfId="2278" xr:uid="{7D1E5250-49FE-4FD7-9C41-45645B36A514}"/>
    <cellStyle name="เครื่องหมายจุลภาค 10 2 2 3" xfId="1012" xr:uid="{00000000-0005-0000-0000-000001040000}"/>
    <cellStyle name="เครื่องหมายจุลภาค 10 2 2 3 2" xfId="1013" xr:uid="{00000000-0005-0000-0000-000002040000}"/>
    <cellStyle name="เครื่องหมายจุลภาค 10 2 2 3 2 2" xfId="2283" xr:uid="{CB257E63-B0A9-41F4-94B0-50BCB45E48DE}"/>
    <cellStyle name="เครื่องหมายจุลภาค 10 2 2 3 3" xfId="2282" xr:uid="{D62229D7-AEE0-4678-B8C1-E9DC3D4DE1EA}"/>
    <cellStyle name="เครื่องหมายจุลภาค 10 2 2 4" xfId="1014" xr:uid="{00000000-0005-0000-0000-000003040000}"/>
    <cellStyle name="เครื่องหมายจุลภาค 10 2 2 4 2" xfId="2284" xr:uid="{3999B1D4-FF3F-4BDD-879D-A871A099B605}"/>
    <cellStyle name="เครื่องหมายจุลภาค 10 2 2 5" xfId="2277" xr:uid="{457FD579-ADEC-4D15-959E-D92144502FFA}"/>
    <cellStyle name="เครื่องหมายจุลภาค 10 2 3" xfId="1015" xr:uid="{00000000-0005-0000-0000-000004040000}"/>
    <cellStyle name="เครื่องหมายจุลภาค 10 2 3 2" xfId="1016" xr:uid="{00000000-0005-0000-0000-000005040000}"/>
    <cellStyle name="เครื่องหมายจุลภาค 10 2 3 2 2" xfId="1017" xr:uid="{00000000-0005-0000-0000-000006040000}"/>
    <cellStyle name="เครื่องหมายจุลภาค 10 2 3 2 2 2" xfId="2287" xr:uid="{D2E947F0-103B-4761-AA5A-3A7408EDF18C}"/>
    <cellStyle name="เครื่องหมายจุลภาค 10 2 3 2 3" xfId="2286" xr:uid="{0B735E19-59B6-4137-8978-5212625DCEBD}"/>
    <cellStyle name="เครื่องหมายจุลภาค 10 2 3 3" xfId="1018" xr:uid="{00000000-0005-0000-0000-000007040000}"/>
    <cellStyle name="เครื่องหมายจุลภาค 10 2 3 3 2" xfId="2288" xr:uid="{1900DC6D-B673-48A6-AF68-ED0C1B26A088}"/>
    <cellStyle name="เครื่องหมายจุลภาค 10 2 3 4" xfId="2285" xr:uid="{258F2955-22A0-4EE7-9645-8C3C7A14625D}"/>
    <cellStyle name="เครื่องหมายจุลภาค 10 2 4" xfId="1019" xr:uid="{00000000-0005-0000-0000-000008040000}"/>
    <cellStyle name="เครื่องหมายจุลภาค 10 2 4 2" xfId="1020" xr:uid="{00000000-0005-0000-0000-000009040000}"/>
    <cellStyle name="เครื่องหมายจุลภาค 10 2 4 2 2" xfId="2290" xr:uid="{0190E1AE-CBCF-4E62-861B-3A139E78C976}"/>
    <cellStyle name="เครื่องหมายจุลภาค 10 2 4 3" xfId="2289" xr:uid="{6C89DEB8-88D5-4E0F-9179-A53C7AB8C192}"/>
    <cellStyle name="เครื่องหมายจุลภาค 10 2 5" xfId="1021" xr:uid="{00000000-0005-0000-0000-00000A040000}"/>
    <cellStyle name="เครื่องหมายจุลภาค 10 2 5 2" xfId="2291" xr:uid="{3407085F-7686-41F5-8901-A752C4C31A23}"/>
    <cellStyle name="เครื่องหมายจุลภาค 10 2 6" xfId="2276" xr:uid="{6B4FB9DF-145C-4A56-97F6-C3676DB25023}"/>
    <cellStyle name="เครื่องหมายจุลภาค 10 3" xfId="1022" xr:uid="{00000000-0005-0000-0000-00000B040000}"/>
    <cellStyle name="เครื่องหมายจุลภาค 10 3 2" xfId="1023" xr:uid="{00000000-0005-0000-0000-00000C040000}"/>
    <cellStyle name="เครื่องหมายจุลภาค 10 3 2 2" xfId="1024" xr:uid="{00000000-0005-0000-0000-00000D040000}"/>
    <cellStyle name="เครื่องหมายจุลภาค 10 3 2 2 2" xfId="1025" xr:uid="{00000000-0005-0000-0000-00000E040000}"/>
    <cellStyle name="เครื่องหมายจุลภาค 10 3 2 2 2 2" xfId="2295" xr:uid="{76C50743-966F-4B55-A882-8CEFCEEF3DD2}"/>
    <cellStyle name="เครื่องหมายจุลภาค 10 3 2 2 3" xfId="2294" xr:uid="{F64F6605-EBFB-4E80-8C72-466A1CB3E661}"/>
    <cellStyle name="เครื่องหมายจุลภาค 10 3 2 3" xfId="1026" xr:uid="{00000000-0005-0000-0000-00000F040000}"/>
    <cellStyle name="เครื่องหมายจุลภาค 10 3 2 3 2" xfId="2296" xr:uid="{B19E3444-952A-4D19-90E3-22978C9456C6}"/>
    <cellStyle name="เครื่องหมายจุลภาค 10 3 2 4" xfId="2293" xr:uid="{F30C77D2-6D83-48D2-AC31-26B50A466747}"/>
    <cellStyle name="เครื่องหมายจุลภาค 10 3 3" xfId="1027" xr:uid="{00000000-0005-0000-0000-000010040000}"/>
    <cellStyle name="เครื่องหมายจุลภาค 10 3 3 2" xfId="1028" xr:uid="{00000000-0005-0000-0000-000011040000}"/>
    <cellStyle name="เครื่องหมายจุลภาค 10 3 3 2 2" xfId="2298" xr:uid="{761F1F7C-7E8A-4890-B1BB-7AFB6F988C00}"/>
    <cellStyle name="เครื่องหมายจุลภาค 10 3 3 3" xfId="2297" xr:uid="{DB3531F6-2B7F-4251-BBA0-92CD2C195925}"/>
    <cellStyle name="เครื่องหมายจุลภาค 10 3 4" xfId="1029" xr:uid="{00000000-0005-0000-0000-000012040000}"/>
    <cellStyle name="เครื่องหมายจุลภาค 10 3 4 2" xfId="2299" xr:uid="{D8EFBB0E-4AF2-4D63-A056-31BE81F4AD91}"/>
    <cellStyle name="เครื่องหมายจุลภาค 10 3 5" xfId="2292" xr:uid="{3EB2BF6F-5C46-4D8D-B379-25F3FD81DFB1}"/>
    <cellStyle name="เครื่องหมายจุลภาค 10 4" xfId="1030" xr:uid="{00000000-0005-0000-0000-000013040000}"/>
    <cellStyle name="เครื่องหมายจุลภาค 10 4 2" xfId="1031" xr:uid="{00000000-0005-0000-0000-000014040000}"/>
    <cellStyle name="เครื่องหมายจุลภาค 10 4 2 2" xfId="1032" xr:uid="{00000000-0005-0000-0000-000015040000}"/>
    <cellStyle name="เครื่องหมายจุลภาค 10 4 2 2 2" xfId="2302" xr:uid="{B15EE91F-85D8-44AA-A3FB-EFC3F448B4F3}"/>
    <cellStyle name="เครื่องหมายจุลภาค 10 4 2 3" xfId="2301" xr:uid="{5B46B100-8CF5-42FC-8E71-934920EDB5CA}"/>
    <cellStyle name="เครื่องหมายจุลภาค 10 4 3" xfId="1033" xr:uid="{00000000-0005-0000-0000-000016040000}"/>
    <cellStyle name="เครื่องหมายจุลภาค 10 4 3 2" xfId="2303" xr:uid="{54D672A3-93E2-4BF4-BFCB-10ECDF0A089F}"/>
    <cellStyle name="เครื่องหมายจุลภาค 10 4 4" xfId="2300" xr:uid="{4C081667-F748-4E6B-A048-D425842D8654}"/>
    <cellStyle name="เครื่องหมายจุลภาค 10 5" xfId="1034" xr:uid="{00000000-0005-0000-0000-000017040000}"/>
    <cellStyle name="เครื่องหมายจุลภาค 10 5 2" xfId="1035" xr:uid="{00000000-0005-0000-0000-000018040000}"/>
    <cellStyle name="เครื่องหมายจุลภาค 10 5 2 2" xfId="2305" xr:uid="{DBD796BC-6458-4D52-999B-6A97B50FD355}"/>
    <cellStyle name="เครื่องหมายจุลภาค 10 5 3" xfId="2304" xr:uid="{9A1F1FDA-4232-46E1-9228-715D17DD7169}"/>
    <cellStyle name="เครื่องหมายจุลภาค 10 6" xfId="1036" xr:uid="{00000000-0005-0000-0000-000019040000}"/>
    <cellStyle name="เครื่องหมายจุลภาค 10 6 2" xfId="2306" xr:uid="{1BCDC975-DD0B-49CD-B483-53D40824D091}"/>
    <cellStyle name="เครื่องหมายจุลภาค 10 7" xfId="2275" xr:uid="{A98D9E31-920A-4A1B-A3A4-015DF633E034}"/>
    <cellStyle name="เครื่องหมายจุลภาค 11 2" xfId="1037" xr:uid="{00000000-0005-0000-0000-00001A040000}"/>
    <cellStyle name="เครื่องหมายจุลภาค 11 2 2" xfId="1038" xr:uid="{00000000-0005-0000-0000-00001B040000}"/>
    <cellStyle name="เครื่องหมายจุลภาค 11 2 2 2" xfId="1039" xr:uid="{00000000-0005-0000-0000-00001C040000}"/>
    <cellStyle name="เครื่องหมายจุลภาค 11 2 2 2 2" xfId="1040" xr:uid="{00000000-0005-0000-0000-00001D040000}"/>
    <cellStyle name="เครื่องหมายจุลภาค 11 2 2 2 2 2" xfId="1041" xr:uid="{00000000-0005-0000-0000-00001E040000}"/>
    <cellStyle name="เครื่องหมายจุลภาค 11 2 2 2 2 2 2" xfId="2311" xr:uid="{DEBF50D9-148D-49ED-A074-A0DD6F9F6990}"/>
    <cellStyle name="เครื่องหมายจุลภาค 11 2 2 2 2 3" xfId="2310" xr:uid="{0FCCF65E-593D-4B4E-A92B-546F38153041}"/>
    <cellStyle name="เครื่องหมายจุลภาค 11 2 2 2 3" xfId="1042" xr:uid="{00000000-0005-0000-0000-00001F040000}"/>
    <cellStyle name="เครื่องหมายจุลภาค 11 2 2 2 3 2" xfId="2312" xr:uid="{1A79155F-6931-4AE6-89C9-50778BF59599}"/>
    <cellStyle name="เครื่องหมายจุลภาค 11 2 2 2 4" xfId="2309" xr:uid="{E64CC8DE-5F16-47C8-BAC1-E9B5B0E52DC6}"/>
    <cellStyle name="เครื่องหมายจุลภาค 11 2 2 3" xfId="1043" xr:uid="{00000000-0005-0000-0000-000020040000}"/>
    <cellStyle name="เครื่องหมายจุลภาค 11 2 2 3 2" xfId="1044" xr:uid="{00000000-0005-0000-0000-000021040000}"/>
    <cellStyle name="เครื่องหมายจุลภาค 11 2 2 3 2 2" xfId="2314" xr:uid="{2D9981C2-0347-400E-97FD-72156B4DF41E}"/>
    <cellStyle name="เครื่องหมายจุลภาค 11 2 2 3 3" xfId="2313" xr:uid="{9883948A-40DF-4CE5-9816-A534625493FE}"/>
    <cellStyle name="เครื่องหมายจุลภาค 11 2 2 4" xfId="1045" xr:uid="{00000000-0005-0000-0000-000022040000}"/>
    <cellStyle name="เครื่องหมายจุลภาค 11 2 2 4 2" xfId="2315" xr:uid="{ED2D7474-7937-420C-9B52-D611DAB7A1F5}"/>
    <cellStyle name="เครื่องหมายจุลภาค 11 2 2 5" xfId="2308" xr:uid="{B7A01D19-3797-4172-84C1-104C0EDC62C4}"/>
    <cellStyle name="เครื่องหมายจุลภาค 11 2 3" xfId="1046" xr:uid="{00000000-0005-0000-0000-000023040000}"/>
    <cellStyle name="เครื่องหมายจุลภาค 11 2 3 2" xfId="1047" xr:uid="{00000000-0005-0000-0000-000024040000}"/>
    <cellStyle name="เครื่องหมายจุลภาค 11 2 3 2 2" xfId="1048" xr:uid="{00000000-0005-0000-0000-000025040000}"/>
    <cellStyle name="เครื่องหมายจุลภาค 11 2 3 2 2 2" xfId="2318" xr:uid="{D46CDE51-BB80-42D8-89FA-7748D578CC1D}"/>
    <cellStyle name="เครื่องหมายจุลภาค 11 2 3 2 3" xfId="2317" xr:uid="{12027BD6-22C9-4AC3-A11F-E0BA1F33A066}"/>
    <cellStyle name="เครื่องหมายจุลภาค 11 2 3 3" xfId="1049" xr:uid="{00000000-0005-0000-0000-000026040000}"/>
    <cellStyle name="เครื่องหมายจุลภาค 11 2 3 3 2" xfId="2319" xr:uid="{7009BFD4-C327-46C0-8020-D6E01ADE6CCF}"/>
    <cellStyle name="เครื่องหมายจุลภาค 11 2 3 4" xfId="2316" xr:uid="{A6AC6490-1C8B-4382-BB57-D4B6410FDB0C}"/>
    <cellStyle name="เครื่องหมายจุลภาค 11 2 4" xfId="1050" xr:uid="{00000000-0005-0000-0000-000027040000}"/>
    <cellStyle name="เครื่องหมายจุลภาค 11 2 4 2" xfId="1051" xr:uid="{00000000-0005-0000-0000-000028040000}"/>
    <cellStyle name="เครื่องหมายจุลภาค 11 2 4 2 2" xfId="2321" xr:uid="{AF7CC5FE-F754-48CF-A30C-DFF29FA3520D}"/>
    <cellStyle name="เครื่องหมายจุลภาค 11 2 4 3" xfId="2320" xr:uid="{E70FAFB5-B796-4F0F-AC1E-718A5A624F03}"/>
    <cellStyle name="เครื่องหมายจุลภาค 11 2 5" xfId="1052" xr:uid="{00000000-0005-0000-0000-000029040000}"/>
    <cellStyle name="เครื่องหมายจุลภาค 11 2 5 2" xfId="2322" xr:uid="{E4215BB4-5EE7-4B0F-82D9-D98758CAE93A}"/>
    <cellStyle name="เครื่องหมายจุลภาค 11 2 6" xfId="2307" xr:uid="{FE774692-DB3B-499E-AEA9-FC8E5F9267B8}"/>
    <cellStyle name="เครื่องหมายจุลภาค 12" xfId="1053" xr:uid="{00000000-0005-0000-0000-00002A040000}"/>
    <cellStyle name="เครื่องหมายจุลภาค 12 2" xfId="1054" xr:uid="{00000000-0005-0000-0000-00002B040000}"/>
    <cellStyle name="เครื่องหมายจุลภาค 12 2 2" xfId="1055" xr:uid="{00000000-0005-0000-0000-00002C040000}"/>
    <cellStyle name="เครื่องหมายจุลภาค 12 2 2 2" xfId="1056" xr:uid="{00000000-0005-0000-0000-00002D040000}"/>
    <cellStyle name="เครื่องหมายจุลภาค 12 2 2 2 2" xfId="1057" xr:uid="{00000000-0005-0000-0000-00002E040000}"/>
    <cellStyle name="เครื่องหมายจุลภาค 12 2 2 2 2 2" xfId="2327" xr:uid="{1CBB9567-7410-4E62-A603-EFBE70DE51D3}"/>
    <cellStyle name="เครื่องหมายจุลภาค 12 2 2 2 3" xfId="2326" xr:uid="{D317FC20-2D14-4F43-9E11-D38E5BB87DCE}"/>
    <cellStyle name="เครื่องหมายจุลภาค 12 2 2 3" xfId="1058" xr:uid="{00000000-0005-0000-0000-00002F040000}"/>
    <cellStyle name="เครื่องหมายจุลภาค 12 2 2 3 2" xfId="2328" xr:uid="{BC175273-2AA4-43EC-A002-BF11538BE21C}"/>
    <cellStyle name="เครื่องหมายจุลภาค 12 2 2 4" xfId="2325" xr:uid="{30269414-96DF-4C0B-AB52-6FCA55B77A03}"/>
    <cellStyle name="เครื่องหมายจุลภาค 12 2 3" xfId="1059" xr:uid="{00000000-0005-0000-0000-000030040000}"/>
    <cellStyle name="เครื่องหมายจุลภาค 12 2 3 2" xfId="1060" xr:uid="{00000000-0005-0000-0000-000031040000}"/>
    <cellStyle name="เครื่องหมายจุลภาค 12 2 3 2 2" xfId="2330" xr:uid="{099EF84C-E3E9-4298-A8DA-47BE94DF6AB4}"/>
    <cellStyle name="เครื่องหมายจุลภาค 12 2 3 3" xfId="2329" xr:uid="{CA83BAF9-D5A2-4DF3-A276-1B0DF940CD3E}"/>
    <cellStyle name="เครื่องหมายจุลภาค 12 2 4" xfId="1061" xr:uid="{00000000-0005-0000-0000-000032040000}"/>
    <cellStyle name="เครื่องหมายจุลภาค 12 2 4 2" xfId="2331" xr:uid="{B8619BAD-293F-4941-9091-DE7D1E0A40F5}"/>
    <cellStyle name="เครื่องหมายจุลภาค 12 2 5" xfId="2324" xr:uid="{3CDB8C00-66DA-4373-B0BE-850EB0E7C0AD}"/>
    <cellStyle name="เครื่องหมายจุลภาค 12 3" xfId="1062" xr:uid="{00000000-0005-0000-0000-000033040000}"/>
    <cellStyle name="เครื่องหมายจุลภาค 12 3 2" xfId="1063" xr:uid="{00000000-0005-0000-0000-000034040000}"/>
    <cellStyle name="เครื่องหมายจุลภาค 12 3 2 2" xfId="1064" xr:uid="{00000000-0005-0000-0000-000035040000}"/>
    <cellStyle name="เครื่องหมายจุลภาค 12 3 2 2 2" xfId="2334" xr:uid="{BA19EA90-EDBA-4334-B4E2-F8CC8675DE1C}"/>
    <cellStyle name="เครื่องหมายจุลภาค 12 3 2 3" xfId="2333" xr:uid="{A3485931-1F0A-4A15-BC32-9F0AF8AE5A82}"/>
    <cellStyle name="เครื่องหมายจุลภาค 12 3 3" xfId="1065" xr:uid="{00000000-0005-0000-0000-000036040000}"/>
    <cellStyle name="เครื่องหมายจุลภาค 12 3 3 2" xfId="2335" xr:uid="{772768F5-8BBB-4E4A-9BAC-E28AC737631C}"/>
    <cellStyle name="เครื่องหมายจุลภาค 12 3 4" xfId="2332" xr:uid="{81313106-44A6-4A4A-AB0B-B6C97A1578A1}"/>
    <cellStyle name="เครื่องหมายจุลภาค 12 4" xfId="1066" xr:uid="{00000000-0005-0000-0000-000037040000}"/>
    <cellStyle name="เครื่องหมายจุลภาค 12 4 2" xfId="1067" xr:uid="{00000000-0005-0000-0000-000038040000}"/>
    <cellStyle name="เครื่องหมายจุลภาค 12 4 2 2" xfId="2337" xr:uid="{79B527EF-ABE2-4125-863A-E1834633D88D}"/>
    <cellStyle name="เครื่องหมายจุลภาค 12 4 3" xfId="2336" xr:uid="{DFF8916A-0B8F-4CD7-89BA-44A538A4B45C}"/>
    <cellStyle name="เครื่องหมายจุลภาค 12 5" xfId="1068" xr:uid="{00000000-0005-0000-0000-000039040000}"/>
    <cellStyle name="เครื่องหมายจุลภาค 12 5 2" xfId="2338" xr:uid="{3423F9AF-AC14-4D07-B3B1-57931882356B}"/>
    <cellStyle name="เครื่องหมายจุลภาค 12 6" xfId="2323" xr:uid="{94A5DA52-0A77-4CA5-A4FE-6D0C1B127FBD}"/>
    <cellStyle name="เครื่องหมายจุลภาค 13" xfId="1069" xr:uid="{00000000-0005-0000-0000-00003A040000}"/>
    <cellStyle name="เครื่องหมายจุลภาค 2" xfId="1070" xr:uid="{00000000-0005-0000-0000-00003B040000}"/>
    <cellStyle name="เครื่องหมายจุลภาค 2 10 2" xfId="1071" xr:uid="{00000000-0005-0000-0000-00003C040000}"/>
    <cellStyle name="เครื่องหมายจุลภาค 2 10 2 2" xfId="1072" xr:uid="{00000000-0005-0000-0000-00003D040000}"/>
    <cellStyle name="เครื่องหมายจุลภาค 2 10 2 2 2" xfId="1073" xr:uid="{00000000-0005-0000-0000-00003E040000}"/>
    <cellStyle name="เครื่องหมายจุลภาค 2 10 2 2 2 2" xfId="1074" xr:uid="{00000000-0005-0000-0000-00003F040000}"/>
    <cellStyle name="เครื่องหมายจุลภาค 2 10 2 2 2 2 2" xfId="1075" xr:uid="{00000000-0005-0000-0000-000040040000}"/>
    <cellStyle name="เครื่องหมายจุลภาค 2 10 2 2 2 2 2 2" xfId="2344" xr:uid="{386218AC-6B25-4DAD-A8E2-6E3A1F70DE15}"/>
    <cellStyle name="เครื่องหมายจุลภาค 2 10 2 2 2 2 3" xfId="2343" xr:uid="{4390BC63-00D8-4B67-8598-8EC48638142B}"/>
    <cellStyle name="เครื่องหมายจุลภาค 2 10 2 2 2 3" xfId="1076" xr:uid="{00000000-0005-0000-0000-000041040000}"/>
    <cellStyle name="เครื่องหมายจุลภาค 2 10 2 2 2 3 2" xfId="2345" xr:uid="{2A136DB8-8530-4A23-AB98-8C530E66221B}"/>
    <cellStyle name="เครื่องหมายจุลภาค 2 10 2 2 2 4" xfId="2342" xr:uid="{53536143-2634-4752-8201-BAB261BF05C6}"/>
    <cellStyle name="เครื่องหมายจุลภาค 2 10 2 2 3" xfId="1077" xr:uid="{00000000-0005-0000-0000-000042040000}"/>
    <cellStyle name="เครื่องหมายจุลภาค 2 10 2 2 3 2" xfId="1078" xr:uid="{00000000-0005-0000-0000-000043040000}"/>
    <cellStyle name="เครื่องหมายจุลภาค 2 10 2 2 3 2 2" xfId="2347" xr:uid="{C925B0E0-B98B-4A34-980E-706863EF0E57}"/>
    <cellStyle name="เครื่องหมายจุลภาค 2 10 2 2 3 3" xfId="2346" xr:uid="{218A5DA7-76E3-4078-A28D-D574235AAA40}"/>
    <cellStyle name="เครื่องหมายจุลภาค 2 10 2 2 4" xfId="1079" xr:uid="{00000000-0005-0000-0000-000044040000}"/>
    <cellStyle name="เครื่องหมายจุลภาค 2 10 2 2 4 2" xfId="2348" xr:uid="{C8D59FB8-EA0C-4A2B-8FDC-A52411792926}"/>
    <cellStyle name="เครื่องหมายจุลภาค 2 10 2 2 5" xfId="2341" xr:uid="{1C0F4522-E2C7-4128-9620-CC61FF6C655B}"/>
    <cellStyle name="เครื่องหมายจุลภาค 2 10 2 3" xfId="1080" xr:uid="{00000000-0005-0000-0000-000045040000}"/>
    <cellStyle name="เครื่องหมายจุลภาค 2 10 2 3 2" xfId="1081" xr:uid="{00000000-0005-0000-0000-000046040000}"/>
    <cellStyle name="เครื่องหมายจุลภาค 2 10 2 3 2 2" xfId="1082" xr:uid="{00000000-0005-0000-0000-000047040000}"/>
    <cellStyle name="เครื่องหมายจุลภาค 2 10 2 3 2 2 2" xfId="2351" xr:uid="{06B0472B-BAA2-4B73-808F-546AD5657BF8}"/>
    <cellStyle name="เครื่องหมายจุลภาค 2 10 2 3 2 3" xfId="2350" xr:uid="{6DD79777-757C-4A55-9148-56516466E784}"/>
    <cellStyle name="เครื่องหมายจุลภาค 2 10 2 3 3" xfId="1083" xr:uid="{00000000-0005-0000-0000-000048040000}"/>
    <cellStyle name="เครื่องหมายจุลภาค 2 10 2 3 3 2" xfId="2352" xr:uid="{859EA183-D889-45ED-9FF8-368CB93D6AEF}"/>
    <cellStyle name="เครื่องหมายจุลภาค 2 10 2 3 4" xfId="2349" xr:uid="{A35D23F1-BB61-41A4-8329-0D911B05F778}"/>
    <cellStyle name="เครื่องหมายจุลภาค 2 10 2 4" xfId="1084" xr:uid="{00000000-0005-0000-0000-000049040000}"/>
    <cellStyle name="เครื่องหมายจุลภาค 2 10 2 4 2" xfId="1085" xr:uid="{00000000-0005-0000-0000-00004A040000}"/>
    <cellStyle name="เครื่องหมายจุลภาค 2 10 2 4 2 2" xfId="2354" xr:uid="{BEC9EB2E-16E6-4F6A-AE18-880FB202B970}"/>
    <cellStyle name="เครื่องหมายจุลภาค 2 10 2 4 3" xfId="2353" xr:uid="{042DA3BA-F0DA-4562-9F8A-F7913C9AF609}"/>
    <cellStyle name="เครื่องหมายจุลภาค 2 10 2 5" xfId="1086" xr:uid="{00000000-0005-0000-0000-00004B040000}"/>
    <cellStyle name="เครื่องหมายจุลภาค 2 10 2 5 2" xfId="2355" xr:uid="{B3EF8787-8662-43F3-91F4-34C5F513A2D1}"/>
    <cellStyle name="เครื่องหมายจุลภาค 2 10 2 6" xfId="2340" xr:uid="{E5D01CEF-A7EA-427E-ADF3-A29022B833FD}"/>
    <cellStyle name="เครื่องหมายจุลภาค 2 2" xfId="1087" xr:uid="{00000000-0005-0000-0000-00004C040000}"/>
    <cellStyle name="เครื่องหมายจุลภาค 2 2 2" xfId="1088" xr:uid="{00000000-0005-0000-0000-00004D040000}"/>
    <cellStyle name="เครื่องหมายจุลภาค 2 2 2 2" xfId="1089" xr:uid="{00000000-0005-0000-0000-00004E040000}"/>
    <cellStyle name="เครื่องหมายจุลภาค 2 2 2 2 2" xfId="1090" xr:uid="{00000000-0005-0000-0000-00004F040000}"/>
    <cellStyle name="เครื่องหมายจุลภาค 2 2 2 2 2 2" xfId="1091" xr:uid="{00000000-0005-0000-0000-000050040000}"/>
    <cellStyle name="เครื่องหมายจุลภาค 2 2 2 2 2 2 2" xfId="2360" xr:uid="{6D484E0A-9473-4886-93E7-EA7DAB6B5A71}"/>
    <cellStyle name="เครื่องหมายจุลภาค 2 2 2 2 2 3" xfId="2359" xr:uid="{D4FBCCC1-DC64-45F9-AEB7-551F1096CA1C}"/>
    <cellStyle name="เครื่องหมายจุลภาค 2 2 2 2 3" xfId="1092" xr:uid="{00000000-0005-0000-0000-000051040000}"/>
    <cellStyle name="เครื่องหมายจุลภาค 2 2 2 2 3 2" xfId="2361" xr:uid="{B290E2D4-B370-4507-B1AC-CB7594F9A984}"/>
    <cellStyle name="เครื่องหมายจุลภาค 2 2 2 2 4" xfId="2358" xr:uid="{08C3B629-11BF-43A1-B58F-1192A060D899}"/>
    <cellStyle name="เครื่องหมายจุลภาค 2 2 2 3" xfId="1093" xr:uid="{00000000-0005-0000-0000-000052040000}"/>
    <cellStyle name="เครื่องหมายจุลภาค 2 2 2 3 2" xfId="1094" xr:uid="{00000000-0005-0000-0000-000053040000}"/>
    <cellStyle name="เครื่องหมายจุลภาค 2 2 2 3 2 2" xfId="2363" xr:uid="{7079CF49-3312-4A26-A36F-618579DE89FE}"/>
    <cellStyle name="เครื่องหมายจุลภาค 2 2 2 3 3" xfId="2362" xr:uid="{AB851C49-4EF9-4228-BDE0-AF2FDBD65DB9}"/>
    <cellStyle name="เครื่องหมายจุลภาค 2 2 2 4" xfId="1095" xr:uid="{00000000-0005-0000-0000-000054040000}"/>
    <cellStyle name="เครื่องหมายจุลภาค 2 2 2 4 2" xfId="2364" xr:uid="{5D6BB078-7BDF-4CA0-B259-E232810E29B1}"/>
    <cellStyle name="เครื่องหมายจุลภาค 2 2 2 5" xfId="2357" xr:uid="{4B2BC413-08E3-42C5-9AA9-E244FC4977A5}"/>
    <cellStyle name="เครื่องหมายจุลภาค 2 2 3" xfId="1096" xr:uid="{00000000-0005-0000-0000-000055040000}"/>
    <cellStyle name="เครื่องหมายจุลภาค 2 2 3 2" xfId="1097" xr:uid="{00000000-0005-0000-0000-000056040000}"/>
    <cellStyle name="เครื่องหมายจุลภาค 2 2 3 2 2" xfId="1098" xr:uid="{00000000-0005-0000-0000-000057040000}"/>
    <cellStyle name="เครื่องหมายจุลภาค 2 2 3 2 2 2" xfId="2367" xr:uid="{65E317C6-8778-4074-B2F5-0123291C4126}"/>
    <cellStyle name="เครื่องหมายจุลภาค 2 2 3 2 3" xfId="2366" xr:uid="{41B8F517-78AD-415E-83FF-ACC297592B40}"/>
    <cellStyle name="เครื่องหมายจุลภาค 2 2 3 3" xfId="1099" xr:uid="{00000000-0005-0000-0000-000058040000}"/>
    <cellStyle name="เครื่องหมายจุลภาค 2 2 3 3 2" xfId="2368" xr:uid="{8F580389-1F41-4505-A7BE-5D904C20453B}"/>
    <cellStyle name="เครื่องหมายจุลภาค 2 2 3 4" xfId="2365" xr:uid="{1B13F0AF-AC43-446B-A727-5CDA768F027D}"/>
    <cellStyle name="เครื่องหมายจุลภาค 2 2 4" xfId="1100" xr:uid="{00000000-0005-0000-0000-000059040000}"/>
    <cellStyle name="เครื่องหมายจุลภาค 2 2 4 2" xfId="1101" xr:uid="{00000000-0005-0000-0000-00005A040000}"/>
    <cellStyle name="เครื่องหมายจุลภาค 2 2 4 2 2" xfId="2370" xr:uid="{0321EC80-289D-421F-8BFD-2CC88145E6DB}"/>
    <cellStyle name="เครื่องหมายจุลภาค 2 2 4 3" xfId="2369" xr:uid="{A7D0ACC7-81AE-45CB-9997-9E2212D43CFA}"/>
    <cellStyle name="เครื่องหมายจุลภาค 2 2 5" xfId="1102" xr:uid="{00000000-0005-0000-0000-00005B040000}"/>
    <cellStyle name="เครื่องหมายจุลภาค 2 2 5 2" xfId="2371" xr:uid="{F539A7B1-C79E-446A-AAAB-648F6F2DD8D0}"/>
    <cellStyle name="เครื่องหมายจุลภาค 2 2 6" xfId="2356" xr:uid="{869B3AE9-7DFF-40ED-A4B9-5A9F58EFC603}"/>
    <cellStyle name="เครื่องหมายจุลภาค 2 3" xfId="1103" xr:uid="{00000000-0005-0000-0000-00005C040000}"/>
    <cellStyle name="เครื่องหมายจุลภาค 2 3 2" xfId="1104" xr:uid="{00000000-0005-0000-0000-00005D040000}"/>
    <cellStyle name="เครื่องหมายจุลภาค 2 3 2 2" xfId="1105" xr:uid="{00000000-0005-0000-0000-00005E040000}"/>
    <cellStyle name="เครื่องหมายจุลภาค 2 3 2 2 2" xfId="1106" xr:uid="{00000000-0005-0000-0000-00005F040000}"/>
    <cellStyle name="เครื่องหมายจุลภาค 2 3 2 2 2 2" xfId="2375" xr:uid="{06EF3E84-8008-496D-B63B-AC0B42A2A862}"/>
    <cellStyle name="เครื่องหมายจุลภาค 2 3 2 2 3" xfId="2374" xr:uid="{2E2F3F2F-61DA-4DB1-BC2A-CE977BCA0DA5}"/>
    <cellStyle name="เครื่องหมายจุลภาค 2 3 2 3" xfId="1107" xr:uid="{00000000-0005-0000-0000-000060040000}"/>
    <cellStyle name="เครื่องหมายจุลภาค 2 3 2 3 2" xfId="2376" xr:uid="{38FB174F-275A-4FF1-9DF6-7721EA1BC247}"/>
    <cellStyle name="เครื่องหมายจุลภาค 2 3 2 4" xfId="2373" xr:uid="{650E628A-785E-4331-9E85-7C66F189D39F}"/>
    <cellStyle name="เครื่องหมายจุลภาค 2 3 3" xfId="1108" xr:uid="{00000000-0005-0000-0000-000061040000}"/>
    <cellStyle name="เครื่องหมายจุลภาค 2 3 3 2" xfId="1109" xr:uid="{00000000-0005-0000-0000-000062040000}"/>
    <cellStyle name="เครื่องหมายจุลภาค 2 3 3 2 2" xfId="2378" xr:uid="{860DD0DF-4CFD-4C66-B3F7-60A09543F9B5}"/>
    <cellStyle name="เครื่องหมายจุลภาค 2 3 3 3" xfId="2377" xr:uid="{330025D7-CCA3-4759-9299-B34A7987AAE0}"/>
    <cellStyle name="เครื่องหมายจุลภาค 2 3 4" xfId="1110" xr:uid="{00000000-0005-0000-0000-000063040000}"/>
    <cellStyle name="เครื่องหมายจุลภาค 2 3 4 2" xfId="2379" xr:uid="{64FD15A2-ED3E-4F19-A533-82642CC99882}"/>
    <cellStyle name="เครื่องหมายจุลภาค 2 3 5" xfId="2372" xr:uid="{18653893-2B83-4520-8B17-245B5AD1B163}"/>
    <cellStyle name="เครื่องหมายจุลภาค 2 4" xfId="1111" xr:uid="{00000000-0005-0000-0000-000064040000}"/>
    <cellStyle name="เครื่องหมายจุลภาค 2 4 2" xfId="1112" xr:uid="{00000000-0005-0000-0000-000065040000}"/>
    <cellStyle name="เครื่องหมายจุลภาค 2 4 2 2" xfId="1113" xr:uid="{00000000-0005-0000-0000-000066040000}"/>
    <cellStyle name="เครื่องหมายจุลภาค 2 4 2 2 2" xfId="2382" xr:uid="{76D07D51-E616-4FCD-8373-77BCD36B79BC}"/>
    <cellStyle name="เครื่องหมายจุลภาค 2 4 2 3" xfId="2381" xr:uid="{6A842FC6-4FAB-4AF9-9A56-39D5CFCBB721}"/>
    <cellStyle name="เครื่องหมายจุลภาค 2 4 3" xfId="1114" xr:uid="{00000000-0005-0000-0000-000067040000}"/>
    <cellStyle name="เครื่องหมายจุลภาค 2 4 3 2" xfId="2383" xr:uid="{0361EB92-304E-457A-A160-7D878FF0C3FA}"/>
    <cellStyle name="เครื่องหมายจุลภาค 2 4 4" xfId="2380" xr:uid="{7237FF2F-CEF3-4195-B7DE-B85753C25443}"/>
    <cellStyle name="เครื่องหมายจุลภาค 2 5" xfId="1115" xr:uid="{00000000-0005-0000-0000-000068040000}"/>
    <cellStyle name="เครื่องหมายจุลภาค 2 5 2" xfId="1116" xr:uid="{00000000-0005-0000-0000-000069040000}"/>
    <cellStyle name="เครื่องหมายจุลภาค 2 5 2 2" xfId="2385" xr:uid="{87E55475-DCCE-4132-9232-987D360062D8}"/>
    <cellStyle name="เครื่องหมายจุลภาค 2 5 3" xfId="2384" xr:uid="{7E13E801-85F0-4574-8CCD-E99F1D43AD9C}"/>
    <cellStyle name="เครื่องหมายจุลภาค 2 6" xfId="1117" xr:uid="{00000000-0005-0000-0000-00006A040000}"/>
    <cellStyle name="เครื่องหมายจุลภาค 2 6 2" xfId="2386" xr:uid="{ED67FCAD-697E-4A57-BCF3-7582719CCF53}"/>
    <cellStyle name="เครื่องหมายจุลภาค 2 7" xfId="2339" xr:uid="{CC84B681-0F5E-4B45-A7E5-A50F87D9B6A4}"/>
    <cellStyle name="เครื่องหมายจุลภาค 3" xfId="1118" xr:uid="{00000000-0005-0000-0000-00006B040000}"/>
    <cellStyle name="เครื่องหมายจุลภาค 3 10" xfId="1119" xr:uid="{00000000-0005-0000-0000-00006C040000}"/>
    <cellStyle name="เครื่องหมายจุลภาค 3 10 2" xfId="1120" xr:uid="{00000000-0005-0000-0000-00006D040000}"/>
    <cellStyle name="เครื่องหมายจุลภาค 3 10 2 2" xfId="1121" xr:uid="{00000000-0005-0000-0000-00006E040000}"/>
    <cellStyle name="เครื่องหมายจุลภาค 3 10 2 2 2" xfId="1122" xr:uid="{00000000-0005-0000-0000-00006F040000}"/>
    <cellStyle name="เครื่องหมายจุลภาค 3 10 2 2 2 2" xfId="1123" xr:uid="{00000000-0005-0000-0000-000070040000}"/>
    <cellStyle name="เครื่องหมายจุลภาค 3 10 2 2 2 2 2" xfId="2392" xr:uid="{318EB499-C561-4D4A-8FD6-2C31129A9B51}"/>
    <cellStyle name="เครื่องหมายจุลภาค 3 10 2 2 2 3" xfId="2391" xr:uid="{3CA479D6-5132-4B88-96DF-1E68A936A1C0}"/>
    <cellStyle name="เครื่องหมายจุลภาค 3 10 2 2 3" xfId="1124" xr:uid="{00000000-0005-0000-0000-000071040000}"/>
    <cellStyle name="เครื่องหมายจุลภาค 3 10 2 2 3 2" xfId="2393" xr:uid="{76141FC3-271E-499A-BBE4-643CFBE9E37C}"/>
    <cellStyle name="เครื่องหมายจุลภาค 3 10 2 2 4" xfId="2390" xr:uid="{1F74E8D4-29EB-4D81-A198-D83A52493718}"/>
    <cellStyle name="เครื่องหมายจุลภาค 3 10 2 3" xfId="1125" xr:uid="{00000000-0005-0000-0000-000072040000}"/>
    <cellStyle name="เครื่องหมายจุลภาค 3 10 2 3 2" xfId="1126" xr:uid="{00000000-0005-0000-0000-000073040000}"/>
    <cellStyle name="เครื่องหมายจุลภาค 3 10 2 3 2 2" xfId="2395" xr:uid="{CC5FE552-5618-498E-BC2D-F0FEAB0DDB3E}"/>
    <cellStyle name="เครื่องหมายจุลภาค 3 10 2 3 3" xfId="2394" xr:uid="{55BCAEBB-8EB3-43F0-B126-F529879A142B}"/>
    <cellStyle name="เครื่องหมายจุลภาค 3 10 2 4" xfId="1127" xr:uid="{00000000-0005-0000-0000-000074040000}"/>
    <cellStyle name="เครื่องหมายจุลภาค 3 10 2 4 2" xfId="2396" xr:uid="{E18BAE2E-5645-4782-99F2-18A7D4BC8804}"/>
    <cellStyle name="เครื่องหมายจุลภาค 3 10 2 5" xfId="2389" xr:uid="{EB2716BE-6208-445F-A763-FB22FB533D1B}"/>
    <cellStyle name="เครื่องหมายจุลภาค 3 10 3" xfId="1128" xr:uid="{00000000-0005-0000-0000-000075040000}"/>
    <cellStyle name="เครื่องหมายจุลภาค 3 10 3 2" xfId="1129" xr:uid="{00000000-0005-0000-0000-000076040000}"/>
    <cellStyle name="เครื่องหมายจุลภาค 3 10 3 2 2" xfId="1130" xr:uid="{00000000-0005-0000-0000-000077040000}"/>
    <cellStyle name="เครื่องหมายจุลภาค 3 10 3 2 2 2" xfId="2399" xr:uid="{653D666F-7A4C-445D-910F-6F8D956D0C91}"/>
    <cellStyle name="เครื่องหมายจุลภาค 3 10 3 2 3" xfId="2398" xr:uid="{1A5E0496-E5BA-434E-8B78-B16758A120C2}"/>
    <cellStyle name="เครื่องหมายจุลภาค 3 10 3 3" xfId="1131" xr:uid="{00000000-0005-0000-0000-000078040000}"/>
    <cellStyle name="เครื่องหมายจุลภาค 3 10 3 3 2" xfId="2400" xr:uid="{E38EB4A2-D181-4DA9-9667-84DBDC7973D5}"/>
    <cellStyle name="เครื่องหมายจุลภาค 3 10 3 4" xfId="2397" xr:uid="{3C1D30A2-AE9B-4268-85E6-6961FEA27780}"/>
    <cellStyle name="เครื่องหมายจุลภาค 3 10 4" xfId="1132" xr:uid="{00000000-0005-0000-0000-000079040000}"/>
    <cellStyle name="เครื่องหมายจุลภาค 3 10 4 2" xfId="1133" xr:uid="{00000000-0005-0000-0000-00007A040000}"/>
    <cellStyle name="เครื่องหมายจุลภาค 3 10 4 2 2" xfId="2402" xr:uid="{83BE3FB6-1039-44E2-B2EF-0EDE81DA7039}"/>
    <cellStyle name="เครื่องหมายจุลภาค 3 10 4 3" xfId="2401" xr:uid="{B93D45AA-E3DF-4C4E-B9B6-4AF35BD769FE}"/>
    <cellStyle name="เครื่องหมายจุลภาค 3 10 5" xfId="1134" xr:uid="{00000000-0005-0000-0000-00007B040000}"/>
    <cellStyle name="เครื่องหมายจุลภาค 3 10 5 2" xfId="2403" xr:uid="{595F59BD-D167-4D6A-90B5-FCF6AEF13ADB}"/>
    <cellStyle name="เครื่องหมายจุลภาค 3 10 6" xfId="2388" xr:uid="{DB363AC7-F1A7-4B53-9C87-04453DB2BED6}"/>
    <cellStyle name="เครื่องหมายจุลภาค 3 2" xfId="1135" xr:uid="{00000000-0005-0000-0000-00007C040000}"/>
    <cellStyle name="เครื่องหมายจุลภาค 3 2 2" xfId="1136" xr:uid="{00000000-0005-0000-0000-00007D040000}"/>
    <cellStyle name="เครื่องหมายจุลภาค 3 2 2 2" xfId="1137" xr:uid="{00000000-0005-0000-0000-00007E040000}"/>
    <cellStyle name="เครื่องหมายจุลภาค 3 2 2 2 2" xfId="1138" xr:uid="{00000000-0005-0000-0000-00007F040000}"/>
    <cellStyle name="เครื่องหมายจุลภาค 3 2 2 2 2 2" xfId="1139" xr:uid="{00000000-0005-0000-0000-000080040000}"/>
    <cellStyle name="เครื่องหมายจุลภาค 3 2 2 2 2 2 2" xfId="1140" xr:uid="{00000000-0005-0000-0000-000081040000}"/>
    <cellStyle name="เครื่องหมายจุลภาค 3 2 2 2 2 2 2 2" xfId="1141" xr:uid="{00000000-0005-0000-0000-000082040000}"/>
    <cellStyle name="เครื่องหมายจุลภาค 3 2 2 2 2 2 2 2 2" xfId="2410" xr:uid="{4C230127-F91E-497B-A111-FA2EA252DE5F}"/>
    <cellStyle name="เครื่องหมายจุลภาค 3 2 2 2 2 2 2 3" xfId="2409" xr:uid="{E19AE792-4581-40F8-965C-1FD3A39CE880}"/>
    <cellStyle name="เครื่องหมายจุลภาค 3 2 2 2 2 2 3" xfId="1142" xr:uid="{00000000-0005-0000-0000-000083040000}"/>
    <cellStyle name="เครื่องหมายจุลภาค 3 2 2 2 2 2 3 2" xfId="2411" xr:uid="{0CF03097-0AB9-4D12-9E7F-28124459B51D}"/>
    <cellStyle name="เครื่องหมายจุลภาค 3 2 2 2 2 2 4" xfId="2408" xr:uid="{A2F2768F-6F92-44E2-894C-693641E266DB}"/>
    <cellStyle name="เครื่องหมายจุลภาค 3 2 2 2 2 3" xfId="1143" xr:uid="{00000000-0005-0000-0000-000084040000}"/>
    <cellStyle name="เครื่องหมายจุลภาค 3 2 2 2 2 3 2" xfId="1144" xr:uid="{00000000-0005-0000-0000-000085040000}"/>
    <cellStyle name="เครื่องหมายจุลภาค 3 2 2 2 2 3 2 2" xfId="2413" xr:uid="{6DC33F5F-167D-459E-8A0C-71C250B09212}"/>
    <cellStyle name="เครื่องหมายจุลภาค 3 2 2 2 2 3 3" xfId="2412" xr:uid="{C80402A4-005E-4FF4-813B-06D8286D4031}"/>
    <cellStyle name="เครื่องหมายจุลภาค 3 2 2 2 2 4" xfId="1145" xr:uid="{00000000-0005-0000-0000-000086040000}"/>
    <cellStyle name="เครื่องหมายจุลภาค 3 2 2 2 2 4 2" xfId="2414" xr:uid="{0B77115C-7916-493B-8468-2BDB18B16AEA}"/>
    <cellStyle name="เครื่องหมายจุลภาค 3 2 2 2 2 5" xfId="2407" xr:uid="{FFB4D31D-47B4-475B-916B-2E131E6BE659}"/>
    <cellStyle name="เครื่องหมายจุลภาค 3 2 2 2 3" xfId="1146" xr:uid="{00000000-0005-0000-0000-000087040000}"/>
    <cellStyle name="เครื่องหมายจุลภาค 3 2 2 2 3 2" xfId="1147" xr:uid="{00000000-0005-0000-0000-000088040000}"/>
    <cellStyle name="เครื่องหมายจุลภาค 3 2 2 2 3 2 2" xfId="1148" xr:uid="{00000000-0005-0000-0000-000089040000}"/>
    <cellStyle name="เครื่องหมายจุลภาค 3 2 2 2 3 2 2 2" xfId="2417" xr:uid="{C085D6F9-8180-438E-98FD-DEBF69F2D82A}"/>
    <cellStyle name="เครื่องหมายจุลภาค 3 2 2 2 3 2 3" xfId="2416" xr:uid="{3E62B335-4C3F-4852-8BC2-ED3D25094E50}"/>
    <cellStyle name="เครื่องหมายจุลภาค 3 2 2 2 3 3" xfId="1149" xr:uid="{00000000-0005-0000-0000-00008A040000}"/>
    <cellStyle name="เครื่องหมายจุลภาค 3 2 2 2 3 3 2" xfId="2418" xr:uid="{7788F5BC-753B-4016-B830-68AB923ADD61}"/>
    <cellStyle name="เครื่องหมายจุลภาค 3 2 2 2 3 4" xfId="2415" xr:uid="{7BF29A55-BD7E-43F4-820D-28215E42D50C}"/>
    <cellStyle name="เครื่องหมายจุลภาค 3 2 2 2 4" xfId="1150" xr:uid="{00000000-0005-0000-0000-00008B040000}"/>
    <cellStyle name="เครื่องหมายจุลภาค 3 2 2 2 4 2" xfId="1151" xr:uid="{00000000-0005-0000-0000-00008C040000}"/>
    <cellStyle name="เครื่องหมายจุลภาค 3 2 2 2 4 2 2" xfId="2420" xr:uid="{C618F42C-676E-44CC-AFF7-CF9DD1E09DB2}"/>
    <cellStyle name="เครื่องหมายจุลภาค 3 2 2 2 4 3" xfId="2419" xr:uid="{F2C6C010-4D1C-4C83-8332-12F9D1818C6C}"/>
    <cellStyle name="เครื่องหมายจุลภาค 3 2 2 2 5" xfId="1152" xr:uid="{00000000-0005-0000-0000-00008D040000}"/>
    <cellStyle name="เครื่องหมายจุลภาค 3 2 2 2 5 2" xfId="2421" xr:uid="{90F06F53-5490-4BF4-89FF-FCBDD8597C06}"/>
    <cellStyle name="เครื่องหมายจุลภาค 3 2 2 2 6" xfId="2406" xr:uid="{54229AD6-8CB3-44BA-B351-9E57EE24DF8D}"/>
    <cellStyle name="เครื่องหมายจุลภาค 3 2 2 3" xfId="1153" xr:uid="{00000000-0005-0000-0000-00008E040000}"/>
    <cellStyle name="เครื่องหมายจุลภาค 3 2 2 3 2" xfId="1154" xr:uid="{00000000-0005-0000-0000-00008F040000}"/>
    <cellStyle name="เครื่องหมายจุลภาค 3 2 2 3 2 2" xfId="1155" xr:uid="{00000000-0005-0000-0000-000090040000}"/>
    <cellStyle name="เครื่องหมายจุลภาค 3 2 2 3 2 2 2" xfId="1156" xr:uid="{00000000-0005-0000-0000-000091040000}"/>
    <cellStyle name="เครื่องหมายจุลภาค 3 2 2 3 2 2 2 2" xfId="2425" xr:uid="{73DBD4FC-2EEE-477D-AFE9-3BA3F9474B5A}"/>
    <cellStyle name="เครื่องหมายจุลภาค 3 2 2 3 2 2 3" xfId="2424" xr:uid="{A363771B-CF4C-4D93-A381-D42FA7B5F2C7}"/>
    <cellStyle name="เครื่องหมายจุลภาค 3 2 2 3 2 3" xfId="1157" xr:uid="{00000000-0005-0000-0000-000092040000}"/>
    <cellStyle name="เครื่องหมายจุลภาค 3 2 2 3 2 3 2" xfId="2426" xr:uid="{8843B34B-1E28-4129-BC77-8BF5317AB3BA}"/>
    <cellStyle name="เครื่องหมายจุลภาค 3 2 2 3 2 4" xfId="2423" xr:uid="{E416394A-0AB2-4B71-8D8F-5CACD4BC4ED5}"/>
    <cellStyle name="เครื่องหมายจุลภาค 3 2 2 3 3" xfId="1158" xr:uid="{00000000-0005-0000-0000-000093040000}"/>
    <cellStyle name="เครื่องหมายจุลภาค 3 2 2 3 3 2" xfId="1159" xr:uid="{00000000-0005-0000-0000-000094040000}"/>
    <cellStyle name="เครื่องหมายจุลภาค 3 2 2 3 3 2 2" xfId="2428" xr:uid="{E998E2E1-8869-42C4-B2AD-579F94E990AD}"/>
    <cellStyle name="เครื่องหมายจุลภาค 3 2 2 3 3 3" xfId="2427" xr:uid="{CBBB6779-CAD6-4B28-8B46-89576EF3710C}"/>
    <cellStyle name="เครื่องหมายจุลภาค 3 2 2 3 4" xfId="1160" xr:uid="{00000000-0005-0000-0000-000095040000}"/>
    <cellStyle name="เครื่องหมายจุลภาค 3 2 2 3 4 2" xfId="2429" xr:uid="{96F17898-F2A9-4C28-9123-C8CE3180EFC6}"/>
    <cellStyle name="เครื่องหมายจุลภาค 3 2 2 3 5" xfId="2422" xr:uid="{FED15773-CF93-408C-B05A-830B3E05012B}"/>
    <cellStyle name="เครื่องหมายจุลภาค 3 2 2 4" xfId="1161" xr:uid="{00000000-0005-0000-0000-000096040000}"/>
    <cellStyle name="เครื่องหมายจุลภาค 3 2 2 4 2" xfId="1162" xr:uid="{00000000-0005-0000-0000-000097040000}"/>
    <cellStyle name="เครื่องหมายจุลภาค 3 2 2 4 2 2" xfId="1163" xr:uid="{00000000-0005-0000-0000-000098040000}"/>
    <cellStyle name="เครื่องหมายจุลภาค 3 2 2 4 2 2 2" xfId="2432" xr:uid="{B6A0E258-6EAB-4FC1-B537-E67E367A1FC5}"/>
    <cellStyle name="เครื่องหมายจุลภาค 3 2 2 4 2 3" xfId="2431" xr:uid="{B613A21B-5842-43E4-981D-FFC4E70DFC88}"/>
    <cellStyle name="เครื่องหมายจุลภาค 3 2 2 4 3" xfId="1164" xr:uid="{00000000-0005-0000-0000-000099040000}"/>
    <cellStyle name="เครื่องหมายจุลภาค 3 2 2 4 3 2" xfId="2433" xr:uid="{8F19836D-5E19-4BB0-81DD-A1CE86C77A3C}"/>
    <cellStyle name="เครื่องหมายจุลภาค 3 2 2 4 4" xfId="2430" xr:uid="{88B547C4-566A-4FF3-BD46-140957678E26}"/>
    <cellStyle name="เครื่องหมายจุลภาค 3 2 2 5" xfId="1165" xr:uid="{00000000-0005-0000-0000-00009A040000}"/>
    <cellStyle name="เครื่องหมายจุลภาค 3 2 2 5 2" xfId="1166" xr:uid="{00000000-0005-0000-0000-00009B040000}"/>
    <cellStyle name="เครื่องหมายจุลภาค 3 2 2 5 2 2" xfId="2435" xr:uid="{BC5502F3-7AAE-48B6-A22E-9713CC11C76A}"/>
    <cellStyle name="เครื่องหมายจุลภาค 3 2 2 5 3" xfId="2434" xr:uid="{2B0A6997-0A3D-4909-9AD5-C9DBB4E8E81C}"/>
    <cellStyle name="เครื่องหมายจุลภาค 3 2 2 6" xfId="1167" xr:uid="{00000000-0005-0000-0000-00009C040000}"/>
    <cellStyle name="เครื่องหมายจุลภาค 3 2 2 6 2" xfId="2436" xr:uid="{4CE8AAA3-D3E3-440B-B1F1-A852931B0F62}"/>
    <cellStyle name="เครื่องหมายจุลภาค 3 2 2 7" xfId="2405" xr:uid="{2ED8BC7E-474A-4102-9892-E2104C60182F}"/>
    <cellStyle name="เครื่องหมายจุลภาค 3 2 3" xfId="1168" xr:uid="{00000000-0005-0000-0000-00009D040000}"/>
    <cellStyle name="เครื่องหมายจุลภาค 3 2 3 2" xfId="1169" xr:uid="{00000000-0005-0000-0000-00009E040000}"/>
    <cellStyle name="เครื่องหมายจุลภาค 3 2 3 2 2" xfId="1170" xr:uid="{00000000-0005-0000-0000-00009F040000}"/>
    <cellStyle name="เครื่องหมายจุลภาค 3 2 3 2 2 2" xfId="1171" xr:uid="{00000000-0005-0000-0000-0000A0040000}"/>
    <cellStyle name="เครื่องหมายจุลภาค 3 2 3 2 2 2 2" xfId="1172" xr:uid="{00000000-0005-0000-0000-0000A1040000}"/>
    <cellStyle name="เครื่องหมายจุลภาค 3 2 3 2 2 2 2 2" xfId="2441" xr:uid="{F3BE48E3-4980-44C5-B149-9056CCE7EBEC}"/>
    <cellStyle name="เครื่องหมายจุลภาค 3 2 3 2 2 2 3" xfId="2440" xr:uid="{009661CA-C4B7-4C5B-82F1-85DE0E86C89A}"/>
    <cellStyle name="เครื่องหมายจุลภาค 3 2 3 2 2 3" xfId="1173" xr:uid="{00000000-0005-0000-0000-0000A2040000}"/>
    <cellStyle name="เครื่องหมายจุลภาค 3 2 3 2 2 3 2" xfId="2442" xr:uid="{37802E65-0343-4488-8871-E6D307AE9483}"/>
    <cellStyle name="เครื่องหมายจุลภาค 3 2 3 2 2 4" xfId="2439" xr:uid="{2767D82F-6052-4BB5-AB22-321BBAE50005}"/>
    <cellStyle name="เครื่องหมายจุลภาค 3 2 3 2 3" xfId="1174" xr:uid="{00000000-0005-0000-0000-0000A3040000}"/>
    <cellStyle name="เครื่องหมายจุลภาค 3 2 3 2 3 2" xfId="1175" xr:uid="{00000000-0005-0000-0000-0000A4040000}"/>
    <cellStyle name="เครื่องหมายจุลภาค 3 2 3 2 3 2 2" xfId="2444" xr:uid="{05E37F4E-3F34-4841-8776-37CDD5590B0E}"/>
    <cellStyle name="เครื่องหมายจุลภาค 3 2 3 2 3 3" xfId="2443" xr:uid="{199A6CA9-749E-4E99-8BA3-966F68AA3302}"/>
    <cellStyle name="เครื่องหมายจุลภาค 3 2 3 2 4" xfId="1176" xr:uid="{00000000-0005-0000-0000-0000A5040000}"/>
    <cellStyle name="เครื่องหมายจุลภาค 3 2 3 2 4 2" xfId="2445" xr:uid="{F8584D72-DEA9-40CF-8EFD-1B047320B23D}"/>
    <cellStyle name="เครื่องหมายจุลภาค 3 2 3 2 5" xfId="2438" xr:uid="{7074427D-D5F7-4025-9A56-38EDEF235C94}"/>
    <cellStyle name="เครื่องหมายจุลภาค 3 2 3 3" xfId="1177" xr:uid="{00000000-0005-0000-0000-0000A6040000}"/>
    <cellStyle name="เครื่องหมายจุลภาค 3 2 3 3 2" xfId="1178" xr:uid="{00000000-0005-0000-0000-0000A7040000}"/>
    <cellStyle name="เครื่องหมายจุลภาค 3 2 3 3 2 2" xfId="1179" xr:uid="{00000000-0005-0000-0000-0000A8040000}"/>
    <cellStyle name="เครื่องหมายจุลภาค 3 2 3 3 2 2 2" xfId="2448" xr:uid="{801DE0F2-0723-456F-A333-F5D9F363CE5E}"/>
    <cellStyle name="เครื่องหมายจุลภาค 3 2 3 3 2 3" xfId="2447" xr:uid="{18D5ABA7-093D-4321-ABF8-B3CC5F9A1D9B}"/>
    <cellStyle name="เครื่องหมายจุลภาค 3 2 3 3 3" xfId="1180" xr:uid="{00000000-0005-0000-0000-0000A9040000}"/>
    <cellStyle name="เครื่องหมายจุลภาค 3 2 3 3 3 2" xfId="2449" xr:uid="{CFAC6AEA-B7BB-421D-B59A-36A9E803DC51}"/>
    <cellStyle name="เครื่องหมายจุลภาค 3 2 3 3 4" xfId="2446" xr:uid="{E280A3EE-EFE8-4161-A1D4-4B7974F9C2F9}"/>
    <cellStyle name="เครื่องหมายจุลภาค 3 2 3 4" xfId="1181" xr:uid="{00000000-0005-0000-0000-0000AA040000}"/>
    <cellStyle name="เครื่องหมายจุลภาค 3 2 3 4 2" xfId="1182" xr:uid="{00000000-0005-0000-0000-0000AB040000}"/>
    <cellStyle name="เครื่องหมายจุลภาค 3 2 3 4 2 2" xfId="2451" xr:uid="{1434BE41-321A-4AED-9E89-02DCB5EE7AED}"/>
    <cellStyle name="เครื่องหมายจุลภาค 3 2 3 4 3" xfId="2450" xr:uid="{88592996-29A5-44B9-9103-ABBE9D65FBA8}"/>
    <cellStyle name="เครื่องหมายจุลภาค 3 2 3 5" xfId="1183" xr:uid="{00000000-0005-0000-0000-0000AC040000}"/>
    <cellStyle name="เครื่องหมายจุลภาค 3 2 3 5 2" xfId="2452" xr:uid="{3D7EA809-3D7C-4DB8-8485-0B3F81F5FE9F}"/>
    <cellStyle name="เครื่องหมายจุลภาค 3 2 3 6" xfId="2437" xr:uid="{9D957B0F-38BC-43BD-A2D2-1B127D47405E}"/>
    <cellStyle name="เครื่องหมายจุลภาค 3 2 4" xfId="1184" xr:uid="{00000000-0005-0000-0000-0000AD040000}"/>
    <cellStyle name="เครื่องหมายจุลภาค 3 2 4 2" xfId="1185" xr:uid="{00000000-0005-0000-0000-0000AE040000}"/>
    <cellStyle name="เครื่องหมายจุลภาค 3 2 4 2 2" xfId="1186" xr:uid="{00000000-0005-0000-0000-0000AF040000}"/>
    <cellStyle name="เครื่องหมายจุลภาค 3 2 4 2 2 2" xfId="1187" xr:uid="{00000000-0005-0000-0000-0000B0040000}"/>
    <cellStyle name="เครื่องหมายจุลภาค 3 2 4 2 2 2 2" xfId="2456" xr:uid="{2E2C72BB-AE9C-4BF7-A755-5AEE548264F0}"/>
    <cellStyle name="เครื่องหมายจุลภาค 3 2 4 2 2 3" xfId="2455" xr:uid="{D1AEBF1F-1B73-479B-86C2-5E2C0C1FFDAE}"/>
    <cellStyle name="เครื่องหมายจุลภาค 3 2 4 2 3" xfId="1188" xr:uid="{00000000-0005-0000-0000-0000B1040000}"/>
    <cellStyle name="เครื่องหมายจุลภาค 3 2 4 2 3 2" xfId="2457" xr:uid="{505380D7-3E97-4090-ACFD-070FBB7BFBD5}"/>
    <cellStyle name="เครื่องหมายจุลภาค 3 2 4 2 4" xfId="2454" xr:uid="{74383DCE-81F5-4AF8-AA0B-A3CF9B6E17AA}"/>
    <cellStyle name="เครื่องหมายจุลภาค 3 2 4 3" xfId="1189" xr:uid="{00000000-0005-0000-0000-0000B2040000}"/>
    <cellStyle name="เครื่องหมายจุลภาค 3 2 4 3 2" xfId="1190" xr:uid="{00000000-0005-0000-0000-0000B3040000}"/>
    <cellStyle name="เครื่องหมายจุลภาค 3 2 4 3 2 2" xfId="2459" xr:uid="{9084436F-FA6C-44CB-A025-96C5994DF8EE}"/>
    <cellStyle name="เครื่องหมายจุลภาค 3 2 4 3 3" xfId="2458" xr:uid="{FE89814C-DEA2-41B2-AA94-96B20CA13379}"/>
    <cellStyle name="เครื่องหมายจุลภาค 3 2 4 4" xfId="1191" xr:uid="{00000000-0005-0000-0000-0000B4040000}"/>
    <cellStyle name="เครื่องหมายจุลภาค 3 2 4 4 2" xfId="2460" xr:uid="{0F8AAC8E-5CE2-41FF-83B5-AFDDBA5FCE41}"/>
    <cellStyle name="เครื่องหมายจุลภาค 3 2 4 5" xfId="2453" xr:uid="{2B61DA3B-C79D-49B4-8062-72D6FB0EAAD0}"/>
    <cellStyle name="เครื่องหมายจุลภาค 3 2 5" xfId="1192" xr:uid="{00000000-0005-0000-0000-0000B5040000}"/>
    <cellStyle name="เครื่องหมายจุลภาค 3 2 5 2" xfId="1193" xr:uid="{00000000-0005-0000-0000-0000B6040000}"/>
    <cellStyle name="เครื่องหมายจุลภาค 3 2 5 2 2" xfId="1194" xr:uid="{00000000-0005-0000-0000-0000B7040000}"/>
    <cellStyle name="เครื่องหมายจุลภาค 3 2 5 2 2 2" xfId="2463" xr:uid="{44837D75-A2F2-4370-B48E-5AF02CD2775C}"/>
    <cellStyle name="เครื่องหมายจุลภาค 3 2 5 2 3" xfId="2462" xr:uid="{67F41999-4A8F-4513-B257-7EBCE2F91D0B}"/>
    <cellStyle name="เครื่องหมายจุลภาค 3 2 5 3" xfId="1195" xr:uid="{00000000-0005-0000-0000-0000B8040000}"/>
    <cellStyle name="เครื่องหมายจุลภาค 3 2 5 3 2" xfId="2464" xr:uid="{1292906E-478D-40B8-9ABA-8421603C466D}"/>
    <cellStyle name="เครื่องหมายจุลภาค 3 2 5 4" xfId="2461" xr:uid="{61018637-B391-427B-A5DD-360A40A82D61}"/>
    <cellStyle name="เครื่องหมายจุลภาค 3 2 6" xfId="1196" xr:uid="{00000000-0005-0000-0000-0000B9040000}"/>
    <cellStyle name="เครื่องหมายจุลภาค 3 2 6 2" xfId="1197" xr:uid="{00000000-0005-0000-0000-0000BA040000}"/>
    <cellStyle name="เครื่องหมายจุลภาค 3 2 6 2 2" xfId="2466" xr:uid="{619214EE-3B71-4CC1-8B9C-63B55E5FEEF4}"/>
    <cellStyle name="เครื่องหมายจุลภาค 3 2 6 3" xfId="2465" xr:uid="{FFE4A3B6-40B2-41A7-9B15-011ACE1EEDD2}"/>
    <cellStyle name="เครื่องหมายจุลภาค 3 2 7" xfId="1198" xr:uid="{00000000-0005-0000-0000-0000BB040000}"/>
    <cellStyle name="เครื่องหมายจุลภาค 3 2 7 2" xfId="2467" xr:uid="{E1E9E9B7-3569-4348-8B7F-796CED6186D8}"/>
    <cellStyle name="เครื่องหมายจุลภาค 3 2 8" xfId="2404" xr:uid="{0AC5BCDB-CF17-4677-8E97-5AB997D7366D}"/>
    <cellStyle name="เครื่องหมายจุลภาค 3 3" xfId="1199" xr:uid="{00000000-0005-0000-0000-0000BC040000}"/>
    <cellStyle name="เครื่องหมายจุลภาค 3 3 2" xfId="1200" xr:uid="{00000000-0005-0000-0000-0000BD040000}"/>
    <cellStyle name="เครื่องหมายจุลภาค 3 3 2 2" xfId="1201" xr:uid="{00000000-0005-0000-0000-0000BE040000}"/>
    <cellStyle name="เครื่องหมายจุลภาค 3 3 2 2 2" xfId="1202" xr:uid="{00000000-0005-0000-0000-0000BF040000}"/>
    <cellStyle name="เครื่องหมายจุลภาค 3 3 2 2 2 2" xfId="1203" xr:uid="{00000000-0005-0000-0000-0000C0040000}"/>
    <cellStyle name="เครื่องหมายจุลภาค 3 3 2 2 2 2 2" xfId="2472" xr:uid="{1E01F580-1F01-4CC0-8BAB-0412B077354D}"/>
    <cellStyle name="เครื่องหมายจุลภาค 3 3 2 2 2 3" xfId="2471" xr:uid="{8A5F18A8-38AE-4EEA-BAC0-A70E0E83D884}"/>
    <cellStyle name="เครื่องหมายจุลภาค 3 3 2 2 3" xfId="1204" xr:uid="{00000000-0005-0000-0000-0000C1040000}"/>
    <cellStyle name="เครื่องหมายจุลภาค 3 3 2 2 3 2" xfId="2473" xr:uid="{3538D68E-DFC0-45E8-9C57-D2D2B897942C}"/>
    <cellStyle name="เครื่องหมายจุลภาค 3 3 2 2 4" xfId="2470" xr:uid="{D4674905-7FFE-460A-8471-ED54AA5788A1}"/>
    <cellStyle name="เครื่องหมายจุลภาค 3 3 2 3" xfId="1205" xr:uid="{00000000-0005-0000-0000-0000C2040000}"/>
    <cellStyle name="เครื่องหมายจุลภาค 3 3 2 3 2" xfId="1206" xr:uid="{00000000-0005-0000-0000-0000C3040000}"/>
    <cellStyle name="เครื่องหมายจุลภาค 3 3 2 3 2 2" xfId="2475" xr:uid="{B6990082-1227-41F9-B782-1184D2FCBEA1}"/>
    <cellStyle name="เครื่องหมายจุลภาค 3 3 2 3 3" xfId="2474" xr:uid="{4E4023D9-A081-4633-94E1-9F582348CA72}"/>
    <cellStyle name="เครื่องหมายจุลภาค 3 3 2 4" xfId="1207" xr:uid="{00000000-0005-0000-0000-0000C4040000}"/>
    <cellStyle name="เครื่องหมายจุลภาค 3 3 2 4 2" xfId="2476" xr:uid="{E74917AD-A595-45A7-A00F-C2BD27E63169}"/>
    <cellStyle name="เครื่องหมายจุลภาค 3 3 2 5" xfId="2469" xr:uid="{2C797098-4918-4D23-B367-B31373FC7B9A}"/>
    <cellStyle name="เครื่องหมายจุลภาค 3 3 3" xfId="1208" xr:uid="{00000000-0005-0000-0000-0000C5040000}"/>
    <cellStyle name="เครื่องหมายจุลภาค 3 3 3 2" xfId="1209" xr:uid="{00000000-0005-0000-0000-0000C6040000}"/>
    <cellStyle name="เครื่องหมายจุลภาค 3 3 3 2 2" xfId="1210" xr:uid="{00000000-0005-0000-0000-0000C7040000}"/>
    <cellStyle name="เครื่องหมายจุลภาค 3 3 3 2 2 2" xfId="2479" xr:uid="{D62D9027-33B4-43F3-8147-3662C625AEC6}"/>
    <cellStyle name="เครื่องหมายจุลภาค 3 3 3 2 3" xfId="2478" xr:uid="{60A8A903-CD5B-4AF5-ACE9-F0FC8A94CEE4}"/>
    <cellStyle name="เครื่องหมายจุลภาค 3 3 3 3" xfId="1211" xr:uid="{00000000-0005-0000-0000-0000C8040000}"/>
    <cellStyle name="เครื่องหมายจุลภาค 3 3 3 3 2" xfId="2480" xr:uid="{F7B83C86-9713-4654-9897-EFC74D3E7A10}"/>
    <cellStyle name="เครื่องหมายจุลภาค 3 3 3 4" xfId="2477" xr:uid="{8D2BAFE1-A51C-448A-B6CD-FFB066CA5277}"/>
    <cellStyle name="เครื่องหมายจุลภาค 3 3 4" xfId="1212" xr:uid="{00000000-0005-0000-0000-0000C9040000}"/>
    <cellStyle name="เครื่องหมายจุลภาค 3 3 4 2" xfId="1213" xr:uid="{00000000-0005-0000-0000-0000CA040000}"/>
    <cellStyle name="เครื่องหมายจุลภาค 3 3 4 2 2" xfId="2482" xr:uid="{C30E714F-CBCC-4C57-B5DD-514FEE623BCE}"/>
    <cellStyle name="เครื่องหมายจุลภาค 3 3 4 3" xfId="2481" xr:uid="{868CCA5A-AC7A-49DD-B979-513846B56E51}"/>
    <cellStyle name="เครื่องหมายจุลภาค 3 3 5" xfId="1214" xr:uid="{00000000-0005-0000-0000-0000CB040000}"/>
    <cellStyle name="เครื่องหมายจุลภาค 3 3 5 2" xfId="2483" xr:uid="{6385F62E-232B-49F2-B274-848CCE6F029D}"/>
    <cellStyle name="เครื่องหมายจุลภาค 3 3 6" xfId="2468" xr:uid="{BD7B4A4C-D943-47E5-9E84-73DD58249236}"/>
    <cellStyle name="เครื่องหมายจุลภาค 3 4" xfId="1215" xr:uid="{00000000-0005-0000-0000-0000CC040000}"/>
    <cellStyle name="เครื่องหมายจุลภาค 3 4 2" xfId="1216" xr:uid="{00000000-0005-0000-0000-0000CD040000}"/>
    <cellStyle name="เครื่องหมายจุลภาค 3 4 2 2" xfId="1217" xr:uid="{00000000-0005-0000-0000-0000CE040000}"/>
    <cellStyle name="เครื่องหมายจุลภาค 3 4 2 2 2" xfId="1218" xr:uid="{00000000-0005-0000-0000-0000CF040000}"/>
    <cellStyle name="เครื่องหมายจุลภาค 3 4 2 2 2 2" xfId="2487" xr:uid="{F24B2EB7-C1E5-4CD8-99FB-6DAF91BAFFD2}"/>
    <cellStyle name="เครื่องหมายจุลภาค 3 4 2 2 3" xfId="2486" xr:uid="{64811D01-4096-4EC4-9E43-AE58980C04FF}"/>
    <cellStyle name="เครื่องหมายจุลภาค 3 4 2 3" xfId="1219" xr:uid="{00000000-0005-0000-0000-0000D0040000}"/>
    <cellStyle name="เครื่องหมายจุลภาค 3 4 2 3 2" xfId="2488" xr:uid="{55F8DD73-94B2-4EE6-BD8F-D57D85310755}"/>
    <cellStyle name="เครื่องหมายจุลภาค 3 4 2 4" xfId="2485" xr:uid="{9980BBA3-385A-4490-BE33-40835B5B5AD4}"/>
    <cellStyle name="เครื่องหมายจุลภาค 3 4 3" xfId="1220" xr:uid="{00000000-0005-0000-0000-0000D1040000}"/>
    <cellStyle name="เครื่องหมายจุลภาค 3 4 3 2" xfId="1221" xr:uid="{00000000-0005-0000-0000-0000D2040000}"/>
    <cellStyle name="เครื่องหมายจุลภาค 3 4 3 2 2" xfId="2490" xr:uid="{7D5A90D8-419D-465C-A10D-B0FE66BA127E}"/>
    <cellStyle name="เครื่องหมายจุลภาค 3 4 3 3" xfId="2489" xr:uid="{421572FC-4FDC-46ED-981A-A0FB16B18AEF}"/>
    <cellStyle name="เครื่องหมายจุลภาค 3 4 4" xfId="1222" xr:uid="{00000000-0005-0000-0000-0000D3040000}"/>
    <cellStyle name="เครื่องหมายจุลภาค 3 4 4 2" xfId="2491" xr:uid="{50FA8220-66D5-4E0D-BC7C-5CE1F408CF95}"/>
    <cellStyle name="เครื่องหมายจุลภาค 3 4 5" xfId="2484" xr:uid="{CA46C1FD-30E1-4BD7-B77D-563D6EC523F1}"/>
    <cellStyle name="เครื่องหมายจุลภาค 3 5" xfId="1223" xr:uid="{00000000-0005-0000-0000-0000D4040000}"/>
    <cellStyle name="เครื่องหมายจุลภาค 3 5 2" xfId="1224" xr:uid="{00000000-0005-0000-0000-0000D5040000}"/>
    <cellStyle name="เครื่องหมายจุลภาค 3 5 2 2" xfId="1225" xr:uid="{00000000-0005-0000-0000-0000D6040000}"/>
    <cellStyle name="เครื่องหมายจุลภาค 3 5 2 2 2" xfId="2494" xr:uid="{C03A9E40-A748-494C-8FE5-EF9089982A42}"/>
    <cellStyle name="เครื่องหมายจุลภาค 3 5 2 3" xfId="2493" xr:uid="{98118AB1-6CEB-40D3-A8C6-F7919C6864B7}"/>
    <cellStyle name="เครื่องหมายจุลภาค 3 5 3" xfId="1226" xr:uid="{00000000-0005-0000-0000-0000D7040000}"/>
    <cellStyle name="เครื่องหมายจุลภาค 3 5 3 2" xfId="2495" xr:uid="{46EB3F29-B142-48F0-A072-D8CC355463B5}"/>
    <cellStyle name="เครื่องหมายจุลภาค 3 5 4" xfId="2492" xr:uid="{2CADE077-62E1-4095-B4EF-110A2A5BFA79}"/>
    <cellStyle name="เครื่องหมายจุลภาค 3 6" xfId="1227" xr:uid="{00000000-0005-0000-0000-0000D8040000}"/>
    <cellStyle name="เครื่องหมายจุลภาค 3 6 2" xfId="1228" xr:uid="{00000000-0005-0000-0000-0000D9040000}"/>
    <cellStyle name="เครื่องหมายจุลภาค 3 6 2 2" xfId="2497" xr:uid="{77D8147C-59CE-4E32-BE54-CFD91FFE360A}"/>
    <cellStyle name="เครื่องหมายจุลภาค 3 6 3" xfId="2496" xr:uid="{4C569401-1C19-456B-9F85-CB482E46D96E}"/>
    <cellStyle name="เครื่องหมายจุลภาค 3 7" xfId="1229" xr:uid="{00000000-0005-0000-0000-0000DA040000}"/>
    <cellStyle name="เครื่องหมายจุลภาค 3 7 2" xfId="2498" xr:uid="{8DF14E46-49EE-48BB-A022-D6B74D646D47}"/>
    <cellStyle name="เครื่องหมายจุลภาค 3 8" xfId="2387" xr:uid="{DE717A01-ACE7-483D-B13A-0A45D9ABC5F0}"/>
    <cellStyle name="เครื่องหมายจุลภาค 4" xfId="1230" xr:uid="{00000000-0005-0000-0000-0000DB040000}"/>
    <cellStyle name="เครื่องหมายจุลภาค 4 2" xfId="1231" xr:uid="{00000000-0005-0000-0000-0000DC040000}"/>
    <cellStyle name="เครื่องหมายจุลภาค 4 2 2" xfId="1232" xr:uid="{00000000-0005-0000-0000-0000DD040000}"/>
    <cellStyle name="เครื่องหมายจุลภาค 4 2 2 2" xfId="1233" xr:uid="{00000000-0005-0000-0000-0000DE040000}"/>
    <cellStyle name="เครื่องหมายจุลภาค 4 2 2 2 2" xfId="1234" xr:uid="{00000000-0005-0000-0000-0000DF040000}"/>
    <cellStyle name="เครื่องหมายจุลภาค 4 2 2 2 2 2" xfId="1235" xr:uid="{00000000-0005-0000-0000-0000E0040000}"/>
    <cellStyle name="เครื่องหมายจุลภาค 4 2 2 2 2 2 2" xfId="1236" xr:uid="{00000000-0005-0000-0000-0000E1040000}"/>
    <cellStyle name="เครื่องหมายจุลภาค 4 2 2 2 2 2 2 2" xfId="2505" xr:uid="{420554F0-201A-4663-A082-8FB6E821EE92}"/>
    <cellStyle name="เครื่องหมายจุลภาค 4 2 2 2 2 2 3" xfId="2504" xr:uid="{A616A45B-5044-41FA-BA17-23E961DC04D1}"/>
    <cellStyle name="เครื่องหมายจุลภาค 4 2 2 2 2 3" xfId="1237" xr:uid="{00000000-0005-0000-0000-0000E2040000}"/>
    <cellStyle name="เครื่องหมายจุลภาค 4 2 2 2 2 3 2" xfId="2506" xr:uid="{DDF372C2-1617-44D4-8BD9-9387773737BF}"/>
    <cellStyle name="เครื่องหมายจุลภาค 4 2 2 2 2 4" xfId="2503" xr:uid="{A890326E-D422-41BF-9F13-312522253565}"/>
    <cellStyle name="เครื่องหมายจุลภาค 4 2 2 2 3" xfId="1238" xr:uid="{00000000-0005-0000-0000-0000E3040000}"/>
    <cellStyle name="เครื่องหมายจุลภาค 4 2 2 2 3 2" xfId="1239" xr:uid="{00000000-0005-0000-0000-0000E4040000}"/>
    <cellStyle name="เครื่องหมายจุลภาค 4 2 2 2 3 2 2" xfId="2508" xr:uid="{74ED6615-89B0-4ECC-96A8-DFC9C8177CD5}"/>
    <cellStyle name="เครื่องหมายจุลภาค 4 2 2 2 3 3" xfId="2507" xr:uid="{B229C0A5-470C-4BB3-A6B1-3D7CFE538FA5}"/>
    <cellStyle name="เครื่องหมายจุลภาค 4 2 2 2 4" xfId="1240" xr:uid="{00000000-0005-0000-0000-0000E5040000}"/>
    <cellStyle name="เครื่องหมายจุลภาค 4 2 2 2 4 2" xfId="2509" xr:uid="{937352D3-8C34-416E-AC48-5998541A97E4}"/>
    <cellStyle name="เครื่องหมายจุลภาค 4 2 2 2 5" xfId="2502" xr:uid="{4EF46C28-8C18-429B-A237-1DEF761B0157}"/>
    <cellStyle name="เครื่องหมายจุลภาค 4 2 2 3" xfId="1241" xr:uid="{00000000-0005-0000-0000-0000E6040000}"/>
    <cellStyle name="เครื่องหมายจุลภาค 4 2 2 3 2" xfId="1242" xr:uid="{00000000-0005-0000-0000-0000E7040000}"/>
    <cellStyle name="เครื่องหมายจุลภาค 4 2 2 3 2 2" xfId="1243" xr:uid="{00000000-0005-0000-0000-0000E8040000}"/>
    <cellStyle name="เครื่องหมายจุลภาค 4 2 2 3 2 2 2" xfId="2512" xr:uid="{FE738745-3FD6-43AF-8237-855AFDC99709}"/>
    <cellStyle name="เครื่องหมายจุลภาค 4 2 2 3 2 3" xfId="2511" xr:uid="{118F4231-DDD3-47EE-A017-6472D9E6176B}"/>
    <cellStyle name="เครื่องหมายจุลภาค 4 2 2 3 3" xfId="1244" xr:uid="{00000000-0005-0000-0000-0000E9040000}"/>
    <cellStyle name="เครื่องหมายจุลภาค 4 2 2 3 3 2" xfId="2513" xr:uid="{353E22DC-8261-4329-AC5F-33A9211FEFDA}"/>
    <cellStyle name="เครื่องหมายจุลภาค 4 2 2 3 4" xfId="2510" xr:uid="{F7A75710-9684-48C2-829B-6109A0A0EC2B}"/>
    <cellStyle name="เครื่องหมายจุลภาค 4 2 2 4" xfId="1245" xr:uid="{00000000-0005-0000-0000-0000EA040000}"/>
    <cellStyle name="เครื่องหมายจุลภาค 4 2 2 4 2" xfId="1246" xr:uid="{00000000-0005-0000-0000-0000EB040000}"/>
    <cellStyle name="เครื่องหมายจุลภาค 4 2 2 4 2 2" xfId="2515" xr:uid="{3549BBE1-1EB1-4DB1-85F2-463839776EC5}"/>
    <cellStyle name="เครื่องหมายจุลภาค 4 2 2 4 3" xfId="2514" xr:uid="{8242537D-C05F-46E7-8830-8DED7D56A8D3}"/>
    <cellStyle name="เครื่องหมายจุลภาค 4 2 2 5" xfId="1247" xr:uid="{00000000-0005-0000-0000-0000EC040000}"/>
    <cellStyle name="เครื่องหมายจุลภาค 4 2 2 5 2" xfId="2516" xr:uid="{F993B7F9-0705-4FD2-874D-F2674D3F699A}"/>
    <cellStyle name="เครื่องหมายจุลภาค 4 2 2 6" xfId="2501" xr:uid="{50D5237B-5FEF-4A05-900D-8F8BA583B474}"/>
    <cellStyle name="เครื่องหมายจุลภาค 4 2 3" xfId="1248" xr:uid="{00000000-0005-0000-0000-0000ED040000}"/>
    <cellStyle name="เครื่องหมายจุลภาค 4 2 3 2" xfId="1249" xr:uid="{00000000-0005-0000-0000-0000EE040000}"/>
    <cellStyle name="เครื่องหมายจุลภาค 4 2 3 2 2" xfId="1250" xr:uid="{00000000-0005-0000-0000-0000EF040000}"/>
    <cellStyle name="เครื่องหมายจุลภาค 4 2 3 2 2 2" xfId="1251" xr:uid="{00000000-0005-0000-0000-0000F0040000}"/>
    <cellStyle name="เครื่องหมายจุลภาค 4 2 3 2 2 2 2" xfId="2520" xr:uid="{C9010E75-51CF-4853-B56B-7C34332C1EBD}"/>
    <cellStyle name="เครื่องหมายจุลภาค 4 2 3 2 2 3" xfId="2519" xr:uid="{9BC99F23-8150-4A74-880C-EDEB818D082F}"/>
    <cellStyle name="เครื่องหมายจุลภาค 4 2 3 2 3" xfId="1252" xr:uid="{00000000-0005-0000-0000-0000F1040000}"/>
    <cellStyle name="เครื่องหมายจุลภาค 4 2 3 2 3 2" xfId="2521" xr:uid="{70C8DD42-8AAC-4014-96CC-79D50FA9D94F}"/>
    <cellStyle name="เครื่องหมายจุลภาค 4 2 3 2 4" xfId="2518" xr:uid="{58AD5CA6-96BC-4CDB-A178-C10E3446D43B}"/>
    <cellStyle name="เครื่องหมายจุลภาค 4 2 3 3" xfId="1253" xr:uid="{00000000-0005-0000-0000-0000F2040000}"/>
    <cellStyle name="เครื่องหมายจุลภาค 4 2 3 3 2" xfId="1254" xr:uid="{00000000-0005-0000-0000-0000F3040000}"/>
    <cellStyle name="เครื่องหมายจุลภาค 4 2 3 3 2 2" xfId="2523" xr:uid="{5319A640-B7DE-4C45-BC22-A89FB49126F9}"/>
    <cellStyle name="เครื่องหมายจุลภาค 4 2 3 3 3" xfId="2522" xr:uid="{CEDDABEC-E2B2-44C5-B32C-935D672CBF1B}"/>
    <cellStyle name="เครื่องหมายจุลภาค 4 2 3 4" xfId="1255" xr:uid="{00000000-0005-0000-0000-0000F4040000}"/>
    <cellStyle name="เครื่องหมายจุลภาค 4 2 3 4 2" xfId="2524" xr:uid="{2A515686-625C-43AB-91F3-A7ABA53410D2}"/>
    <cellStyle name="เครื่องหมายจุลภาค 4 2 3 5" xfId="2517" xr:uid="{20C8128F-6396-4BB9-A6FA-89CCA2321543}"/>
    <cellStyle name="เครื่องหมายจุลภาค 4 2 4" xfId="1256" xr:uid="{00000000-0005-0000-0000-0000F5040000}"/>
    <cellStyle name="เครื่องหมายจุลภาค 4 2 4 2" xfId="1257" xr:uid="{00000000-0005-0000-0000-0000F6040000}"/>
    <cellStyle name="เครื่องหมายจุลภาค 4 2 4 2 2" xfId="1258" xr:uid="{00000000-0005-0000-0000-0000F7040000}"/>
    <cellStyle name="เครื่องหมายจุลภาค 4 2 4 2 2 2" xfId="2527" xr:uid="{2F9F149E-9081-427A-9579-AE17B17B4240}"/>
    <cellStyle name="เครื่องหมายจุลภาค 4 2 4 2 3" xfId="2526" xr:uid="{FD894AAE-7002-4A8D-824D-3E398317AC69}"/>
    <cellStyle name="เครื่องหมายจุลภาค 4 2 4 3" xfId="1259" xr:uid="{00000000-0005-0000-0000-0000F8040000}"/>
    <cellStyle name="เครื่องหมายจุลภาค 4 2 4 3 2" xfId="2528" xr:uid="{BAAC0B9F-C3F8-4D63-B2B2-5B2293B7E97A}"/>
    <cellStyle name="เครื่องหมายจุลภาค 4 2 4 4" xfId="2525" xr:uid="{41522FF3-07EB-4002-BDD5-0E131E652D10}"/>
    <cellStyle name="เครื่องหมายจุลภาค 4 2 5" xfId="1260" xr:uid="{00000000-0005-0000-0000-0000F9040000}"/>
    <cellStyle name="เครื่องหมายจุลภาค 4 2 5 2" xfId="1261" xr:uid="{00000000-0005-0000-0000-0000FA040000}"/>
    <cellStyle name="เครื่องหมายจุลภาค 4 2 5 2 2" xfId="2530" xr:uid="{AF5F6DC6-DE57-41BC-887B-4D25D0BDE5A7}"/>
    <cellStyle name="เครื่องหมายจุลภาค 4 2 5 3" xfId="2529" xr:uid="{885A73D9-FE31-4FC3-A701-40E8B6266823}"/>
    <cellStyle name="เครื่องหมายจุลภาค 4 2 6" xfId="1262" xr:uid="{00000000-0005-0000-0000-0000FB040000}"/>
    <cellStyle name="เครื่องหมายจุลภาค 4 2 6 2" xfId="2531" xr:uid="{6C2EE20D-5071-4A53-A1AA-6E94771E1C5D}"/>
    <cellStyle name="เครื่องหมายจุลภาค 4 2 7" xfId="2500" xr:uid="{612ED42E-0E64-42A6-8FA4-2EE1085B8182}"/>
    <cellStyle name="เครื่องหมายจุลภาค 4 3" xfId="1263" xr:uid="{00000000-0005-0000-0000-0000FC040000}"/>
    <cellStyle name="เครื่องหมายจุลภาค 4 3 2" xfId="1264" xr:uid="{00000000-0005-0000-0000-0000FD040000}"/>
    <cellStyle name="เครื่องหมายจุลภาค 4 3 2 2" xfId="1265" xr:uid="{00000000-0005-0000-0000-0000FE040000}"/>
    <cellStyle name="เครื่องหมายจุลภาค 4 3 2 2 2" xfId="1266" xr:uid="{00000000-0005-0000-0000-0000FF040000}"/>
    <cellStyle name="เครื่องหมายจุลภาค 4 3 2 2 2 2" xfId="1267" xr:uid="{00000000-0005-0000-0000-000000050000}"/>
    <cellStyle name="เครื่องหมายจุลภาค 4 3 2 2 2 2 2" xfId="2536" xr:uid="{A559C5CF-1214-40ED-A1A8-5008C789BDCB}"/>
    <cellStyle name="เครื่องหมายจุลภาค 4 3 2 2 2 3" xfId="2535" xr:uid="{303A139A-AB04-4E54-90A6-7D78E6EF6FC4}"/>
    <cellStyle name="เครื่องหมายจุลภาค 4 3 2 2 3" xfId="1268" xr:uid="{00000000-0005-0000-0000-000001050000}"/>
    <cellStyle name="เครื่องหมายจุลภาค 4 3 2 2 3 2" xfId="2537" xr:uid="{40C39091-5D95-445F-AC69-EBEEFCB9BC57}"/>
    <cellStyle name="เครื่องหมายจุลภาค 4 3 2 2 4" xfId="2534" xr:uid="{B1A3255F-DA3E-4A4A-A16B-6C31C090F687}"/>
    <cellStyle name="เครื่องหมายจุลภาค 4 3 2 3" xfId="1269" xr:uid="{00000000-0005-0000-0000-000002050000}"/>
    <cellStyle name="เครื่องหมายจุลภาค 4 3 2 3 2" xfId="1270" xr:uid="{00000000-0005-0000-0000-000003050000}"/>
    <cellStyle name="เครื่องหมายจุลภาค 4 3 2 3 2 2" xfId="2539" xr:uid="{35AEF62A-49CC-4C0B-99F0-DB5EEAC5B977}"/>
    <cellStyle name="เครื่องหมายจุลภาค 4 3 2 3 3" xfId="2538" xr:uid="{3D4AFA8A-1FD8-4E81-A41E-5C733507B8E1}"/>
    <cellStyle name="เครื่องหมายจุลภาค 4 3 2 4" xfId="1271" xr:uid="{00000000-0005-0000-0000-000004050000}"/>
    <cellStyle name="เครื่องหมายจุลภาค 4 3 2 4 2" xfId="2540" xr:uid="{7D2A2929-798B-4AE2-A67C-810A7A095BB1}"/>
    <cellStyle name="เครื่องหมายจุลภาค 4 3 2 5" xfId="2533" xr:uid="{3577EB1E-5FE9-4491-9422-00381ECF12A8}"/>
    <cellStyle name="เครื่องหมายจุลภาค 4 3 3" xfId="1272" xr:uid="{00000000-0005-0000-0000-000005050000}"/>
    <cellStyle name="เครื่องหมายจุลภาค 4 3 3 2" xfId="1273" xr:uid="{00000000-0005-0000-0000-000006050000}"/>
    <cellStyle name="เครื่องหมายจุลภาค 4 3 3 2 2" xfId="1274" xr:uid="{00000000-0005-0000-0000-000007050000}"/>
    <cellStyle name="เครื่องหมายจุลภาค 4 3 3 2 2 2" xfId="2543" xr:uid="{2A4303D2-8C17-45D9-A5CA-AD6026CA20B2}"/>
    <cellStyle name="เครื่องหมายจุลภาค 4 3 3 2 3" xfId="2542" xr:uid="{6206E562-88A4-44F4-A2E9-7423551C5022}"/>
    <cellStyle name="เครื่องหมายจุลภาค 4 3 3 3" xfId="1275" xr:uid="{00000000-0005-0000-0000-000008050000}"/>
    <cellStyle name="เครื่องหมายจุลภาค 4 3 3 3 2" xfId="2544" xr:uid="{4DE72ED3-92F0-41E4-A4D1-E53F9E17CB7E}"/>
    <cellStyle name="เครื่องหมายจุลภาค 4 3 3 4" xfId="2541" xr:uid="{03057558-8D7C-45EB-86EA-A2BF60BB5FA7}"/>
    <cellStyle name="เครื่องหมายจุลภาค 4 3 4" xfId="1276" xr:uid="{00000000-0005-0000-0000-000009050000}"/>
    <cellStyle name="เครื่องหมายจุลภาค 4 3 4 2" xfId="1277" xr:uid="{00000000-0005-0000-0000-00000A050000}"/>
    <cellStyle name="เครื่องหมายจุลภาค 4 3 4 2 2" xfId="2546" xr:uid="{D06AB686-D18C-43DA-A36B-639CC14D0C78}"/>
    <cellStyle name="เครื่องหมายจุลภาค 4 3 4 3" xfId="2545" xr:uid="{8F44B89F-AF91-4432-B2F1-30460344D6DD}"/>
    <cellStyle name="เครื่องหมายจุลภาค 4 3 5" xfId="1278" xr:uid="{00000000-0005-0000-0000-00000B050000}"/>
    <cellStyle name="เครื่องหมายจุลภาค 4 3 5 2" xfId="2547" xr:uid="{84B265BD-86D9-4E2A-B10E-F32225453D0C}"/>
    <cellStyle name="เครื่องหมายจุลภาค 4 3 6" xfId="2532" xr:uid="{9E358CFF-8272-47F7-8A50-A8802405411A}"/>
    <cellStyle name="เครื่องหมายจุลภาค 4 4" xfId="1279" xr:uid="{00000000-0005-0000-0000-00000C050000}"/>
    <cellStyle name="เครื่องหมายจุลภาค 4 4 2" xfId="1280" xr:uid="{00000000-0005-0000-0000-00000D050000}"/>
    <cellStyle name="เครื่องหมายจุลภาค 4 4 2 2" xfId="1281" xr:uid="{00000000-0005-0000-0000-00000E050000}"/>
    <cellStyle name="เครื่องหมายจุลภาค 4 4 2 2 2" xfId="1282" xr:uid="{00000000-0005-0000-0000-00000F050000}"/>
    <cellStyle name="เครื่องหมายจุลภาค 4 4 2 2 2 2" xfId="2551" xr:uid="{83968ABE-29FE-485C-92C8-0F607D24EBE0}"/>
    <cellStyle name="เครื่องหมายจุลภาค 4 4 2 2 3" xfId="2550" xr:uid="{1DE76ACE-AC3A-4E85-83C5-C9E9C08C1C92}"/>
    <cellStyle name="เครื่องหมายจุลภาค 4 4 2 3" xfId="1283" xr:uid="{00000000-0005-0000-0000-000010050000}"/>
    <cellStyle name="เครื่องหมายจุลภาค 4 4 2 3 2" xfId="2552" xr:uid="{9D38D945-6948-4D28-9E43-54EE5C5693E0}"/>
    <cellStyle name="เครื่องหมายจุลภาค 4 4 2 4" xfId="2549" xr:uid="{FF648069-8EA7-4B08-810B-85E601DDF852}"/>
    <cellStyle name="เครื่องหมายจุลภาค 4 4 3" xfId="1284" xr:uid="{00000000-0005-0000-0000-000011050000}"/>
    <cellStyle name="เครื่องหมายจุลภาค 4 4 3 2" xfId="1285" xr:uid="{00000000-0005-0000-0000-000012050000}"/>
    <cellStyle name="เครื่องหมายจุลภาค 4 4 3 2 2" xfId="2554" xr:uid="{A1181C2D-4693-490E-AEFC-811174432684}"/>
    <cellStyle name="เครื่องหมายจุลภาค 4 4 3 3" xfId="2553" xr:uid="{1FEC00B6-8B8D-41F1-B9B1-3C3F1080367E}"/>
    <cellStyle name="เครื่องหมายจุลภาค 4 4 4" xfId="1286" xr:uid="{00000000-0005-0000-0000-000013050000}"/>
    <cellStyle name="เครื่องหมายจุลภาค 4 4 4 2" xfId="2555" xr:uid="{B3E5448A-3FE1-4346-A0E2-FC2D880CFB58}"/>
    <cellStyle name="เครื่องหมายจุลภาค 4 4 5" xfId="2548" xr:uid="{B4B0A704-7B9C-4F3A-A85A-03E53BCA4E36}"/>
    <cellStyle name="เครื่องหมายจุลภาค 4 5" xfId="1287" xr:uid="{00000000-0005-0000-0000-000014050000}"/>
    <cellStyle name="เครื่องหมายจุลภาค 4 5 2" xfId="1288" xr:uid="{00000000-0005-0000-0000-000015050000}"/>
    <cellStyle name="เครื่องหมายจุลภาค 4 5 2 2" xfId="1289" xr:uid="{00000000-0005-0000-0000-000016050000}"/>
    <cellStyle name="เครื่องหมายจุลภาค 4 5 2 2 2" xfId="2558" xr:uid="{D679C216-D0E1-4C28-84C7-299A6536C59E}"/>
    <cellStyle name="เครื่องหมายจุลภาค 4 5 2 3" xfId="2557" xr:uid="{62BE223A-4F9A-43FF-AC8B-FFEF2F8385CB}"/>
    <cellStyle name="เครื่องหมายจุลภาค 4 5 3" xfId="1290" xr:uid="{00000000-0005-0000-0000-000017050000}"/>
    <cellStyle name="เครื่องหมายจุลภาค 4 5 3 2" xfId="2559" xr:uid="{CAB05E2E-7063-44E8-A7AB-14B189EEC1C8}"/>
    <cellStyle name="เครื่องหมายจุลภาค 4 5 4" xfId="2556" xr:uid="{E3187F82-7D1F-41DA-845D-1388CCF0731D}"/>
    <cellStyle name="เครื่องหมายจุลภาค 4 6" xfId="1291" xr:uid="{00000000-0005-0000-0000-000018050000}"/>
    <cellStyle name="เครื่องหมายจุลภาค 4 6 2" xfId="1292" xr:uid="{00000000-0005-0000-0000-000019050000}"/>
    <cellStyle name="เครื่องหมายจุลภาค 4 6 2 2" xfId="2561" xr:uid="{3BC1CF18-5AB0-4DBE-937D-A8C671422E82}"/>
    <cellStyle name="เครื่องหมายจุลภาค 4 6 3" xfId="2560" xr:uid="{FFA1A260-E00D-4DCB-9FBF-366141C85245}"/>
    <cellStyle name="เครื่องหมายจุลภาค 4 7" xfId="1293" xr:uid="{00000000-0005-0000-0000-00001A050000}"/>
    <cellStyle name="เครื่องหมายจุลภาค 4 7 2" xfId="2562" xr:uid="{83C37D24-C210-4728-9008-CE4A37B6CF95}"/>
    <cellStyle name="เครื่องหมายจุลภาค 4 8" xfId="2499" xr:uid="{C0DE7C94-C225-4811-8D1C-E48379B9E0B1}"/>
    <cellStyle name="เครื่องหมายจุลภาค 5" xfId="1294" xr:uid="{00000000-0005-0000-0000-00001B050000}"/>
    <cellStyle name="เครื่องหมายจุลภาค 5 2" xfId="1295" xr:uid="{00000000-0005-0000-0000-00001C050000}"/>
    <cellStyle name="เครื่องหมายจุลภาค 5 2 2" xfId="1296" xr:uid="{00000000-0005-0000-0000-00001D050000}"/>
    <cellStyle name="เครื่องหมายจุลภาค 5 2 2 2" xfId="1297" xr:uid="{00000000-0005-0000-0000-00001E050000}"/>
    <cellStyle name="เครื่องหมายจุลภาค 5 2 2 2 2" xfId="1298" xr:uid="{00000000-0005-0000-0000-00001F050000}"/>
    <cellStyle name="เครื่องหมายจุลภาค 5 2 2 2 2 2" xfId="1299" xr:uid="{00000000-0005-0000-0000-000020050000}"/>
    <cellStyle name="เครื่องหมายจุลภาค 5 2 2 2 2 2 2" xfId="2568" xr:uid="{347F0D3E-B060-44E9-8077-DCA7E020BFFF}"/>
    <cellStyle name="เครื่องหมายจุลภาค 5 2 2 2 2 3" xfId="2567" xr:uid="{2DB8EF98-C06A-4607-AD95-BCBC17D0F806}"/>
    <cellStyle name="เครื่องหมายจุลภาค 5 2 2 2 3" xfId="1300" xr:uid="{00000000-0005-0000-0000-000021050000}"/>
    <cellStyle name="เครื่องหมายจุลภาค 5 2 2 2 3 2" xfId="2569" xr:uid="{A4164F01-30C7-4FE9-A72D-25212543ED57}"/>
    <cellStyle name="เครื่องหมายจุลภาค 5 2 2 2 4" xfId="2566" xr:uid="{6A6A6194-25E7-49DF-B0E8-09AEAAF61D8A}"/>
    <cellStyle name="เครื่องหมายจุลภาค 5 2 2 3" xfId="1301" xr:uid="{00000000-0005-0000-0000-000022050000}"/>
    <cellStyle name="เครื่องหมายจุลภาค 5 2 2 3 2" xfId="1302" xr:uid="{00000000-0005-0000-0000-000023050000}"/>
    <cellStyle name="เครื่องหมายจุลภาค 5 2 2 3 2 2" xfId="2571" xr:uid="{9F31F041-0A99-4026-BE53-8820CE22A692}"/>
    <cellStyle name="เครื่องหมายจุลภาค 5 2 2 3 3" xfId="2570" xr:uid="{26520DD8-BB89-42AA-8058-903EA9831990}"/>
    <cellStyle name="เครื่องหมายจุลภาค 5 2 2 4" xfId="1303" xr:uid="{00000000-0005-0000-0000-000024050000}"/>
    <cellStyle name="เครื่องหมายจุลภาค 5 2 2 4 2" xfId="2572" xr:uid="{0BFC1AAC-2508-4521-B540-20D69B9C1327}"/>
    <cellStyle name="เครื่องหมายจุลภาค 5 2 2 5" xfId="2565" xr:uid="{F701CEED-5E3C-432D-BB5F-C56D0638ACEA}"/>
    <cellStyle name="เครื่องหมายจุลภาค 5 2 3" xfId="1304" xr:uid="{00000000-0005-0000-0000-000025050000}"/>
    <cellStyle name="เครื่องหมายจุลภาค 5 2 3 2" xfId="1305" xr:uid="{00000000-0005-0000-0000-000026050000}"/>
    <cellStyle name="เครื่องหมายจุลภาค 5 2 3 2 2" xfId="1306" xr:uid="{00000000-0005-0000-0000-000027050000}"/>
    <cellStyle name="เครื่องหมายจุลภาค 5 2 3 2 2 2" xfId="2575" xr:uid="{5C94421C-A860-4C59-9595-68623FBA0284}"/>
    <cellStyle name="เครื่องหมายจุลภาค 5 2 3 2 3" xfId="2574" xr:uid="{BD9AFD2C-4187-44D4-92B8-10D03CED439D}"/>
    <cellStyle name="เครื่องหมายจุลภาค 5 2 3 3" xfId="1307" xr:uid="{00000000-0005-0000-0000-000028050000}"/>
    <cellStyle name="เครื่องหมายจุลภาค 5 2 3 3 2" xfId="2576" xr:uid="{70D4D780-1FE1-4A7F-8A90-55ED737CF9CE}"/>
    <cellStyle name="เครื่องหมายจุลภาค 5 2 3 4" xfId="2573" xr:uid="{0D48188A-4DF3-4598-B8C3-901ECA5F931E}"/>
    <cellStyle name="เครื่องหมายจุลภาค 5 2 4" xfId="1308" xr:uid="{00000000-0005-0000-0000-000029050000}"/>
    <cellStyle name="เครื่องหมายจุลภาค 5 2 4 2" xfId="1309" xr:uid="{00000000-0005-0000-0000-00002A050000}"/>
    <cellStyle name="เครื่องหมายจุลภาค 5 2 4 2 2" xfId="2578" xr:uid="{34C06624-4907-45E6-8584-BE42BD751D26}"/>
    <cellStyle name="เครื่องหมายจุลภาค 5 2 4 3" xfId="2577" xr:uid="{B177ACEF-A061-4552-81B3-3879A816A4BA}"/>
    <cellStyle name="เครื่องหมายจุลภาค 5 2 5" xfId="1310" xr:uid="{00000000-0005-0000-0000-00002B050000}"/>
    <cellStyle name="เครื่องหมายจุลภาค 5 2 5 2" xfId="2579" xr:uid="{64140B19-1BA8-45B0-9E5D-905B93271FD1}"/>
    <cellStyle name="เครื่องหมายจุลภาค 5 2 6" xfId="2564" xr:uid="{66A10317-7460-4389-9CC5-6459E85CD72A}"/>
    <cellStyle name="เครื่องหมายจุลภาค 5 3" xfId="1311" xr:uid="{00000000-0005-0000-0000-00002C050000}"/>
    <cellStyle name="เครื่องหมายจุลภาค 5 3 2" xfId="1312" xr:uid="{00000000-0005-0000-0000-00002D050000}"/>
    <cellStyle name="เครื่องหมายจุลภาค 5 3 2 2" xfId="1313" xr:uid="{00000000-0005-0000-0000-00002E050000}"/>
    <cellStyle name="เครื่องหมายจุลภาค 5 3 2 2 2" xfId="1314" xr:uid="{00000000-0005-0000-0000-00002F050000}"/>
    <cellStyle name="เครื่องหมายจุลภาค 5 3 2 2 2 2" xfId="2583" xr:uid="{10BC1161-4E02-49C7-B3E1-2D91F81D63B2}"/>
    <cellStyle name="เครื่องหมายจุลภาค 5 3 2 2 3" xfId="2582" xr:uid="{56A98214-4F73-4C16-B559-C70CECBDA904}"/>
    <cellStyle name="เครื่องหมายจุลภาค 5 3 2 3" xfId="1315" xr:uid="{00000000-0005-0000-0000-000030050000}"/>
    <cellStyle name="เครื่องหมายจุลภาค 5 3 2 3 2" xfId="2584" xr:uid="{53C11791-3EFF-47F8-A9DC-A3CD70D644CE}"/>
    <cellStyle name="เครื่องหมายจุลภาค 5 3 2 4" xfId="2581" xr:uid="{B3A0F515-1256-4750-AF8E-B9E615CD68A1}"/>
    <cellStyle name="เครื่องหมายจุลภาค 5 3 3" xfId="1316" xr:uid="{00000000-0005-0000-0000-000031050000}"/>
    <cellStyle name="เครื่องหมายจุลภาค 5 3 3 2" xfId="1317" xr:uid="{00000000-0005-0000-0000-000032050000}"/>
    <cellStyle name="เครื่องหมายจุลภาค 5 3 3 2 2" xfId="2586" xr:uid="{982D2A97-FE85-421F-97B8-AFEF03863D15}"/>
    <cellStyle name="เครื่องหมายจุลภาค 5 3 3 3" xfId="2585" xr:uid="{8CA8B4AE-6601-4F40-9CA7-D6AE18DCBD29}"/>
    <cellStyle name="เครื่องหมายจุลภาค 5 3 4" xfId="1318" xr:uid="{00000000-0005-0000-0000-000033050000}"/>
    <cellStyle name="เครื่องหมายจุลภาค 5 3 4 2" xfId="2587" xr:uid="{070E79FF-6571-4BD7-BFC4-0357182E457C}"/>
    <cellStyle name="เครื่องหมายจุลภาค 5 3 5" xfId="2580" xr:uid="{8DA7470F-423F-449A-8D31-8699D68CCD20}"/>
    <cellStyle name="เครื่องหมายจุลภาค 5 4" xfId="1319" xr:uid="{00000000-0005-0000-0000-000034050000}"/>
    <cellStyle name="เครื่องหมายจุลภาค 5 4 2" xfId="1320" xr:uid="{00000000-0005-0000-0000-000035050000}"/>
    <cellStyle name="เครื่องหมายจุลภาค 5 4 2 2" xfId="1321" xr:uid="{00000000-0005-0000-0000-000036050000}"/>
    <cellStyle name="เครื่องหมายจุลภาค 5 4 2 2 2" xfId="2590" xr:uid="{039860BF-34BF-4E17-B552-4D802AC4C69C}"/>
    <cellStyle name="เครื่องหมายจุลภาค 5 4 2 3" xfId="2589" xr:uid="{6D650A4B-A178-4CC6-943D-CEB3944F95C4}"/>
    <cellStyle name="เครื่องหมายจุลภาค 5 4 3" xfId="1322" xr:uid="{00000000-0005-0000-0000-000037050000}"/>
    <cellStyle name="เครื่องหมายจุลภาค 5 4 3 2" xfId="2591" xr:uid="{1182318E-517B-45B7-ACB9-727094075F35}"/>
    <cellStyle name="เครื่องหมายจุลภาค 5 4 4" xfId="2588" xr:uid="{C19CB919-4F66-4D26-B94C-86B21DDC3CCA}"/>
    <cellStyle name="เครื่องหมายจุลภาค 5 5" xfId="1323" xr:uid="{00000000-0005-0000-0000-000038050000}"/>
    <cellStyle name="เครื่องหมายจุลภาค 5 5 2" xfId="1324" xr:uid="{00000000-0005-0000-0000-000039050000}"/>
    <cellStyle name="เครื่องหมายจุลภาค 5 5 2 2" xfId="2593" xr:uid="{BAB30E17-D17B-44A0-B7EC-2395A3459133}"/>
    <cellStyle name="เครื่องหมายจุลภาค 5 5 3" xfId="2592" xr:uid="{D6356A25-FA67-407F-886C-0EB849E93618}"/>
    <cellStyle name="เครื่องหมายจุลภาค 5 6" xfId="1325" xr:uid="{00000000-0005-0000-0000-00003A050000}"/>
    <cellStyle name="เครื่องหมายจุลภาค 5 6 2" xfId="2594" xr:uid="{DADB7BF6-0D5F-4712-807D-B1F72A395F1C}"/>
    <cellStyle name="เครื่องหมายจุลภาค 5 7" xfId="2563" xr:uid="{A376B941-2B62-40AC-91E8-02D93B59AD8A}"/>
    <cellStyle name="เครื่องหมายจุลภาค 6" xfId="1326" xr:uid="{00000000-0005-0000-0000-00003B050000}"/>
    <cellStyle name="เครื่องหมายจุลภาค 6 2" xfId="1327" xr:uid="{00000000-0005-0000-0000-00003C050000}"/>
    <cellStyle name="เครื่องหมายจุลภาค 6 2 2" xfId="1328" xr:uid="{00000000-0005-0000-0000-00003D050000}"/>
    <cellStyle name="เครื่องหมายจุลภาค 6 2 2 2" xfId="1329" xr:uid="{00000000-0005-0000-0000-00003E050000}"/>
    <cellStyle name="เครื่องหมายจุลภาค 6 2 2 2 2" xfId="1330" xr:uid="{00000000-0005-0000-0000-00003F050000}"/>
    <cellStyle name="เครื่องหมายจุลภาค 6 2 2 2 2 2" xfId="2599" xr:uid="{89102727-AB8B-453A-B54F-8B17266A5C95}"/>
    <cellStyle name="เครื่องหมายจุลภาค 6 2 2 2 3" xfId="2598" xr:uid="{2F0045CB-1EAD-4EB8-BEE9-E39CE0A2871F}"/>
    <cellStyle name="เครื่องหมายจุลภาค 6 2 2 3" xfId="1331" xr:uid="{00000000-0005-0000-0000-000040050000}"/>
    <cellStyle name="เครื่องหมายจุลภาค 6 2 2 3 2" xfId="2600" xr:uid="{67308F0B-2D05-42B2-9777-45871181B076}"/>
    <cellStyle name="เครื่องหมายจุลภาค 6 2 2 4" xfId="2597" xr:uid="{13962289-E804-4F88-8F88-7A39088880CD}"/>
    <cellStyle name="เครื่องหมายจุลภาค 6 2 3" xfId="1332" xr:uid="{00000000-0005-0000-0000-000041050000}"/>
    <cellStyle name="เครื่องหมายจุลภาค 6 2 3 2" xfId="1333" xr:uid="{00000000-0005-0000-0000-000042050000}"/>
    <cellStyle name="เครื่องหมายจุลภาค 6 2 3 2 2" xfId="2602" xr:uid="{323B7947-5CCD-41BE-BC97-8329118A51D3}"/>
    <cellStyle name="เครื่องหมายจุลภาค 6 2 3 3" xfId="2601" xr:uid="{FD9D83EB-2D46-442F-B378-231DBDD1B42D}"/>
    <cellStyle name="เครื่องหมายจุลภาค 6 2 4" xfId="1334" xr:uid="{00000000-0005-0000-0000-000043050000}"/>
    <cellStyle name="เครื่องหมายจุลภาค 6 2 4 2" xfId="2603" xr:uid="{B039FD97-BCE5-49F3-9F76-4DC6BF700DD0}"/>
    <cellStyle name="เครื่องหมายจุลภาค 6 2 5" xfId="2596" xr:uid="{D338C1BB-4339-4311-8929-A3F342192E55}"/>
    <cellStyle name="เครื่องหมายจุลภาค 6 3" xfId="1335" xr:uid="{00000000-0005-0000-0000-000044050000}"/>
    <cellStyle name="เครื่องหมายจุลภาค 6 3 2" xfId="1336" xr:uid="{00000000-0005-0000-0000-000045050000}"/>
    <cellStyle name="เครื่องหมายจุลภาค 6 3 2 2" xfId="1337" xr:uid="{00000000-0005-0000-0000-000046050000}"/>
    <cellStyle name="เครื่องหมายจุลภาค 6 3 2 2 2" xfId="2606" xr:uid="{FFC98041-E78A-4116-B80C-D2D6B296050D}"/>
    <cellStyle name="เครื่องหมายจุลภาค 6 3 2 3" xfId="2605" xr:uid="{F5CCC8F0-8DEE-49F4-9313-B4E8C85A5C48}"/>
    <cellStyle name="เครื่องหมายจุลภาค 6 3 3" xfId="1338" xr:uid="{00000000-0005-0000-0000-000047050000}"/>
    <cellStyle name="เครื่องหมายจุลภาค 6 3 3 2" xfId="2607" xr:uid="{E888C649-ED39-45CB-A0EC-F9294ED7639D}"/>
    <cellStyle name="เครื่องหมายจุลภาค 6 3 4" xfId="2604" xr:uid="{DB096C32-C823-476F-BEED-C9100E1161EF}"/>
    <cellStyle name="เครื่องหมายจุลภาค 6 4" xfId="1339" xr:uid="{00000000-0005-0000-0000-000048050000}"/>
    <cellStyle name="เครื่องหมายจุลภาค 6 4 2" xfId="1340" xr:uid="{00000000-0005-0000-0000-000049050000}"/>
    <cellStyle name="เครื่องหมายจุลภาค 6 4 2 2" xfId="2609" xr:uid="{40C2C4C5-53CE-469D-A82C-6BAA58419A47}"/>
    <cellStyle name="เครื่องหมายจุลภาค 6 4 3" xfId="2608" xr:uid="{FC8A6002-5B38-46C3-88CF-E3B610610A93}"/>
    <cellStyle name="เครื่องหมายจุลภาค 6 5" xfId="1341" xr:uid="{00000000-0005-0000-0000-00004A050000}"/>
    <cellStyle name="เครื่องหมายจุลภาค 6 5 2" xfId="2610" xr:uid="{2D1D2F7F-4A95-48D6-94C7-16985E10A570}"/>
    <cellStyle name="เครื่องหมายจุลภาค 6 6" xfId="2595" xr:uid="{7B385D8A-6162-4D0E-B13C-F2B5B4A59441}"/>
    <cellStyle name="เครื่องหมายจุลภาค 7" xfId="1342" xr:uid="{00000000-0005-0000-0000-00004B050000}"/>
    <cellStyle name="เครื่องหมายจุลภาค 7 2" xfId="1343" xr:uid="{00000000-0005-0000-0000-00004C050000}"/>
    <cellStyle name="เครื่องหมายจุลภาค 7 2 2" xfId="1344" xr:uid="{00000000-0005-0000-0000-00004D050000}"/>
    <cellStyle name="เครื่องหมายจุลภาค 7 2 2 2" xfId="1345" xr:uid="{00000000-0005-0000-0000-00004E050000}"/>
    <cellStyle name="เครื่องหมายจุลภาค 7 2 2 2 2" xfId="1346" xr:uid="{00000000-0005-0000-0000-00004F050000}"/>
    <cellStyle name="เครื่องหมายจุลภาค 7 2 2 2 2 2" xfId="1347" xr:uid="{00000000-0005-0000-0000-000050050000}"/>
    <cellStyle name="เครื่องหมายจุลภาค 7 2 2 2 2 2 2" xfId="2616" xr:uid="{8662B064-F851-428E-A309-972D7DBCA507}"/>
    <cellStyle name="เครื่องหมายจุลภาค 7 2 2 2 2 3" xfId="2615" xr:uid="{A008C2E2-2E09-4E16-BC6B-6E4009451A57}"/>
    <cellStyle name="เครื่องหมายจุลภาค 7 2 2 2 3" xfId="1348" xr:uid="{00000000-0005-0000-0000-000051050000}"/>
    <cellStyle name="เครื่องหมายจุลภาค 7 2 2 2 3 2" xfId="2617" xr:uid="{6EBCDFCB-C00C-40A2-B20C-4B5FB64C54D2}"/>
    <cellStyle name="เครื่องหมายจุลภาค 7 2 2 2 4" xfId="2614" xr:uid="{B7AAFE68-3100-4DC3-87CA-885EBC6A152F}"/>
    <cellStyle name="เครื่องหมายจุลภาค 7 2 2 3" xfId="1349" xr:uid="{00000000-0005-0000-0000-000052050000}"/>
    <cellStyle name="เครื่องหมายจุลภาค 7 2 2 3 2" xfId="1350" xr:uid="{00000000-0005-0000-0000-000053050000}"/>
    <cellStyle name="เครื่องหมายจุลภาค 7 2 2 3 2 2" xfId="2619" xr:uid="{07619148-5E48-401B-8F96-F7224EF7C1CA}"/>
    <cellStyle name="เครื่องหมายจุลภาค 7 2 2 3 3" xfId="2618" xr:uid="{0E521AAE-CDF2-4178-B975-785068027312}"/>
    <cellStyle name="เครื่องหมายจุลภาค 7 2 2 4" xfId="1351" xr:uid="{00000000-0005-0000-0000-000054050000}"/>
    <cellStyle name="เครื่องหมายจุลภาค 7 2 2 4 2" xfId="2620" xr:uid="{10DC23EE-DB49-4FD8-8C62-258F9C46583B}"/>
    <cellStyle name="เครื่องหมายจุลภาค 7 2 2 5" xfId="2613" xr:uid="{8641C03F-E5D6-48D2-8212-6128D1E671E0}"/>
    <cellStyle name="เครื่องหมายจุลภาค 7 2 3" xfId="1352" xr:uid="{00000000-0005-0000-0000-000055050000}"/>
    <cellStyle name="เครื่องหมายจุลภาค 7 2 3 2" xfId="1353" xr:uid="{00000000-0005-0000-0000-000056050000}"/>
    <cellStyle name="เครื่องหมายจุลภาค 7 2 3 2 2" xfId="1354" xr:uid="{00000000-0005-0000-0000-000057050000}"/>
    <cellStyle name="เครื่องหมายจุลภาค 7 2 3 2 2 2" xfId="2623" xr:uid="{1295B4B1-35E8-4862-BBD4-3FE90F3AA11D}"/>
    <cellStyle name="เครื่องหมายจุลภาค 7 2 3 2 3" xfId="2622" xr:uid="{4A662988-10F9-4AAE-8CEB-24751F3E03A2}"/>
    <cellStyle name="เครื่องหมายจุลภาค 7 2 3 3" xfId="1355" xr:uid="{00000000-0005-0000-0000-000058050000}"/>
    <cellStyle name="เครื่องหมายจุลภาค 7 2 3 3 2" xfId="2624" xr:uid="{E7199BC8-2041-4F1A-B02A-6BC02F3EE231}"/>
    <cellStyle name="เครื่องหมายจุลภาค 7 2 3 4" xfId="2621" xr:uid="{D2EAFD17-64B6-49E9-9770-67EFB3532BE9}"/>
    <cellStyle name="เครื่องหมายจุลภาค 7 2 4" xfId="1356" xr:uid="{00000000-0005-0000-0000-000059050000}"/>
    <cellStyle name="เครื่องหมายจุลภาค 7 2 4 2" xfId="1357" xr:uid="{00000000-0005-0000-0000-00005A050000}"/>
    <cellStyle name="เครื่องหมายจุลภาค 7 2 4 2 2" xfId="2626" xr:uid="{60F6064C-A212-46EE-9092-7A11F2BAF2B9}"/>
    <cellStyle name="เครื่องหมายจุลภาค 7 2 4 3" xfId="2625" xr:uid="{12A00135-01B3-4398-97DC-30CA08A7DFBF}"/>
    <cellStyle name="เครื่องหมายจุลภาค 7 2 5" xfId="1358" xr:uid="{00000000-0005-0000-0000-00005B050000}"/>
    <cellStyle name="เครื่องหมายจุลภาค 7 2 5 2" xfId="2627" xr:uid="{448BBEE1-2D51-4F76-BDA8-5B4B94436C44}"/>
    <cellStyle name="เครื่องหมายจุลภาค 7 2 6" xfId="2612" xr:uid="{8C7EE106-D252-453E-9863-5EE9DFFEB10D}"/>
    <cellStyle name="เครื่องหมายจุลภาค 7 3" xfId="1359" xr:uid="{00000000-0005-0000-0000-00005C050000}"/>
    <cellStyle name="เครื่องหมายจุลภาค 7 3 2" xfId="1360" xr:uid="{00000000-0005-0000-0000-00005D050000}"/>
    <cellStyle name="เครื่องหมายจุลภาค 7 3 2 2" xfId="1361" xr:uid="{00000000-0005-0000-0000-00005E050000}"/>
    <cellStyle name="เครื่องหมายจุลภาค 7 3 2 2 2" xfId="1362" xr:uid="{00000000-0005-0000-0000-00005F050000}"/>
    <cellStyle name="เครื่องหมายจุลภาค 7 3 2 2 2 2" xfId="1363" xr:uid="{00000000-0005-0000-0000-000060050000}"/>
    <cellStyle name="เครื่องหมายจุลภาค 7 3 2 2 2 2 2" xfId="2632" xr:uid="{25DCB696-31D6-4691-982F-925C41AE4022}"/>
    <cellStyle name="เครื่องหมายจุลภาค 7 3 2 2 2 3" xfId="2631" xr:uid="{94D5279A-5A6E-4A3F-B2D3-B713BF82F41A}"/>
    <cellStyle name="เครื่องหมายจุลภาค 7 3 2 2 3" xfId="1364" xr:uid="{00000000-0005-0000-0000-000061050000}"/>
    <cellStyle name="เครื่องหมายจุลภาค 7 3 2 2 3 2" xfId="2633" xr:uid="{DD0A9B9A-4788-488C-BD2D-144B6F6598FF}"/>
    <cellStyle name="เครื่องหมายจุลภาค 7 3 2 2 4" xfId="2630" xr:uid="{1F35D14F-19B0-40B5-9C67-16AF6CFE9E88}"/>
    <cellStyle name="เครื่องหมายจุลภาค 7 3 2 3" xfId="1365" xr:uid="{00000000-0005-0000-0000-000062050000}"/>
    <cellStyle name="เครื่องหมายจุลภาค 7 3 2 3 2" xfId="1366" xr:uid="{00000000-0005-0000-0000-000063050000}"/>
    <cellStyle name="เครื่องหมายจุลภาค 7 3 2 3 2 2" xfId="2635" xr:uid="{50AC4281-D6BE-4A7D-A935-B577AF6DC3C3}"/>
    <cellStyle name="เครื่องหมายจุลภาค 7 3 2 3 3" xfId="2634" xr:uid="{70B5B8D8-492D-4E1C-912D-4DBD2BA01D29}"/>
    <cellStyle name="เครื่องหมายจุลภาค 7 3 2 4" xfId="1367" xr:uid="{00000000-0005-0000-0000-000064050000}"/>
    <cellStyle name="เครื่องหมายจุลภาค 7 3 2 4 2" xfId="2636" xr:uid="{01AF391E-0A4C-478F-9FC5-30C3137BC52D}"/>
    <cellStyle name="เครื่องหมายจุลภาค 7 3 2 5" xfId="2629" xr:uid="{A97BE755-AEEC-4172-B700-5C049101566C}"/>
    <cellStyle name="เครื่องหมายจุลภาค 7 3 3" xfId="1368" xr:uid="{00000000-0005-0000-0000-000065050000}"/>
    <cellStyle name="เครื่องหมายจุลภาค 7 3 3 2" xfId="1369" xr:uid="{00000000-0005-0000-0000-000066050000}"/>
    <cellStyle name="เครื่องหมายจุลภาค 7 3 3 2 2" xfId="1370" xr:uid="{00000000-0005-0000-0000-000067050000}"/>
    <cellStyle name="เครื่องหมายจุลภาค 7 3 3 2 2 2" xfId="2639" xr:uid="{354C2148-1410-4FFA-9760-1101B80FBC5E}"/>
    <cellStyle name="เครื่องหมายจุลภาค 7 3 3 2 3" xfId="2638" xr:uid="{97F2196E-DD19-4353-8F3A-6290B097F282}"/>
    <cellStyle name="เครื่องหมายจุลภาค 7 3 3 3" xfId="1371" xr:uid="{00000000-0005-0000-0000-000068050000}"/>
    <cellStyle name="เครื่องหมายจุลภาค 7 3 3 3 2" xfId="2640" xr:uid="{DE2A6D81-92A3-44C2-9D0C-E26DAA5C6246}"/>
    <cellStyle name="เครื่องหมายจุลภาค 7 3 3 4" xfId="2637" xr:uid="{71EE1C48-786D-485F-8937-11B9C320AE8A}"/>
    <cellStyle name="เครื่องหมายจุลภาค 7 3 4" xfId="1372" xr:uid="{00000000-0005-0000-0000-000069050000}"/>
    <cellStyle name="เครื่องหมายจุลภาค 7 3 4 2" xfId="1373" xr:uid="{00000000-0005-0000-0000-00006A050000}"/>
    <cellStyle name="เครื่องหมายจุลภาค 7 3 4 2 2" xfId="2642" xr:uid="{018EAC70-ADAD-4A77-8A39-0ACA8772C854}"/>
    <cellStyle name="เครื่องหมายจุลภาค 7 3 4 3" xfId="2641" xr:uid="{E34F31FE-8C3E-450B-9678-47CFB46718E9}"/>
    <cellStyle name="เครื่องหมายจุลภาค 7 3 5" xfId="1374" xr:uid="{00000000-0005-0000-0000-00006B050000}"/>
    <cellStyle name="เครื่องหมายจุลภาค 7 3 5 2" xfId="2643" xr:uid="{B41D1C6D-C347-4C15-BDE6-23148AEE9275}"/>
    <cellStyle name="เครื่องหมายจุลภาค 7 3 6" xfId="2628" xr:uid="{CCBC357C-34C1-47CC-B280-6E37D251E158}"/>
    <cellStyle name="เครื่องหมายจุลภาค 7 4" xfId="1375" xr:uid="{00000000-0005-0000-0000-00006C050000}"/>
    <cellStyle name="เครื่องหมายจุลภาค 7 4 2" xfId="1376" xr:uid="{00000000-0005-0000-0000-00006D050000}"/>
    <cellStyle name="เครื่องหมายจุลภาค 7 4 2 2" xfId="1377" xr:uid="{00000000-0005-0000-0000-00006E050000}"/>
    <cellStyle name="เครื่องหมายจุลภาค 7 4 2 2 2" xfId="1378" xr:uid="{00000000-0005-0000-0000-00006F050000}"/>
    <cellStyle name="เครื่องหมายจุลภาค 7 4 2 2 2 2" xfId="1379" xr:uid="{00000000-0005-0000-0000-000070050000}"/>
    <cellStyle name="เครื่องหมายจุลภาค 7 4 2 2 2 2 2" xfId="2648" xr:uid="{A1E33FAD-B004-4792-8F86-C303561EDA1B}"/>
    <cellStyle name="เครื่องหมายจุลภาค 7 4 2 2 2 3" xfId="2647" xr:uid="{52C46CAE-EBDF-478E-ABDD-9979535ED277}"/>
    <cellStyle name="เครื่องหมายจุลภาค 7 4 2 2 3" xfId="1380" xr:uid="{00000000-0005-0000-0000-000071050000}"/>
    <cellStyle name="เครื่องหมายจุลภาค 7 4 2 2 3 2" xfId="2649" xr:uid="{8468D84A-070B-408E-9A86-6C8968D08148}"/>
    <cellStyle name="เครื่องหมายจุลภาค 7 4 2 2 4" xfId="2646" xr:uid="{EE8951DD-04E3-41E3-9D2F-4C440E4D1A52}"/>
    <cellStyle name="เครื่องหมายจุลภาค 7 4 2 3" xfId="1381" xr:uid="{00000000-0005-0000-0000-000072050000}"/>
    <cellStyle name="เครื่องหมายจุลภาค 7 4 2 3 2" xfId="1382" xr:uid="{00000000-0005-0000-0000-000073050000}"/>
    <cellStyle name="เครื่องหมายจุลภาค 7 4 2 3 2 2" xfId="2651" xr:uid="{96E16A45-BAD1-44D5-8C57-71DF2F466D01}"/>
    <cellStyle name="เครื่องหมายจุลภาค 7 4 2 3 3" xfId="2650" xr:uid="{55675E55-F9D5-405D-9222-87B7ED883F88}"/>
    <cellStyle name="เครื่องหมายจุลภาค 7 4 2 4" xfId="1383" xr:uid="{00000000-0005-0000-0000-000074050000}"/>
    <cellStyle name="เครื่องหมายจุลภาค 7 4 2 4 2" xfId="2652" xr:uid="{A46CDF00-D4FC-4C0E-8E91-F57E54F65CDF}"/>
    <cellStyle name="เครื่องหมายจุลภาค 7 4 2 5" xfId="2645" xr:uid="{CDE47D3F-F4A8-405E-A599-2C9DFA0DA9F8}"/>
    <cellStyle name="เครื่องหมายจุลภาค 7 4 3" xfId="1384" xr:uid="{00000000-0005-0000-0000-000075050000}"/>
    <cellStyle name="เครื่องหมายจุลภาค 7 4 3 2" xfId="1385" xr:uid="{00000000-0005-0000-0000-000076050000}"/>
    <cellStyle name="เครื่องหมายจุลภาค 7 4 3 2 2" xfId="1386" xr:uid="{00000000-0005-0000-0000-000077050000}"/>
    <cellStyle name="เครื่องหมายจุลภาค 7 4 3 2 2 2" xfId="2655" xr:uid="{AC8ECB67-AAC1-4815-847C-FBD12DB563C5}"/>
    <cellStyle name="เครื่องหมายจุลภาค 7 4 3 2 3" xfId="2654" xr:uid="{21621756-6206-4FCD-A704-C0C582BA4F50}"/>
    <cellStyle name="เครื่องหมายจุลภาค 7 4 3 3" xfId="1387" xr:uid="{00000000-0005-0000-0000-000078050000}"/>
    <cellStyle name="เครื่องหมายจุลภาค 7 4 3 3 2" xfId="2656" xr:uid="{750AF1E0-1382-4FD9-8D04-AFC98E27F093}"/>
    <cellStyle name="เครื่องหมายจุลภาค 7 4 3 4" xfId="2653" xr:uid="{DA61FF0A-3903-484D-B2FE-C874FC79CCD3}"/>
    <cellStyle name="เครื่องหมายจุลภาค 7 4 4" xfId="1388" xr:uid="{00000000-0005-0000-0000-000079050000}"/>
    <cellStyle name="เครื่องหมายจุลภาค 7 4 4 2" xfId="1389" xr:uid="{00000000-0005-0000-0000-00007A050000}"/>
    <cellStyle name="เครื่องหมายจุลภาค 7 4 4 2 2" xfId="2658" xr:uid="{1ECC0704-F06E-444C-9F26-8C2EF4CEC76A}"/>
    <cellStyle name="เครื่องหมายจุลภาค 7 4 4 3" xfId="2657" xr:uid="{64DDF237-7595-4FCE-BE46-AA44E69DB3BB}"/>
    <cellStyle name="เครื่องหมายจุลภาค 7 4 5" xfId="1390" xr:uid="{00000000-0005-0000-0000-00007B050000}"/>
    <cellStyle name="เครื่องหมายจุลภาค 7 4 5 2" xfId="2659" xr:uid="{DE3847FB-5157-4A88-A7FB-13C3CED96809}"/>
    <cellStyle name="เครื่องหมายจุลภาค 7 4 6" xfId="2644" xr:uid="{93C9527B-DAA5-4818-9587-68DFB8D30146}"/>
    <cellStyle name="เครื่องหมายจุลภาค 7 5" xfId="1391" xr:uid="{00000000-0005-0000-0000-00007C050000}"/>
    <cellStyle name="เครื่องหมายจุลภาค 7 5 2" xfId="1392" xr:uid="{00000000-0005-0000-0000-00007D050000}"/>
    <cellStyle name="เครื่องหมายจุลภาค 7 5 2 2" xfId="1393" xr:uid="{00000000-0005-0000-0000-00007E050000}"/>
    <cellStyle name="เครื่องหมายจุลภาค 7 5 2 2 2" xfId="1394" xr:uid="{00000000-0005-0000-0000-00007F050000}"/>
    <cellStyle name="เครื่องหมายจุลภาค 7 5 2 2 2 2" xfId="2663" xr:uid="{50F3D903-D46D-466B-B6EC-349D8A4230B4}"/>
    <cellStyle name="เครื่องหมายจุลภาค 7 5 2 2 3" xfId="2662" xr:uid="{F2F4AB82-84B0-4F21-921E-B4AF3E84D4C6}"/>
    <cellStyle name="เครื่องหมายจุลภาค 7 5 2 3" xfId="1395" xr:uid="{00000000-0005-0000-0000-000080050000}"/>
    <cellStyle name="เครื่องหมายจุลภาค 7 5 2 3 2" xfId="2664" xr:uid="{055338CE-8BAA-42FD-ADC8-280C5209BCDA}"/>
    <cellStyle name="เครื่องหมายจุลภาค 7 5 2 4" xfId="2661" xr:uid="{FE437825-48AB-47CE-9F68-39554421F99B}"/>
    <cellStyle name="เครื่องหมายจุลภาค 7 5 3" xfId="1396" xr:uid="{00000000-0005-0000-0000-000081050000}"/>
    <cellStyle name="เครื่องหมายจุลภาค 7 5 3 2" xfId="1397" xr:uid="{00000000-0005-0000-0000-000082050000}"/>
    <cellStyle name="เครื่องหมายจุลภาค 7 5 3 2 2" xfId="2666" xr:uid="{83B5E1FF-C76C-4B80-A483-BD3477068341}"/>
    <cellStyle name="เครื่องหมายจุลภาค 7 5 3 3" xfId="2665" xr:uid="{3AD353E2-B4C3-42B9-A225-7D98D0A0D09C}"/>
    <cellStyle name="เครื่องหมายจุลภาค 7 5 4" xfId="1398" xr:uid="{00000000-0005-0000-0000-000083050000}"/>
    <cellStyle name="เครื่องหมายจุลภาค 7 5 4 2" xfId="2667" xr:uid="{4F8C0866-06FA-4CD6-B8A7-FB90586EFF51}"/>
    <cellStyle name="เครื่องหมายจุลภาค 7 5 5" xfId="2660" xr:uid="{A31F8F8B-F3A4-448A-A3F9-4F21C3C28C2B}"/>
    <cellStyle name="เครื่องหมายจุลภาค 7 6" xfId="1399" xr:uid="{00000000-0005-0000-0000-000084050000}"/>
    <cellStyle name="เครื่องหมายจุลภาค 7 6 2" xfId="1400" xr:uid="{00000000-0005-0000-0000-000085050000}"/>
    <cellStyle name="เครื่องหมายจุลภาค 7 6 2 2" xfId="1401" xr:uid="{00000000-0005-0000-0000-000086050000}"/>
    <cellStyle name="เครื่องหมายจุลภาค 7 6 2 2 2" xfId="2670" xr:uid="{461ED1D9-3511-4D09-A7DD-CCCF0DB03D38}"/>
    <cellStyle name="เครื่องหมายจุลภาค 7 6 2 3" xfId="2669" xr:uid="{49713B2A-295D-4D04-8BFD-5DBDDDE80AFC}"/>
    <cellStyle name="เครื่องหมายจุลภาค 7 6 3" xfId="1402" xr:uid="{00000000-0005-0000-0000-000087050000}"/>
    <cellStyle name="เครื่องหมายจุลภาค 7 6 3 2" xfId="2671" xr:uid="{90D2DDBD-712D-4728-941E-A0F6C6D605DF}"/>
    <cellStyle name="เครื่องหมายจุลภาค 7 6 4" xfId="2668" xr:uid="{3C1FFADB-ACDF-4697-B071-881D5823B020}"/>
    <cellStyle name="เครื่องหมายจุลภาค 7 7" xfId="1403" xr:uid="{00000000-0005-0000-0000-000088050000}"/>
    <cellStyle name="เครื่องหมายจุลภาค 7 7 2" xfId="1404" xr:uid="{00000000-0005-0000-0000-000089050000}"/>
    <cellStyle name="เครื่องหมายจุลภาค 7 7 2 2" xfId="2673" xr:uid="{6F560237-3098-497C-B845-DA0A87DB0BF2}"/>
    <cellStyle name="เครื่องหมายจุลภาค 7 7 3" xfId="2672" xr:uid="{2A5CF9CA-1377-4540-A424-73D032D2B003}"/>
    <cellStyle name="เครื่องหมายจุลภาค 7 8" xfId="1405" xr:uid="{00000000-0005-0000-0000-00008A050000}"/>
    <cellStyle name="เครื่องหมายจุลภาค 7 8 2" xfId="2674" xr:uid="{9FD1CB96-3A88-44D4-9CC7-D5035FE12C9F}"/>
    <cellStyle name="เครื่องหมายจุลภาค 7 9" xfId="2611" xr:uid="{267190F9-B5BE-4CFE-A9CE-B6C1AB955742}"/>
    <cellStyle name="เครื่องหมายจุลภาค 8" xfId="1406" xr:uid="{00000000-0005-0000-0000-00008B050000}"/>
    <cellStyle name="เครื่องหมายจุลภาค 8 2" xfId="1407" xr:uid="{00000000-0005-0000-0000-00008C050000}"/>
    <cellStyle name="เครื่องหมายจุลภาค 8 2 2" xfId="1408" xr:uid="{00000000-0005-0000-0000-00008D050000}"/>
    <cellStyle name="เครื่องหมายจุลภาค 8 2 2 2" xfId="1409" xr:uid="{00000000-0005-0000-0000-00008E050000}"/>
    <cellStyle name="เครื่องหมายจุลภาค 8 2 2 2 2" xfId="1410" xr:uid="{00000000-0005-0000-0000-00008F050000}"/>
    <cellStyle name="เครื่องหมายจุลภาค 8 2 2 2 2 2" xfId="2679" xr:uid="{6ED5D73C-8C02-4311-BE22-6152B1200FA4}"/>
    <cellStyle name="เครื่องหมายจุลภาค 8 2 2 2 3" xfId="2678" xr:uid="{F0D2FB65-8D63-47B7-999A-569BB5BE4E9A}"/>
    <cellStyle name="เครื่องหมายจุลภาค 8 2 2 3" xfId="1411" xr:uid="{00000000-0005-0000-0000-000090050000}"/>
    <cellStyle name="เครื่องหมายจุลภาค 8 2 2 3 2" xfId="2680" xr:uid="{075338A9-66A9-4D25-B28D-B7F2894025AC}"/>
    <cellStyle name="เครื่องหมายจุลภาค 8 2 2 4" xfId="2677" xr:uid="{3A0E8F0D-964E-4ED5-AB68-48359968132D}"/>
    <cellStyle name="เครื่องหมายจุลภาค 8 2 3" xfId="1412" xr:uid="{00000000-0005-0000-0000-000091050000}"/>
    <cellStyle name="เครื่องหมายจุลภาค 8 2 3 2" xfId="1413" xr:uid="{00000000-0005-0000-0000-000092050000}"/>
    <cellStyle name="เครื่องหมายจุลภาค 8 2 3 2 2" xfId="2682" xr:uid="{BF86CA9E-51CE-42D2-9811-B5B03D1E1D92}"/>
    <cellStyle name="เครื่องหมายจุลภาค 8 2 3 3" xfId="2681" xr:uid="{76844F22-C86B-455F-94D4-655B511A142A}"/>
    <cellStyle name="เครื่องหมายจุลภาค 8 2 4" xfId="1414" xr:uid="{00000000-0005-0000-0000-000093050000}"/>
    <cellStyle name="เครื่องหมายจุลภาค 8 2 4 2" xfId="2683" xr:uid="{E4155DD3-245F-40D5-8342-28AC79C23325}"/>
    <cellStyle name="เครื่องหมายจุลภาค 8 2 5" xfId="2676" xr:uid="{3422D127-8E64-4608-965D-7F8076916B49}"/>
    <cellStyle name="เครื่องหมายจุลภาค 8 3" xfId="1415" xr:uid="{00000000-0005-0000-0000-000094050000}"/>
    <cellStyle name="เครื่องหมายจุลภาค 8 3 2" xfId="1416" xr:uid="{00000000-0005-0000-0000-000095050000}"/>
    <cellStyle name="เครื่องหมายจุลภาค 8 3 2 2" xfId="1417" xr:uid="{00000000-0005-0000-0000-000096050000}"/>
    <cellStyle name="เครื่องหมายจุลภาค 8 3 2 2 2" xfId="2686" xr:uid="{69C3882A-8F76-497A-9B49-BF4CAB1FDFAA}"/>
    <cellStyle name="เครื่องหมายจุลภาค 8 3 2 3" xfId="2685" xr:uid="{2A1E3751-FB65-4C26-9709-252AD2EBB737}"/>
    <cellStyle name="เครื่องหมายจุลภาค 8 3 3" xfId="1418" xr:uid="{00000000-0005-0000-0000-000097050000}"/>
    <cellStyle name="เครื่องหมายจุลภาค 8 3 3 2" xfId="2687" xr:uid="{9BC89253-CE1C-4EFB-AECC-03DF179C7EF4}"/>
    <cellStyle name="เครื่องหมายจุลภาค 8 3 4" xfId="2684" xr:uid="{86FDAB5B-8350-4075-9165-0EAF41598E50}"/>
    <cellStyle name="เครื่องหมายจุลภาค 8 4" xfId="1419" xr:uid="{00000000-0005-0000-0000-000098050000}"/>
    <cellStyle name="เครื่องหมายจุลภาค 8 4 2" xfId="1420" xr:uid="{00000000-0005-0000-0000-000099050000}"/>
    <cellStyle name="เครื่องหมายจุลภาค 8 4 2 2" xfId="2689" xr:uid="{1B6191E5-1ECC-4E11-BEAF-D3AFB5F67C07}"/>
    <cellStyle name="เครื่องหมายจุลภาค 8 4 3" xfId="2688" xr:uid="{6F96312D-FDDF-407A-BEE5-929E5393258B}"/>
    <cellStyle name="เครื่องหมายจุลภาค 8 5" xfId="1421" xr:uid="{00000000-0005-0000-0000-00009A050000}"/>
    <cellStyle name="เครื่องหมายจุลภาค 8 5 2" xfId="2690" xr:uid="{FDFF4832-C6A6-4F21-A258-BE5F6FB08B2E}"/>
    <cellStyle name="เครื่องหมายจุลภาค 8 6" xfId="2675" xr:uid="{1342FDF8-CBB1-43FD-990B-74364AD61CE9}"/>
    <cellStyle name="เครื่องหมายจุลภาค 9" xfId="1422" xr:uid="{00000000-0005-0000-0000-00009B050000}"/>
    <cellStyle name="เครื่องหมายจุลภาค 9 2" xfId="1423" xr:uid="{00000000-0005-0000-0000-00009C050000}"/>
    <cellStyle name="เครื่องหมายจุลภาค 9 2 2" xfId="1424" xr:uid="{00000000-0005-0000-0000-00009D050000}"/>
    <cellStyle name="เครื่องหมายจุลภาค 9 2 2 2" xfId="1425" xr:uid="{00000000-0005-0000-0000-00009E050000}"/>
    <cellStyle name="เครื่องหมายจุลภาค 9 2 2 2 2" xfId="1426" xr:uid="{00000000-0005-0000-0000-00009F050000}"/>
    <cellStyle name="เครื่องหมายจุลภาค 9 2 2 2 2 2" xfId="2695" xr:uid="{3DF66BE0-6BDB-4A44-8C4F-48F669ACBA95}"/>
    <cellStyle name="เครื่องหมายจุลภาค 9 2 2 2 3" xfId="2694" xr:uid="{B63BE742-DA7B-4737-8B9A-BD21B5634A1A}"/>
    <cellStyle name="เครื่องหมายจุลภาค 9 2 2 3" xfId="1427" xr:uid="{00000000-0005-0000-0000-0000A0050000}"/>
    <cellStyle name="เครื่องหมายจุลภาค 9 2 2 3 2" xfId="2696" xr:uid="{63BBEA67-4B3A-436D-87B2-4758851036F7}"/>
    <cellStyle name="เครื่องหมายจุลภาค 9 2 2 4" xfId="2693" xr:uid="{688030D1-AEAC-4697-9D38-6E34B6442F03}"/>
    <cellStyle name="เครื่องหมายจุลภาค 9 2 3" xfId="1428" xr:uid="{00000000-0005-0000-0000-0000A1050000}"/>
    <cellStyle name="เครื่องหมายจุลภาค 9 2 3 2" xfId="1429" xr:uid="{00000000-0005-0000-0000-0000A2050000}"/>
    <cellStyle name="เครื่องหมายจุลภาค 9 2 3 2 2" xfId="2698" xr:uid="{83F3B00A-FCC1-4366-A369-D237A7EBDEF0}"/>
    <cellStyle name="เครื่องหมายจุลภาค 9 2 3 3" xfId="2697" xr:uid="{13316541-EB10-4087-8EBD-333F966BB5D1}"/>
    <cellStyle name="เครื่องหมายจุลภาค 9 2 4" xfId="1430" xr:uid="{00000000-0005-0000-0000-0000A3050000}"/>
    <cellStyle name="เครื่องหมายจุลภาค 9 2 4 2" xfId="2699" xr:uid="{5737CAE7-11BB-48A4-AFDA-1665F6F151B3}"/>
    <cellStyle name="เครื่องหมายจุลภาค 9 2 5" xfId="2692" xr:uid="{BEF790F7-FEDB-4D75-8BE5-3E6DDA9646BA}"/>
    <cellStyle name="เครื่องหมายจุลภาค 9 3" xfId="1431" xr:uid="{00000000-0005-0000-0000-0000A4050000}"/>
    <cellStyle name="เครื่องหมายจุลภาค 9 3 2" xfId="1432" xr:uid="{00000000-0005-0000-0000-0000A5050000}"/>
    <cellStyle name="เครื่องหมายจุลภาค 9 3 2 2" xfId="1433" xr:uid="{00000000-0005-0000-0000-0000A6050000}"/>
    <cellStyle name="เครื่องหมายจุลภาค 9 3 2 2 2" xfId="2702" xr:uid="{3CB2B2C7-7065-4963-8A3C-B0993FE467AD}"/>
    <cellStyle name="เครื่องหมายจุลภาค 9 3 2 3" xfId="2701" xr:uid="{CF86F06A-F9CA-4A18-B932-0A364AA983AB}"/>
    <cellStyle name="เครื่องหมายจุลภาค 9 3 3" xfId="1434" xr:uid="{00000000-0005-0000-0000-0000A7050000}"/>
    <cellStyle name="เครื่องหมายจุลภาค 9 3 3 2" xfId="2703" xr:uid="{E93650AA-E629-44FA-82B0-65F60FD89347}"/>
    <cellStyle name="เครื่องหมายจุลภาค 9 3 4" xfId="2700" xr:uid="{29511C6C-FC36-4B15-B423-44BAFCA4DC36}"/>
    <cellStyle name="เครื่องหมายจุลภาค 9 4" xfId="1435" xr:uid="{00000000-0005-0000-0000-0000A8050000}"/>
    <cellStyle name="เครื่องหมายจุลภาค 9 4 2" xfId="1436" xr:uid="{00000000-0005-0000-0000-0000A9050000}"/>
    <cellStyle name="เครื่องหมายจุลภาค 9 4 2 2" xfId="2705" xr:uid="{04FD622F-CD87-40B0-B7D0-A6480670542A}"/>
    <cellStyle name="เครื่องหมายจุลภาค 9 4 3" xfId="2704" xr:uid="{4AD0C88E-FF33-4E55-8097-3F3486C646AE}"/>
    <cellStyle name="เครื่องหมายจุลภาค 9 5" xfId="1437" xr:uid="{00000000-0005-0000-0000-0000AA050000}"/>
    <cellStyle name="เครื่องหมายจุลภาค 9 5 2" xfId="2706" xr:uid="{3F262013-B944-4CD1-AB78-159C3054E14C}"/>
    <cellStyle name="เครื่องหมายจุลภาค 9 6" xfId="2691" xr:uid="{7332E38B-6036-4B08-988D-0EDC4C565ABB}"/>
    <cellStyle name="จุลภาค 2" xfId="1447" xr:uid="{00000000-0005-0000-0000-0000AB050000}"/>
    <cellStyle name="จุลภาค 2 2" xfId="1448" xr:uid="{00000000-0005-0000-0000-0000AC050000}"/>
    <cellStyle name="จุลภาค 2 2 2" xfId="2709" xr:uid="{78A7F039-48E4-41D9-AC58-F06FB3202BDC}"/>
    <cellStyle name="จุลภาค 2 2 3" xfId="2720" xr:uid="{49C12788-0DBE-405B-966D-197991117ED1}"/>
    <cellStyle name="จุลภาค 2 3" xfId="2708" xr:uid="{2CD309CA-E532-4295-9920-0092A148B414}"/>
    <cellStyle name="จุลภาค 2 4" xfId="2719" xr:uid="{F0DD93FA-DF0C-4BB1-8F24-7F1C1DE61D99}"/>
    <cellStyle name="จุลภาค 3" xfId="1480" xr:uid="{BC0E7A02-7EF8-41AD-82C8-A0250A22DB6E}"/>
    <cellStyle name="จุลภาค 3 2" xfId="2714" xr:uid="{2511D8E4-5A2D-4AA8-A9D8-0695AC657689}"/>
    <cellStyle name="เชื่อมโยงหลายมิติ" xfId="1438" xr:uid="{00000000-0005-0000-0000-0000AD050000}"/>
    <cellStyle name="ตามการเชื่อมโยงหลายมิติ" xfId="1449" xr:uid="{00000000-0005-0000-0000-0000AE050000}"/>
    <cellStyle name="ปกติ 2" xfId="1450" xr:uid="{00000000-0005-0000-0000-0000B0050000}"/>
    <cellStyle name="ปกติ 2 2" xfId="1451" xr:uid="{00000000-0005-0000-0000-0000B1050000}"/>
    <cellStyle name="ปกติ 3" xfId="1452" xr:uid="{00000000-0005-0000-0000-0000B2050000}"/>
    <cellStyle name="ปกติ 4" xfId="1453" xr:uid="{00000000-0005-0000-0000-0000B3050000}"/>
    <cellStyle name="ปกติ 4 2" xfId="2710" xr:uid="{2DAB6AC5-120B-4A41-ADF1-F31DE8A38798}"/>
    <cellStyle name="ปกติ 5" xfId="1454" xr:uid="{00000000-0005-0000-0000-0000B4050000}"/>
    <cellStyle name="ปกติ 6" xfId="1455" xr:uid="{00000000-0005-0000-0000-0000B5050000}"/>
    <cellStyle name="ปกติ 7" xfId="1456" xr:uid="{00000000-0005-0000-0000-0000B6050000}"/>
    <cellStyle name="ปกติ_  boq-form" xfId="1457" xr:uid="{00000000-0005-0000-0000-0000B7050000}"/>
    <cellStyle name="ปกติ_STR BOQ 2" xfId="1458" xr:uid="{00000000-0005-0000-0000-0000B8050000}"/>
    <cellStyle name="ปกติ_STR BOQ 2 2" xfId="1475" xr:uid="{00000000-0005-0000-0000-0000B9050000}"/>
    <cellStyle name="เปอร์เซ็นต์ 2" xfId="1440" xr:uid="{00000000-0005-0000-0000-0000BB050000}"/>
    <cellStyle name="เปอร์เซ็นต์ 2 2" xfId="1441" xr:uid="{00000000-0005-0000-0000-0000BC050000}"/>
    <cellStyle name="เปอร์เซ็นต์ 2 2 2" xfId="1442" xr:uid="{00000000-0005-0000-0000-0000BD050000}"/>
    <cellStyle name="เปอร์เซ็นต์ 2 2 2 2" xfId="1443" xr:uid="{00000000-0005-0000-0000-0000BE050000}"/>
    <cellStyle name="เปอร์เซ็นต์ 2 2 3" xfId="1444" xr:uid="{00000000-0005-0000-0000-0000BF050000}"/>
    <cellStyle name="เปอร์เซ็นต์ 3" xfId="1445" xr:uid="{00000000-0005-0000-0000-0000C0050000}"/>
    <cellStyle name="ฤธถ [0]_laroux" xfId="1459" xr:uid="{00000000-0005-0000-0000-0000C1050000}"/>
    <cellStyle name="ฤธถ_laroux" xfId="1460" xr:uid="{00000000-0005-0000-0000-0000C2050000}"/>
    <cellStyle name="ล๋ศญ [0]_laroux" xfId="1461" xr:uid="{00000000-0005-0000-0000-0000C3050000}"/>
    <cellStyle name="ล๋ศญ_laroux" xfId="1462" xr:uid="{00000000-0005-0000-0000-0000C4050000}"/>
    <cellStyle name="ลักษณะ 1" xfId="1463" xr:uid="{00000000-0005-0000-0000-0000C5050000}"/>
    <cellStyle name="วฅมุ_laroux" xfId="1464" xr:uid="{00000000-0005-0000-0000-0000C6050000}"/>
    <cellStyle name="標準_1.Estimation" xfId="1465" xr:uid="{00000000-0005-0000-0000-0000C7050000}"/>
  </cellStyles>
  <dxfs count="0"/>
  <tableStyles count="0" defaultTableStyle="TableStyleMedium9" defaultPivotStyle="PivotStyleLight16"/>
  <colors>
    <mruColors>
      <color rgb="FFE3BD1B"/>
      <color rgb="FF66FFCC"/>
      <color rgb="FF0066FF"/>
      <color rgb="FFFF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1437" name="Rectangle 1">
          <a:extLst>
            <a:ext uri="{FF2B5EF4-FFF2-40B4-BE49-F238E27FC236}">
              <a16:creationId xmlns:a16="http://schemas.microsoft.com/office/drawing/2014/main" id="{80DAB44F-DF06-40BC-8011-26AC65928A7E}"/>
            </a:ext>
          </a:extLst>
        </xdr:cNvPr>
        <xdr:cNvSpPr>
          <a:spLocks noChangeArrowheads="1"/>
        </xdr:cNvSpPr>
      </xdr:nvSpPr>
      <xdr:spPr bwMode="auto">
        <a:xfrm>
          <a:off x="436245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38" name="Rectangle 2">
          <a:extLst>
            <a:ext uri="{FF2B5EF4-FFF2-40B4-BE49-F238E27FC236}">
              <a16:creationId xmlns:a16="http://schemas.microsoft.com/office/drawing/2014/main" id="{316E22CA-3142-48C7-8530-F9A193CD1CD7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39" name="Rectangle 3">
          <a:extLst>
            <a:ext uri="{FF2B5EF4-FFF2-40B4-BE49-F238E27FC236}">
              <a16:creationId xmlns:a16="http://schemas.microsoft.com/office/drawing/2014/main" id="{265C3EF3-A174-43B7-B1F8-B811FE587E23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0" name="Rectangle 4">
          <a:extLst>
            <a:ext uri="{FF2B5EF4-FFF2-40B4-BE49-F238E27FC236}">
              <a16:creationId xmlns:a16="http://schemas.microsoft.com/office/drawing/2014/main" id="{A9E73AA7-CAF3-4C05-A28D-DD84AE33EAE1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1" name="Rectangle 5">
          <a:extLst>
            <a:ext uri="{FF2B5EF4-FFF2-40B4-BE49-F238E27FC236}">
              <a16:creationId xmlns:a16="http://schemas.microsoft.com/office/drawing/2014/main" id="{ACC775F7-2CAB-4C40-B2FE-1493AB35C60F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2" name="Rectangle 6">
          <a:extLst>
            <a:ext uri="{FF2B5EF4-FFF2-40B4-BE49-F238E27FC236}">
              <a16:creationId xmlns:a16="http://schemas.microsoft.com/office/drawing/2014/main" id="{056DCA20-83D3-49D4-B4BC-AD4A165A6647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3" name="Rectangle 7">
          <a:extLst>
            <a:ext uri="{FF2B5EF4-FFF2-40B4-BE49-F238E27FC236}">
              <a16:creationId xmlns:a16="http://schemas.microsoft.com/office/drawing/2014/main" id="{1AA2FF3A-BDB0-46B3-AB10-DC41A5E95102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4" name="Rectangle 8">
          <a:extLst>
            <a:ext uri="{FF2B5EF4-FFF2-40B4-BE49-F238E27FC236}">
              <a16:creationId xmlns:a16="http://schemas.microsoft.com/office/drawing/2014/main" id="{A2C2E616-ABEE-43A6-A34B-1A465BAC2F58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5" name="Rectangle 9">
          <a:extLst>
            <a:ext uri="{FF2B5EF4-FFF2-40B4-BE49-F238E27FC236}">
              <a16:creationId xmlns:a16="http://schemas.microsoft.com/office/drawing/2014/main" id="{16F05747-9C1A-4200-B0CE-3A313503874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6" name="Rectangle 10">
          <a:extLst>
            <a:ext uri="{FF2B5EF4-FFF2-40B4-BE49-F238E27FC236}">
              <a16:creationId xmlns:a16="http://schemas.microsoft.com/office/drawing/2014/main" id="{247D9DEB-42A3-496C-8702-8559C6F5FEC6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7" name="Rectangle 11">
          <a:extLst>
            <a:ext uri="{FF2B5EF4-FFF2-40B4-BE49-F238E27FC236}">
              <a16:creationId xmlns:a16="http://schemas.microsoft.com/office/drawing/2014/main" id="{821BB314-D78B-4C6C-8CC2-3DA0135F252B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8" name="Rectangle 12">
          <a:extLst>
            <a:ext uri="{FF2B5EF4-FFF2-40B4-BE49-F238E27FC236}">
              <a16:creationId xmlns:a16="http://schemas.microsoft.com/office/drawing/2014/main" id="{0DF85DCC-E708-4E35-BECE-C81476926043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9" name="Rectangle 13">
          <a:extLst>
            <a:ext uri="{FF2B5EF4-FFF2-40B4-BE49-F238E27FC236}">
              <a16:creationId xmlns:a16="http://schemas.microsoft.com/office/drawing/2014/main" id="{7BBAD3CD-36CF-416A-80D3-EF054A530E13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0" name="Rectangle 14">
          <a:extLst>
            <a:ext uri="{FF2B5EF4-FFF2-40B4-BE49-F238E27FC236}">
              <a16:creationId xmlns:a16="http://schemas.microsoft.com/office/drawing/2014/main" id="{A2D1D0F2-4906-4993-8777-F164F3466C72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1" name="Rectangle 15">
          <a:extLst>
            <a:ext uri="{FF2B5EF4-FFF2-40B4-BE49-F238E27FC236}">
              <a16:creationId xmlns:a16="http://schemas.microsoft.com/office/drawing/2014/main" id="{06EED8E2-F481-4582-9936-A8C30C34518B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2" name="Rectangle 16">
          <a:extLst>
            <a:ext uri="{FF2B5EF4-FFF2-40B4-BE49-F238E27FC236}">
              <a16:creationId xmlns:a16="http://schemas.microsoft.com/office/drawing/2014/main" id="{A71ACAE7-3E63-4706-9E7F-3516F92EFADB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1453" name="Picture 34">
          <a:extLst>
            <a:ext uri="{FF2B5EF4-FFF2-40B4-BE49-F238E27FC236}">
              <a16:creationId xmlns:a16="http://schemas.microsoft.com/office/drawing/2014/main" id="{08AEF71B-648B-4A95-89F2-BE54829F7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1</xdr:row>
      <xdr:rowOff>93457</xdr:rowOff>
    </xdr:from>
    <xdr:to>
      <xdr:col>1</xdr:col>
      <xdr:colOff>517152</xdr:colOff>
      <xdr:row>6</xdr:row>
      <xdr:rowOff>129651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2530E-AAE1-4ED1-8050-81DDC3FC2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440839"/>
          <a:ext cx="1262455" cy="161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1</xdr:row>
      <xdr:rowOff>93457</xdr:rowOff>
    </xdr:from>
    <xdr:to>
      <xdr:col>1</xdr:col>
      <xdr:colOff>511437</xdr:colOff>
      <xdr:row>6</xdr:row>
      <xdr:rowOff>131556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9C169-7406-4250-BB1C-940062F89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436357"/>
          <a:ext cx="1253378" cy="160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0465" name="Rectangle 1">
          <a:extLst>
            <a:ext uri="{FF2B5EF4-FFF2-40B4-BE49-F238E27FC236}">
              <a16:creationId xmlns:a16="http://schemas.microsoft.com/office/drawing/2014/main" id="{0D966ADA-BCCE-4EA8-8FA6-D53D54EB8A71}"/>
            </a:ext>
          </a:extLst>
        </xdr:cNvPr>
        <xdr:cNvSpPr>
          <a:spLocks noChangeArrowheads="1"/>
        </xdr:cNvSpPr>
      </xdr:nvSpPr>
      <xdr:spPr bwMode="auto">
        <a:xfrm>
          <a:off x="9201150" y="304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211668</xdr:colOff>
      <xdr:row>1</xdr:row>
      <xdr:rowOff>277284</xdr:rowOff>
    </xdr:from>
    <xdr:to>
      <xdr:col>1</xdr:col>
      <xdr:colOff>209348</xdr:colOff>
      <xdr:row>6</xdr:row>
      <xdr:rowOff>173143</xdr:rowOff>
    </xdr:to>
    <xdr:pic>
      <xdr:nvPicPr>
        <xdr:cNvPr id="770466" name="Picture 33">
          <a:extLst>
            <a:ext uri="{FF2B5EF4-FFF2-40B4-BE49-F238E27FC236}">
              <a16:creationId xmlns:a16="http://schemas.microsoft.com/office/drawing/2014/main" id="{2025D1BA-56A5-45C9-87C7-606F5EB92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8" y="584201"/>
          <a:ext cx="1084663" cy="141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67" name="Rectangle 2">
          <a:extLst>
            <a:ext uri="{FF2B5EF4-FFF2-40B4-BE49-F238E27FC236}">
              <a16:creationId xmlns:a16="http://schemas.microsoft.com/office/drawing/2014/main" id="{3667CC57-9480-4D3D-A3AC-3B08F989938D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68" name="Rectangle 3">
          <a:extLst>
            <a:ext uri="{FF2B5EF4-FFF2-40B4-BE49-F238E27FC236}">
              <a16:creationId xmlns:a16="http://schemas.microsoft.com/office/drawing/2014/main" id="{7A27E3F6-0ECA-4FD7-8006-0EBC7ADC38DB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69" name="Rectangle 4">
          <a:extLst>
            <a:ext uri="{FF2B5EF4-FFF2-40B4-BE49-F238E27FC236}">
              <a16:creationId xmlns:a16="http://schemas.microsoft.com/office/drawing/2014/main" id="{BC6ABD14-049C-4F24-8C2D-C7C8FA1168A0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0" name="Rectangle 5">
          <a:extLst>
            <a:ext uri="{FF2B5EF4-FFF2-40B4-BE49-F238E27FC236}">
              <a16:creationId xmlns:a16="http://schemas.microsoft.com/office/drawing/2014/main" id="{62A29182-7A3B-455E-B2D6-05C832EBF0C1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1" name="Rectangle 6">
          <a:extLst>
            <a:ext uri="{FF2B5EF4-FFF2-40B4-BE49-F238E27FC236}">
              <a16:creationId xmlns:a16="http://schemas.microsoft.com/office/drawing/2014/main" id="{01E38E66-B050-4206-8459-1D8AE9C1DC68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2" name="Rectangle 7">
          <a:extLst>
            <a:ext uri="{FF2B5EF4-FFF2-40B4-BE49-F238E27FC236}">
              <a16:creationId xmlns:a16="http://schemas.microsoft.com/office/drawing/2014/main" id="{9F36B0AF-0B5E-4356-80FF-DD1CE237F4D0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3" name="Rectangle 8">
          <a:extLst>
            <a:ext uri="{FF2B5EF4-FFF2-40B4-BE49-F238E27FC236}">
              <a16:creationId xmlns:a16="http://schemas.microsoft.com/office/drawing/2014/main" id="{90FC3CC9-76BB-48C6-9E85-02438DE8A4C1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4" name="Rectangle 9">
          <a:extLst>
            <a:ext uri="{FF2B5EF4-FFF2-40B4-BE49-F238E27FC236}">
              <a16:creationId xmlns:a16="http://schemas.microsoft.com/office/drawing/2014/main" id="{93F4CBA2-BEDF-4C64-9EE3-31AFE78A7CB8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5" name="Rectangle 10">
          <a:extLst>
            <a:ext uri="{FF2B5EF4-FFF2-40B4-BE49-F238E27FC236}">
              <a16:creationId xmlns:a16="http://schemas.microsoft.com/office/drawing/2014/main" id="{4D68EBF1-D758-4EC4-9228-99FB315F0AD3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6" name="Rectangle 11">
          <a:extLst>
            <a:ext uri="{FF2B5EF4-FFF2-40B4-BE49-F238E27FC236}">
              <a16:creationId xmlns:a16="http://schemas.microsoft.com/office/drawing/2014/main" id="{F3F1BC0B-AF39-4129-8065-A0CE08D1F48E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7" name="Rectangle 12">
          <a:extLst>
            <a:ext uri="{FF2B5EF4-FFF2-40B4-BE49-F238E27FC236}">
              <a16:creationId xmlns:a16="http://schemas.microsoft.com/office/drawing/2014/main" id="{56AD9EC9-F3D1-495D-A7E6-6940A24E6E17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8" name="Rectangle 13">
          <a:extLst>
            <a:ext uri="{FF2B5EF4-FFF2-40B4-BE49-F238E27FC236}">
              <a16:creationId xmlns:a16="http://schemas.microsoft.com/office/drawing/2014/main" id="{496A82C7-5C08-4804-8E79-BC9A54AEC30B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79" name="Rectangle 14">
          <a:extLst>
            <a:ext uri="{FF2B5EF4-FFF2-40B4-BE49-F238E27FC236}">
              <a16:creationId xmlns:a16="http://schemas.microsoft.com/office/drawing/2014/main" id="{DA9C60FC-DB88-4E6B-973E-72DD0F98F897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0" name="Rectangle 15">
          <a:extLst>
            <a:ext uri="{FF2B5EF4-FFF2-40B4-BE49-F238E27FC236}">
              <a16:creationId xmlns:a16="http://schemas.microsoft.com/office/drawing/2014/main" id="{7A33BD11-D4A2-4E2C-96EA-3FBDD3C0BD65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1" name="Rectangle 16">
          <a:extLst>
            <a:ext uri="{FF2B5EF4-FFF2-40B4-BE49-F238E27FC236}">
              <a16:creationId xmlns:a16="http://schemas.microsoft.com/office/drawing/2014/main" id="{44E37BE7-9AA3-4BE9-9604-2B28CC48850A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2" name="Rectangle 2">
          <a:extLst>
            <a:ext uri="{FF2B5EF4-FFF2-40B4-BE49-F238E27FC236}">
              <a16:creationId xmlns:a16="http://schemas.microsoft.com/office/drawing/2014/main" id="{BBAE0304-BF28-40A4-AAC1-FD27F2FB69F2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3" name="Rectangle 3">
          <a:extLst>
            <a:ext uri="{FF2B5EF4-FFF2-40B4-BE49-F238E27FC236}">
              <a16:creationId xmlns:a16="http://schemas.microsoft.com/office/drawing/2014/main" id="{A64A1922-D1A9-4304-B64D-BE90E859EE4F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4" name="Rectangle 4">
          <a:extLst>
            <a:ext uri="{FF2B5EF4-FFF2-40B4-BE49-F238E27FC236}">
              <a16:creationId xmlns:a16="http://schemas.microsoft.com/office/drawing/2014/main" id="{1BBFC3ED-43D9-4EF5-947D-AA9668893F7F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5" name="Rectangle 5">
          <a:extLst>
            <a:ext uri="{FF2B5EF4-FFF2-40B4-BE49-F238E27FC236}">
              <a16:creationId xmlns:a16="http://schemas.microsoft.com/office/drawing/2014/main" id="{DDF09BCB-C96E-4537-8F76-CF82E93DEA23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6" name="Rectangle 6">
          <a:extLst>
            <a:ext uri="{FF2B5EF4-FFF2-40B4-BE49-F238E27FC236}">
              <a16:creationId xmlns:a16="http://schemas.microsoft.com/office/drawing/2014/main" id="{3AE9483F-CE71-4E89-9D73-ECED05218B64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7" name="Rectangle 7">
          <a:extLst>
            <a:ext uri="{FF2B5EF4-FFF2-40B4-BE49-F238E27FC236}">
              <a16:creationId xmlns:a16="http://schemas.microsoft.com/office/drawing/2014/main" id="{C3F9179A-49F8-40C6-AA0D-1E535D473979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8" name="Rectangle 8">
          <a:extLst>
            <a:ext uri="{FF2B5EF4-FFF2-40B4-BE49-F238E27FC236}">
              <a16:creationId xmlns:a16="http://schemas.microsoft.com/office/drawing/2014/main" id="{2FF89EC3-9AEE-4FEC-88B6-C19B1CBBB1FF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89" name="Rectangle 9">
          <a:extLst>
            <a:ext uri="{FF2B5EF4-FFF2-40B4-BE49-F238E27FC236}">
              <a16:creationId xmlns:a16="http://schemas.microsoft.com/office/drawing/2014/main" id="{FFED30E0-398F-469B-BC39-D3F89A175EF9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0" name="Rectangle 10">
          <a:extLst>
            <a:ext uri="{FF2B5EF4-FFF2-40B4-BE49-F238E27FC236}">
              <a16:creationId xmlns:a16="http://schemas.microsoft.com/office/drawing/2014/main" id="{A4B05FB3-B091-47DC-A088-09CB4296C9B9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1" name="Rectangle 11">
          <a:extLst>
            <a:ext uri="{FF2B5EF4-FFF2-40B4-BE49-F238E27FC236}">
              <a16:creationId xmlns:a16="http://schemas.microsoft.com/office/drawing/2014/main" id="{E553569C-8299-4B39-B0B2-3B5402DEA18F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2" name="Rectangle 12">
          <a:extLst>
            <a:ext uri="{FF2B5EF4-FFF2-40B4-BE49-F238E27FC236}">
              <a16:creationId xmlns:a16="http://schemas.microsoft.com/office/drawing/2014/main" id="{F2E3F18C-67E7-4A9A-8FE6-0A6031E25FE5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3" name="Rectangle 13">
          <a:extLst>
            <a:ext uri="{FF2B5EF4-FFF2-40B4-BE49-F238E27FC236}">
              <a16:creationId xmlns:a16="http://schemas.microsoft.com/office/drawing/2014/main" id="{DAFD0FE4-A553-4314-89BB-F5407082F740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4" name="Rectangle 14">
          <a:extLst>
            <a:ext uri="{FF2B5EF4-FFF2-40B4-BE49-F238E27FC236}">
              <a16:creationId xmlns:a16="http://schemas.microsoft.com/office/drawing/2014/main" id="{91755176-0F6A-4968-9B30-27DA71E1506D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5" name="Rectangle 15">
          <a:extLst>
            <a:ext uri="{FF2B5EF4-FFF2-40B4-BE49-F238E27FC236}">
              <a16:creationId xmlns:a16="http://schemas.microsoft.com/office/drawing/2014/main" id="{75A7E343-8863-4607-A727-0CA32C4F5D9B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96" name="Rectangle 16">
          <a:extLst>
            <a:ext uri="{FF2B5EF4-FFF2-40B4-BE49-F238E27FC236}">
              <a16:creationId xmlns:a16="http://schemas.microsoft.com/office/drawing/2014/main" id="{F9FA1CE5-F6CD-46FB-B861-D97A49CBE731}"/>
            </a:ext>
          </a:extLst>
        </xdr:cNvPr>
        <xdr:cNvSpPr>
          <a:spLocks noChangeArrowheads="1"/>
        </xdr:cNvSpPr>
      </xdr:nvSpPr>
      <xdr:spPr bwMode="auto">
        <a:xfrm>
          <a:off x="9201150" y="256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C32883C9-DEC0-46EF-B43E-55C18125BFB1}"/>
            </a:ext>
          </a:extLst>
        </xdr:cNvPr>
        <xdr:cNvSpPr>
          <a:spLocks noChangeArrowheads="1"/>
        </xdr:cNvSpPr>
      </xdr:nvSpPr>
      <xdr:spPr bwMode="auto">
        <a:xfrm>
          <a:off x="8953500" y="2581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65330</xdr:colOff>
      <xdr:row>0</xdr:row>
      <xdr:rowOff>287699</xdr:rowOff>
    </xdr:from>
    <xdr:to>
      <xdr:col>1</xdr:col>
      <xdr:colOff>322866</xdr:colOff>
      <xdr:row>6</xdr:row>
      <xdr:rowOff>97043</xdr:rowOff>
    </xdr:to>
    <xdr:pic>
      <xdr:nvPicPr>
        <xdr:cNvPr id="770462" name="Picture 33">
          <a:extLst>
            <a:ext uri="{FF2B5EF4-FFF2-40B4-BE49-F238E27FC236}">
              <a16:creationId xmlns:a16="http://schemas.microsoft.com/office/drawing/2014/main" id="{72D9ED29-3C35-4A30-A3D3-B74DD6DDC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0" y="287699"/>
          <a:ext cx="1324224" cy="1628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36" name="Rectangle 2">
          <a:extLst>
            <a:ext uri="{FF2B5EF4-FFF2-40B4-BE49-F238E27FC236}">
              <a16:creationId xmlns:a16="http://schemas.microsoft.com/office/drawing/2014/main" id="{BBFBB07E-E376-4D5F-B1EB-B9ABFF0E4F15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37" name="Rectangle 3">
          <a:extLst>
            <a:ext uri="{FF2B5EF4-FFF2-40B4-BE49-F238E27FC236}">
              <a16:creationId xmlns:a16="http://schemas.microsoft.com/office/drawing/2014/main" id="{0C97C60F-A7A0-4479-965C-50EF0CF51AEB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38" name="Rectangle 4">
          <a:extLst>
            <a:ext uri="{FF2B5EF4-FFF2-40B4-BE49-F238E27FC236}">
              <a16:creationId xmlns:a16="http://schemas.microsoft.com/office/drawing/2014/main" id="{FF03958F-5F2A-424A-B7BC-52869A8EC428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39" name="Rectangle 5">
          <a:extLst>
            <a:ext uri="{FF2B5EF4-FFF2-40B4-BE49-F238E27FC236}">
              <a16:creationId xmlns:a16="http://schemas.microsoft.com/office/drawing/2014/main" id="{4962D736-455E-47BE-8ECE-140482DC644F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0" name="Rectangle 6">
          <a:extLst>
            <a:ext uri="{FF2B5EF4-FFF2-40B4-BE49-F238E27FC236}">
              <a16:creationId xmlns:a16="http://schemas.microsoft.com/office/drawing/2014/main" id="{7F2AF149-C5D9-4CCE-99D6-DD58F25DCC75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1" name="Rectangle 7">
          <a:extLst>
            <a:ext uri="{FF2B5EF4-FFF2-40B4-BE49-F238E27FC236}">
              <a16:creationId xmlns:a16="http://schemas.microsoft.com/office/drawing/2014/main" id="{75F96BCB-7FB8-40CA-8D77-48B319A04627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2" name="Rectangle 8">
          <a:extLst>
            <a:ext uri="{FF2B5EF4-FFF2-40B4-BE49-F238E27FC236}">
              <a16:creationId xmlns:a16="http://schemas.microsoft.com/office/drawing/2014/main" id="{9D774223-90C7-44AC-BC6E-09C155F66434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3" name="Rectangle 9">
          <a:extLst>
            <a:ext uri="{FF2B5EF4-FFF2-40B4-BE49-F238E27FC236}">
              <a16:creationId xmlns:a16="http://schemas.microsoft.com/office/drawing/2014/main" id="{E5AF6ACF-05AA-457D-8576-87EA3B071E23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4" name="Rectangle 10">
          <a:extLst>
            <a:ext uri="{FF2B5EF4-FFF2-40B4-BE49-F238E27FC236}">
              <a16:creationId xmlns:a16="http://schemas.microsoft.com/office/drawing/2014/main" id="{8AC0CA01-CC5C-4FF2-A900-7990841E5C84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5" name="Rectangle 11">
          <a:extLst>
            <a:ext uri="{FF2B5EF4-FFF2-40B4-BE49-F238E27FC236}">
              <a16:creationId xmlns:a16="http://schemas.microsoft.com/office/drawing/2014/main" id="{53B6ED8E-174F-4FBD-B1B9-A580741F23CE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6" name="Rectangle 12">
          <a:extLst>
            <a:ext uri="{FF2B5EF4-FFF2-40B4-BE49-F238E27FC236}">
              <a16:creationId xmlns:a16="http://schemas.microsoft.com/office/drawing/2014/main" id="{84C2F026-3693-4E9A-A9FD-7CDA417E44A2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7" name="Rectangle 13">
          <a:extLst>
            <a:ext uri="{FF2B5EF4-FFF2-40B4-BE49-F238E27FC236}">
              <a16:creationId xmlns:a16="http://schemas.microsoft.com/office/drawing/2014/main" id="{650C8C59-3AAD-414C-AE2B-69F4ABC76CC8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8" name="Rectangle 14">
          <a:extLst>
            <a:ext uri="{FF2B5EF4-FFF2-40B4-BE49-F238E27FC236}">
              <a16:creationId xmlns:a16="http://schemas.microsoft.com/office/drawing/2014/main" id="{79E4A607-6884-4695-B644-61BB85DF2F53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49" name="Rectangle 15">
          <a:extLst>
            <a:ext uri="{FF2B5EF4-FFF2-40B4-BE49-F238E27FC236}">
              <a16:creationId xmlns:a16="http://schemas.microsoft.com/office/drawing/2014/main" id="{45223A8B-7FE8-42E9-8564-EBF5300A26F9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0" name="Rectangle 16">
          <a:extLst>
            <a:ext uri="{FF2B5EF4-FFF2-40B4-BE49-F238E27FC236}">
              <a16:creationId xmlns:a16="http://schemas.microsoft.com/office/drawing/2014/main" id="{32D55DF1-7B13-4BEE-95B5-BA15EF5302DA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1" name="Rectangle 2">
          <a:extLst>
            <a:ext uri="{FF2B5EF4-FFF2-40B4-BE49-F238E27FC236}">
              <a16:creationId xmlns:a16="http://schemas.microsoft.com/office/drawing/2014/main" id="{322517C0-1571-46D3-9D06-698505F182BC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2" name="Rectangle 3">
          <a:extLst>
            <a:ext uri="{FF2B5EF4-FFF2-40B4-BE49-F238E27FC236}">
              <a16:creationId xmlns:a16="http://schemas.microsoft.com/office/drawing/2014/main" id="{E47D20DE-3DD3-49E2-8EDE-EC1140185BC9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3" name="Rectangle 4">
          <a:extLst>
            <a:ext uri="{FF2B5EF4-FFF2-40B4-BE49-F238E27FC236}">
              <a16:creationId xmlns:a16="http://schemas.microsoft.com/office/drawing/2014/main" id="{5901B940-F473-48C6-A316-473A23E6E154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4" name="Rectangle 5">
          <a:extLst>
            <a:ext uri="{FF2B5EF4-FFF2-40B4-BE49-F238E27FC236}">
              <a16:creationId xmlns:a16="http://schemas.microsoft.com/office/drawing/2014/main" id="{37B9565A-E031-415F-98E1-C1022DCB71F3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5" name="Rectangle 6">
          <a:extLst>
            <a:ext uri="{FF2B5EF4-FFF2-40B4-BE49-F238E27FC236}">
              <a16:creationId xmlns:a16="http://schemas.microsoft.com/office/drawing/2014/main" id="{FF5E8250-726F-4E7F-8E6C-30BC8A294FA3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6" name="Rectangle 7">
          <a:extLst>
            <a:ext uri="{FF2B5EF4-FFF2-40B4-BE49-F238E27FC236}">
              <a16:creationId xmlns:a16="http://schemas.microsoft.com/office/drawing/2014/main" id="{B518E50F-E1AC-4C20-99BC-ACD26C69D012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7" name="Rectangle 8">
          <a:extLst>
            <a:ext uri="{FF2B5EF4-FFF2-40B4-BE49-F238E27FC236}">
              <a16:creationId xmlns:a16="http://schemas.microsoft.com/office/drawing/2014/main" id="{E09F49F6-269B-456C-8AED-1A3EE1EB07B7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8" name="Rectangle 9">
          <a:extLst>
            <a:ext uri="{FF2B5EF4-FFF2-40B4-BE49-F238E27FC236}">
              <a16:creationId xmlns:a16="http://schemas.microsoft.com/office/drawing/2014/main" id="{A0EC5359-05FC-4976-BD89-B862FE75A8E7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59" name="Rectangle 10">
          <a:extLst>
            <a:ext uri="{FF2B5EF4-FFF2-40B4-BE49-F238E27FC236}">
              <a16:creationId xmlns:a16="http://schemas.microsoft.com/office/drawing/2014/main" id="{79E52AFD-5B4A-4B1F-90D9-2C94F46FF2BC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60" name="Rectangle 11">
          <a:extLst>
            <a:ext uri="{FF2B5EF4-FFF2-40B4-BE49-F238E27FC236}">
              <a16:creationId xmlns:a16="http://schemas.microsoft.com/office/drawing/2014/main" id="{63DAE6C8-0063-4F09-9888-82101543F384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61" name="Rectangle 12">
          <a:extLst>
            <a:ext uri="{FF2B5EF4-FFF2-40B4-BE49-F238E27FC236}">
              <a16:creationId xmlns:a16="http://schemas.microsoft.com/office/drawing/2014/main" id="{C4645AF4-CD48-4C61-8947-148FC299D950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62" name="Rectangle 13">
          <a:extLst>
            <a:ext uri="{FF2B5EF4-FFF2-40B4-BE49-F238E27FC236}">
              <a16:creationId xmlns:a16="http://schemas.microsoft.com/office/drawing/2014/main" id="{3B8B81E1-95B0-4E54-BA29-1BE4E54238E5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63" name="Rectangle 14">
          <a:extLst>
            <a:ext uri="{FF2B5EF4-FFF2-40B4-BE49-F238E27FC236}">
              <a16:creationId xmlns:a16="http://schemas.microsoft.com/office/drawing/2014/main" id="{E033FE0C-B7E6-4BCE-BF3B-263857A0D1CF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32" name="Rectangle 15">
          <a:extLst>
            <a:ext uri="{FF2B5EF4-FFF2-40B4-BE49-F238E27FC236}">
              <a16:creationId xmlns:a16="http://schemas.microsoft.com/office/drawing/2014/main" id="{986DF09D-4C05-4168-828B-5AB602348CAF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292</xdr:row>
      <xdr:rowOff>0</xdr:rowOff>
    </xdr:from>
    <xdr:to>
      <xdr:col>3</xdr:col>
      <xdr:colOff>0</xdr:colOff>
      <xdr:row>292</xdr:row>
      <xdr:rowOff>0</xdr:rowOff>
    </xdr:to>
    <xdr:sp macro="" textlink="">
      <xdr:nvSpPr>
        <xdr:cNvPr id="770433" name="Rectangle 16">
          <a:extLst>
            <a:ext uri="{FF2B5EF4-FFF2-40B4-BE49-F238E27FC236}">
              <a16:creationId xmlns:a16="http://schemas.microsoft.com/office/drawing/2014/main" id="{EC5FDDCB-F2D0-4D2A-A914-585492E644A1}"/>
            </a:ext>
          </a:extLst>
        </xdr:cNvPr>
        <xdr:cNvSpPr>
          <a:spLocks noChangeArrowheads="1"/>
        </xdr:cNvSpPr>
      </xdr:nvSpPr>
      <xdr:spPr bwMode="auto">
        <a:xfrm>
          <a:off x="8953500" y="65932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CDC6B5DE-F4E2-42D6-9E11-6451A74EEB56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A1009E2-71F0-4B97-8CBC-6889F56D9264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BA0699C1-6FC2-46E3-B6F2-1D609B07B533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01C017A6-01AF-4983-A604-13B0750570B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BFCA9D35-0892-4655-833A-326E20CCD82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BF69B112-69AA-40E4-BAF5-97853CB14F3E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DB2B900B-65F9-4877-984F-56B283B75CC4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859DF569-55E6-462D-B42C-F6F30A01FEE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0" name="Rectangle 10">
          <a:extLst>
            <a:ext uri="{FF2B5EF4-FFF2-40B4-BE49-F238E27FC236}">
              <a16:creationId xmlns:a16="http://schemas.microsoft.com/office/drawing/2014/main" id="{4C75F786-0E6F-4ECF-8970-A989C58CA63A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1" name="Rectangle 11">
          <a:extLst>
            <a:ext uri="{FF2B5EF4-FFF2-40B4-BE49-F238E27FC236}">
              <a16:creationId xmlns:a16="http://schemas.microsoft.com/office/drawing/2014/main" id="{8DBAC5AA-E32B-45A9-BA23-18093CCFCD10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2" name="Rectangle 12">
          <a:extLst>
            <a:ext uri="{FF2B5EF4-FFF2-40B4-BE49-F238E27FC236}">
              <a16:creationId xmlns:a16="http://schemas.microsoft.com/office/drawing/2014/main" id="{D3B6C8B4-0616-461A-8BC0-8B412DFCB4A5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D7D8F0A5-C249-45CB-B930-91A114C317A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7F82DF8F-3B39-4312-A61C-24BCA97ABEB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5" name="Rectangle 15">
          <a:extLst>
            <a:ext uri="{FF2B5EF4-FFF2-40B4-BE49-F238E27FC236}">
              <a16:creationId xmlns:a16="http://schemas.microsoft.com/office/drawing/2014/main" id="{39B6A3D8-DDA4-4BB5-83F6-02E51C06B6D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6" name="Rectangle 16">
          <a:extLst>
            <a:ext uri="{FF2B5EF4-FFF2-40B4-BE49-F238E27FC236}">
              <a16:creationId xmlns:a16="http://schemas.microsoft.com/office/drawing/2014/main" id="{26F6944B-ED3B-45CA-A79A-1A3C92E53D2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E58ADA14-B1F0-4931-8182-7C74ACFF748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C00657B7-975C-4F19-AC08-94A2EFA8E0FB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19" name="Rectangle 4">
          <a:extLst>
            <a:ext uri="{FF2B5EF4-FFF2-40B4-BE49-F238E27FC236}">
              <a16:creationId xmlns:a16="http://schemas.microsoft.com/office/drawing/2014/main" id="{A39DF5E5-F66A-4520-9C6B-40B08F2343C7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0" name="Rectangle 5">
          <a:extLst>
            <a:ext uri="{FF2B5EF4-FFF2-40B4-BE49-F238E27FC236}">
              <a16:creationId xmlns:a16="http://schemas.microsoft.com/office/drawing/2014/main" id="{C4DFFEC8-9635-43DD-A65B-AD48A4CDD27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1" name="Rectangle 6">
          <a:extLst>
            <a:ext uri="{FF2B5EF4-FFF2-40B4-BE49-F238E27FC236}">
              <a16:creationId xmlns:a16="http://schemas.microsoft.com/office/drawing/2014/main" id="{8A65A777-D881-4D5B-AFCD-D006A5170689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2" name="Rectangle 7">
          <a:extLst>
            <a:ext uri="{FF2B5EF4-FFF2-40B4-BE49-F238E27FC236}">
              <a16:creationId xmlns:a16="http://schemas.microsoft.com/office/drawing/2014/main" id="{A9B8DD25-C500-493E-8E2D-239C9595E4D7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3" name="Rectangle 8">
          <a:extLst>
            <a:ext uri="{FF2B5EF4-FFF2-40B4-BE49-F238E27FC236}">
              <a16:creationId xmlns:a16="http://schemas.microsoft.com/office/drawing/2014/main" id="{E55A9EF7-4D43-469C-9138-4BC6D17D73CC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4" name="Rectangle 9">
          <a:extLst>
            <a:ext uri="{FF2B5EF4-FFF2-40B4-BE49-F238E27FC236}">
              <a16:creationId xmlns:a16="http://schemas.microsoft.com/office/drawing/2014/main" id="{D7D54998-6B2A-4081-80F9-18A3DE5374C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5" name="Rectangle 10">
          <a:extLst>
            <a:ext uri="{FF2B5EF4-FFF2-40B4-BE49-F238E27FC236}">
              <a16:creationId xmlns:a16="http://schemas.microsoft.com/office/drawing/2014/main" id="{9D600CC6-6C68-4A86-AEC7-13801E2B322F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6" name="Rectangle 11">
          <a:extLst>
            <a:ext uri="{FF2B5EF4-FFF2-40B4-BE49-F238E27FC236}">
              <a16:creationId xmlns:a16="http://schemas.microsoft.com/office/drawing/2014/main" id="{525BD77E-24E1-4043-A835-B8FB9973B518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7" name="Rectangle 12">
          <a:extLst>
            <a:ext uri="{FF2B5EF4-FFF2-40B4-BE49-F238E27FC236}">
              <a16:creationId xmlns:a16="http://schemas.microsoft.com/office/drawing/2014/main" id="{66BA9270-DC30-413D-B384-58353B42E18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8" name="Rectangle 13">
          <a:extLst>
            <a:ext uri="{FF2B5EF4-FFF2-40B4-BE49-F238E27FC236}">
              <a16:creationId xmlns:a16="http://schemas.microsoft.com/office/drawing/2014/main" id="{72D36C45-3BA1-4A99-A01C-A5C12252836D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29" name="Rectangle 14">
          <a:extLst>
            <a:ext uri="{FF2B5EF4-FFF2-40B4-BE49-F238E27FC236}">
              <a16:creationId xmlns:a16="http://schemas.microsoft.com/office/drawing/2014/main" id="{D230E3BE-B682-4276-ACD1-FF3D0711107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30" name="Rectangle 15">
          <a:extLst>
            <a:ext uri="{FF2B5EF4-FFF2-40B4-BE49-F238E27FC236}">
              <a16:creationId xmlns:a16="http://schemas.microsoft.com/office/drawing/2014/main" id="{4E5EF7AE-7BB1-4816-AFF5-BCE524205F09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31" name="Rectangle 16">
          <a:extLst>
            <a:ext uri="{FF2B5EF4-FFF2-40B4-BE49-F238E27FC236}">
              <a16:creationId xmlns:a16="http://schemas.microsoft.com/office/drawing/2014/main" id="{13BD2BE0-EC9B-4835-9872-DE52F6D0D615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32" name="Rectangle 2">
          <a:extLst>
            <a:ext uri="{FF2B5EF4-FFF2-40B4-BE49-F238E27FC236}">
              <a16:creationId xmlns:a16="http://schemas.microsoft.com/office/drawing/2014/main" id="{D266F929-6DF5-4E31-83F9-C7178CD0A5C0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33" name="Rectangle 3">
          <a:extLst>
            <a:ext uri="{FF2B5EF4-FFF2-40B4-BE49-F238E27FC236}">
              <a16:creationId xmlns:a16="http://schemas.microsoft.com/office/drawing/2014/main" id="{52B8AFF6-A72C-46DD-A7BD-6322772464B7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4" name="Rectangle 4">
          <a:extLst>
            <a:ext uri="{FF2B5EF4-FFF2-40B4-BE49-F238E27FC236}">
              <a16:creationId xmlns:a16="http://schemas.microsoft.com/office/drawing/2014/main" id="{3B37AF7E-FDFB-44BB-A7DF-DEC97F61F85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5" name="Rectangle 5">
          <a:extLst>
            <a:ext uri="{FF2B5EF4-FFF2-40B4-BE49-F238E27FC236}">
              <a16:creationId xmlns:a16="http://schemas.microsoft.com/office/drawing/2014/main" id="{49B2876E-CE8F-40BE-9C0A-3AFAC9E3D0AD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6" name="Rectangle 6">
          <a:extLst>
            <a:ext uri="{FF2B5EF4-FFF2-40B4-BE49-F238E27FC236}">
              <a16:creationId xmlns:a16="http://schemas.microsoft.com/office/drawing/2014/main" id="{B781A759-E626-4277-A1E1-AD6E4753D5CA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7" name="Rectangle 7">
          <a:extLst>
            <a:ext uri="{FF2B5EF4-FFF2-40B4-BE49-F238E27FC236}">
              <a16:creationId xmlns:a16="http://schemas.microsoft.com/office/drawing/2014/main" id="{7F37EDF4-9693-4F45-AB11-5F3F3BE19F5E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8" name="Rectangle 8">
          <a:extLst>
            <a:ext uri="{FF2B5EF4-FFF2-40B4-BE49-F238E27FC236}">
              <a16:creationId xmlns:a16="http://schemas.microsoft.com/office/drawing/2014/main" id="{0B53416F-2C75-4F39-931F-7E423CAF86C6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39" name="Rectangle 9">
          <a:extLst>
            <a:ext uri="{FF2B5EF4-FFF2-40B4-BE49-F238E27FC236}">
              <a16:creationId xmlns:a16="http://schemas.microsoft.com/office/drawing/2014/main" id="{92DB19BE-2475-4869-B869-BE901EC2C85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0" name="Rectangle 10">
          <a:extLst>
            <a:ext uri="{FF2B5EF4-FFF2-40B4-BE49-F238E27FC236}">
              <a16:creationId xmlns:a16="http://schemas.microsoft.com/office/drawing/2014/main" id="{574D288D-57E7-4801-A338-034CF5667653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1" name="Rectangle 11">
          <a:extLst>
            <a:ext uri="{FF2B5EF4-FFF2-40B4-BE49-F238E27FC236}">
              <a16:creationId xmlns:a16="http://schemas.microsoft.com/office/drawing/2014/main" id="{EB1D10D0-8E0E-444D-A742-CEA8A80BCCC5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2" name="Rectangle 12">
          <a:extLst>
            <a:ext uri="{FF2B5EF4-FFF2-40B4-BE49-F238E27FC236}">
              <a16:creationId xmlns:a16="http://schemas.microsoft.com/office/drawing/2014/main" id="{1BA9B3F4-5AB1-4BF6-815F-AF7A90C4A5DA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3" name="Rectangle 13">
          <a:extLst>
            <a:ext uri="{FF2B5EF4-FFF2-40B4-BE49-F238E27FC236}">
              <a16:creationId xmlns:a16="http://schemas.microsoft.com/office/drawing/2014/main" id="{B63FAECA-9B3F-4149-A567-0CD155AEFC8E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4" name="Rectangle 14">
          <a:extLst>
            <a:ext uri="{FF2B5EF4-FFF2-40B4-BE49-F238E27FC236}">
              <a16:creationId xmlns:a16="http://schemas.microsoft.com/office/drawing/2014/main" id="{056B5845-D303-4A4E-B285-5AA0358BF8D5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5" name="Rectangle 15">
          <a:extLst>
            <a:ext uri="{FF2B5EF4-FFF2-40B4-BE49-F238E27FC236}">
              <a16:creationId xmlns:a16="http://schemas.microsoft.com/office/drawing/2014/main" id="{A368E1D1-643A-4588-9120-E3809293DE2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6" name="Rectangle 16">
          <a:extLst>
            <a:ext uri="{FF2B5EF4-FFF2-40B4-BE49-F238E27FC236}">
              <a16:creationId xmlns:a16="http://schemas.microsoft.com/office/drawing/2014/main" id="{C859254C-0843-40D5-AD9A-17B8953E02F6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7" name="Rectangle 2">
          <a:extLst>
            <a:ext uri="{FF2B5EF4-FFF2-40B4-BE49-F238E27FC236}">
              <a16:creationId xmlns:a16="http://schemas.microsoft.com/office/drawing/2014/main" id="{EE66BD10-5B7D-4B9D-98D0-67210B6DF9FC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8" name="Rectangle 3">
          <a:extLst>
            <a:ext uri="{FF2B5EF4-FFF2-40B4-BE49-F238E27FC236}">
              <a16:creationId xmlns:a16="http://schemas.microsoft.com/office/drawing/2014/main" id="{8B4F52EE-5AF1-47B2-9518-949D4860C6A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49" name="Rectangle 4">
          <a:extLst>
            <a:ext uri="{FF2B5EF4-FFF2-40B4-BE49-F238E27FC236}">
              <a16:creationId xmlns:a16="http://schemas.microsoft.com/office/drawing/2014/main" id="{2DC74340-8E88-4BC5-AC0D-BCFF4F4D6BD7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0" name="Rectangle 5">
          <a:extLst>
            <a:ext uri="{FF2B5EF4-FFF2-40B4-BE49-F238E27FC236}">
              <a16:creationId xmlns:a16="http://schemas.microsoft.com/office/drawing/2014/main" id="{A4E25D2A-EBA7-4F55-9A56-97063D7C828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1" name="Rectangle 6">
          <a:extLst>
            <a:ext uri="{FF2B5EF4-FFF2-40B4-BE49-F238E27FC236}">
              <a16:creationId xmlns:a16="http://schemas.microsoft.com/office/drawing/2014/main" id="{95C6AE98-1FAF-4471-9B87-EBAF5B87B540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2" name="Rectangle 7">
          <a:extLst>
            <a:ext uri="{FF2B5EF4-FFF2-40B4-BE49-F238E27FC236}">
              <a16:creationId xmlns:a16="http://schemas.microsoft.com/office/drawing/2014/main" id="{4AB3941B-47A7-4185-A9DB-61989CB843CA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3" name="Rectangle 8">
          <a:extLst>
            <a:ext uri="{FF2B5EF4-FFF2-40B4-BE49-F238E27FC236}">
              <a16:creationId xmlns:a16="http://schemas.microsoft.com/office/drawing/2014/main" id="{B9935F87-44BA-455A-B73C-D80950530068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4" name="Rectangle 9">
          <a:extLst>
            <a:ext uri="{FF2B5EF4-FFF2-40B4-BE49-F238E27FC236}">
              <a16:creationId xmlns:a16="http://schemas.microsoft.com/office/drawing/2014/main" id="{A681A252-4D1E-4175-8A0A-781217C5FD5D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5" name="Rectangle 10">
          <a:extLst>
            <a:ext uri="{FF2B5EF4-FFF2-40B4-BE49-F238E27FC236}">
              <a16:creationId xmlns:a16="http://schemas.microsoft.com/office/drawing/2014/main" id="{88EBAF91-42F3-4E3B-B86B-D530727867B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6" name="Rectangle 11">
          <a:extLst>
            <a:ext uri="{FF2B5EF4-FFF2-40B4-BE49-F238E27FC236}">
              <a16:creationId xmlns:a16="http://schemas.microsoft.com/office/drawing/2014/main" id="{B9B948E2-AB0D-4BAF-95AA-D01F046F9A50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7" name="Rectangle 12">
          <a:extLst>
            <a:ext uri="{FF2B5EF4-FFF2-40B4-BE49-F238E27FC236}">
              <a16:creationId xmlns:a16="http://schemas.microsoft.com/office/drawing/2014/main" id="{694DD6F3-DD9C-4617-BFE3-1D08E9798B49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8" name="Rectangle 13">
          <a:extLst>
            <a:ext uri="{FF2B5EF4-FFF2-40B4-BE49-F238E27FC236}">
              <a16:creationId xmlns:a16="http://schemas.microsoft.com/office/drawing/2014/main" id="{259C5A09-1F1B-4B04-87D4-6A67E7C94DB2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59" name="Rectangle 14">
          <a:extLst>
            <a:ext uri="{FF2B5EF4-FFF2-40B4-BE49-F238E27FC236}">
              <a16:creationId xmlns:a16="http://schemas.microsoft.com/office/drawing/2014/main" id="{C9C5D132-CD36-4B02-8214-9A4775F78C21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60" name="Rectangle 15">
          <a:extLst>
            <a:ext uri="{FF2B5EF4-FFF2-40B4-BE49-F238E27FC236}">
              <a16:creationId xmlns:a16="http://schemas.microsoft.com/office/drawing/2014/main" id="{A31FD5D5-594B-4B64-865A-4B3E81DAE279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297</xdr:row>
      <xdr:rowOff>0</xdr:rowOff>
    </xdr:to>
    <xdr:sp macro="" textlink="">
      <xdr:nvSpPr>
        <xdr:cNvPr id="770461" name="Rectangle 16">
          <a:extLst>
            <a:ext uri="{FF2B5EF4-FFF2-40B4-BE49-F238E27FC236}">
              <a16:creationId xmlns:a16="http://schemas.microsoft.com/office/drawing/2014/main" id="{F9B22A36-FD4D-4036-9442-7B0CA47C2303}"/>
            </a:ext>
          </a:extLst>
        </xdr:cNvPr>
        <xdr:cNvSpPr>
          <a:spLocks noChangeArrowheads="1"/>
        </xdr:cNvSpPr>
      </xdr:nvSpPr>
      <xdr:spPr bwMode="auto">
        <a:xfrm>
          <a:off x="7143750" y="68189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55856" name="Rectangle 1">
          <a:extLst>
            <a:ext uri="{FF2B5EF4-FFF2-40B4-BE49-F238E27FC236}">
              <a16:creationId xmlns:a16="http://schemas.microsoft.com/office/drawing/2014/main" id="{C0106CB4-C6CD-468B-B8DC-930A22DBD5DC}"/>
            </a:ext>
          </a:extLst>
        </xdr:cNvPr>
        <xdr:cNvSpPr>
          <a:spLocks noChangeArrowheads="1"/>
        </xdr:cNvSpPr>
      </xdr:nvSpPr>
      <xdr:spPr bwMode="auto">
        <a:xfrm>
          <a:off x="7629525" y="304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698500</xdr:colOff>
      <xdr:row>817</xdr:row>
      <xdr:rowOff>393700</xdr:rowOff>
    </xdr:from>
    <xdr:to>
      <xdr:col>22</xdr:col>
      <xdr:colOff>57120</xdr:colOff>
      <xdr:row>841</xdr:row>
      <xdr:rowOff>245124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DB591-9CB0-445B-8E1A-2ABEA120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4600" y="134785100"/>
          <a:ext cx="5323809" cy="6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2946400</xdr:colOff>
      <xdr:row>852</xdr:row>
      <xdr:rowOff>0</xdr:rowOff>
    </xdr:from>
    <xdr:to>
      <xdr:col>19</xdr:col>
      <xdr:colOff>552406</xdr:colOff>
      <xdr:row>876</xdr:row>
      <xdr:rowOff>169465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7B8441-395A-46CE-A9B5-8D6EEDB1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69200" y="142595600"/>
          <a:ext cx="5400000" cy="707619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004BE883-708A-495E-AAD9-D9899E122377}"/>
            </a:ext>
          </a:extLst>
        </xdr:cNvPr>
        <xdr:cNvSpPr>
          <a:spLocks noChangeArrowheads="1"/>
        </xdr:cNvSpPr>
      </xdr:nvSpPr>
      <xdr:spPr bwMode="auto">
        <a:xfrm>
          <a:off x="8715375" y="247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698500</xdr:colOff>
      <xdr:row>818</xdr:row>
      <xdr:rowOff>393700</xdr:rowOff>
    </xdr:from>
    <xdr:to>
      <xdr:col>22</xdr:col>
      <xdr:colOff>57120</xdr:colOff>
      <xdr:row>842</xdr:row>
      <xdr:rowOff>209184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AE655FB3-0B20-41A9-B87B-3FE5BE52A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15375" y="190236475"/>
          <a:ext cx="5155535" cy="6858958"/>
        </a:xfrm>
        <a:prstGeom prst="rect">
          <a:avLst/>
        </a:prstGeom>
      </xdr:spPr>
    </xdr:pic>
    <xdr:clientData/>
  </xdr:twoCellAnchor>
  <xdr:twoCellAnchor editAs="oneCell">
    <xdr:from>
      <xdr:col>12</xdr:col>
      <xdr:colOff>2946400</xdr:colOff>
      <xdr:row>853</xdr:row>
      <xdr:rowOff>0</xdr:rowOff>
    </xdr:from>
    <xdr:to>
      <xdr:col>19</xdr:col>
      <xdr:colOff>552406</xdr:colOff>
      <xdr:row>877</xdr:row>
      <xdr:rowOff>208511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577A93B3-399E-4945-A75A-72406F68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96150" y="198158100"/>
          <a:ext cx="5184098" cy="7161890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818</xdr:row>
      <xdr:rowOff>393700</xdr:rowOff>
    </xdr:from>
    <xdr:to>
      <xdr:col>22</xdr:col>
      <xdr:colOff>57120</xdr:colOff>
      <xdr:row>842</xdr:row>
      <xdr:rowOff>209184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D7F0149-8019-4274-8DFE-8DD8E0EE8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15375" y="190236475"/>
          <a:ext cx="5155535" cy="6858958"/>
        </a:xfrm>
        <a:prstGeom prst="rect">
          <a:avLst/>
        </a:prstGeom>
      </xdr:spPr>
    </xdr:pic>
    <xdr:clientData/>
  </xdr:twoCellAnchor>
  <xdr:twoCellAnchor editAs="oneCell">
    <xdr:from>
      <xdr:col>12</xdr:col>
      <xdr:colOff>2946400</xdr:colOff>
      <xdr:row>853</xdr:row>
      <xdr:rowOff>0</xdr:rowOff>
    </xdr:from>
    <xdr:to>
      <xdr:col>19</xdr:col>
      <xdr:colOff>552406</xdr:colOff>
      <xdr:row>877</xdr:row>
      <xdr:rowOff>208511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6690BB9-8F3D-4E2A-A48C-DE159C9F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96150" y="198158100"/>
          <a:ext cx="5184098" cy="7161890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815</xdr:row>
      <xdr:rowOff>393700</xdr:rowOff>
    </xdr:from>
    <xdr:to>
      <xdr:col>22</xdr:col>
      <xdr:colOff>57120</xdr:colOff>
      <xdr:row>835</xdr:row>
      <xdr:rowOff>21950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15CFF66-E11E-4B37-B749-B3F6913E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15375" y="166795450"/>
          <a:ext cx="5155535" cy="6020758"/>
        </a:xfrm>
        <a:prstGeom prst="rect">
          <a:avLst/>
        </a:prstGeom>
      </xdr:spPr>
    </xdr:pic>
    <xdr:clientData/>
  </xdr:twoCellAnchor>
  <xdr:twoCellAnchor editAs="oneCell">
    <xdr:from>
      <xdr:col>12</xdr:col>
      <xdr:colOff>2946400</xdr:colOff>
      <xdr:row>850</xdr:row>
      <xdr:rowOff>0</xdr:rowOff>
    </xdr:from>
    <xdr:to>
      <xdr:col>19</xdr:col>
      <xdr:colOff>552406</xdr:colOff>
      <xdr:row>870</xdr:row>
      <xdr:rowOff>93036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349CA40-B781-44AD-B1CA-6BCEAE88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96150" y="173726475"/>
          <a:ext cx="5184098" cy="6361789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747</xdr:row>
      <xdr:rowOff>393700</xdr:rowOff>
    </xdr:from>
    <xdr:to>
      <xdr:col>22</xdr:col>
      <xdr:colOff>57121</xdr:colOff>
      <xdr:row>773</xdr:row>
      <xdr:rowOff>222813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A6D029D2-647E-47BA-A9E8-9E950C40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25025" y="170672125"/>
          <a:ext cx="5163155" cy="8119811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748</xdr:row>
      <xdr:rowOff>393700</xdr:rowOff>
    </xdr:from>
    <xdr:to>
      <xdr:col>22</xdr:col>
      <xdr:colOff>57121</xdr:colOff>
      <xdr:row>774</xdr:row>
      <xdr:rowOff>185116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188CA7F2-A9E7-4025-A022-A7085763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25025" y="170976925"/>
          <a:ext cx="5163155" cy="8095222"/>
        </a:xfrm>
        <a:prstGeom prst="rect">
          <a:avLst/>
        </a:prstGeom>
      </xdr:spPr>
    </xdr:pic>
    <xdr:clientData/>
  </xdr:twoCellAnchor>
  <xdr:twoCellAnchor editAs="oneCell">
    <xdr:from>
      <xdr:col>13</xdr:col>
      <xdr:colOff>633186</xdr:colOff>
      <xdr:row>783</xdr:row>
      <xdr:rowOff>204106</xdr:rowOff>
    </xdr:from>
    <xdr:to>
      <xdr:col>22</xdr:col>
      <xdr:colOff>39149</xdr:colOff>
      <xdr:row>809</xdr:row>
      <xdr:rowOff>73436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B8D8074-1BF4-4D6A-B71D-A963F0B28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59711" y="179121706"/>
          <a:ext cx="5206687" cy="8447846"/>
        </a:xfrm>
        <a:prstGeom prst="rect">
          <a:avLst/>
        </a:prstGeom>
      </xdr:spPr>
    </xdr:pic>
    <xdr:clientData/>
  </xdr:twoCellAnchor>
  <xdr:twoCellAnchor editAs="oneCell">
    <xdr:from>
      <xdr:col>13</xdr:col>
      <xdr:colOff>698500</xdr:colOff>
      <xdr:row>748</xdr:row>
      <xdr:rowOff>393700</xdr:rowOff>
    </xdr:from>
    <xdr:to>
      <xdr:col>22</xdr:col>
      <xdr:colOff>57121</xdr:colOff>
      <xdr:row>774</xdr:row>
      <xdr:rowOff>185116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728F169D-4982-49D7-8071-2760042E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25025" y="170976925"/>
          <a:ext cx="5163155" cy="8095222"/>
        </a:xfrm>
        <a:prstGeom prst="rect">
          <a:avLst/>
        </a:prstGeom>
      </xdr:spPr>
    </xdr:pic>
    <xdr:clientData/>
  </xdr:twoCellAnchor>
  <xdr:twoCellAnchor editAs="oneCell">
    <xdr:from>
      <xdr:col>18</xdr:col>
      <xdr:colOff>287654</xdr:colOff>
      <xdr:row>19</xdr:row>
      <xdr:rowOff>200297</xdr:rowOff>
    </xdr:from>
    <xdr:to>
      <xdr:col>28</xdr:col>
      <xdr:colOff>591307</xdr:colOff>
      <xdr:row>35</xdr:row>
      <xdr:rowOff>248355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F14B8C76-73CA-4363-AAE1-199A2983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0304" y="6086747"/>
          <a:ext cx="6586344" cy="5153842"/>
        </a:xfrm>
        <a:prstGeom prst="rect">
          <a:avLst/>
        </a:prstGeom>
      </xdr:spPr>
    </xdr:pic>
    <xdr:clientData/>
  </xdr:twoCellAnchor>
  <xdr:twoCellAnchor editAs="oneCell">
    <xdr:from>
      <xdr:col>12</xdr:col>
      <xdr:colOff>2263424</xdr:colOff>
      <xdr:row>8</xdr:row>
      <xdr:rowOff>33273</xdr:rowOff>
    </xdr:from>
    <xdr:to>
      <xdr:col>23</xdr:col>
      <xdr:colOff>418296</xdr:colOff>
      <xdr:row>15</xdr:row>
      <xdr:rowOff>169198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id="{FE7C2A43-825B-4820-A05F-B54D01B3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88071" y="2453744"/>
          <a:ext cx="8576344" cy="2420469"/>
        </a:xfrm>
        <a:prstGeom prst="rect">
          <a:avLst/>
        </a:prstGeom>
      </xdr:spPr>
    </xdr:pic>
    <xdr:clientData/>
  </xdr:twoCellAnchor>
  <xdr:twoCellAnchor editAs="oneCell">
    <xdr:from>
      <xdr:col>13</xdr:col>
      <xdr:colOff>291095</xdr:colOff>
      <xdr:row>381</xdr:row>
      <xdr:rowOff>27709</xdr:rowOff>
    </xdr:from>
    <xdr:to>
      <xdr:col>21</xdr:col>
      <xdr:colOff>287921</xdr:colOff>
      <xdr:row>393</xdr:row>
      <xdr:rowOff>247018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47F1F3-9DFE-444A-A5FF-0EF2944E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50695" y="87200509"/>
          <a:ext cx="5352301" cy="4038387"/>
        </a:xfrm>
        <a:prstGeom prst="rect">
          <a:avLst/>
        </a:prstGeom>
      </xdr:spPr>
    </xdr:pic>
    <xdr:clientData/>
  </xdr:twoCellAnchor>
  <xdr:twoCellAnchor editAs="oneCell">
    <xdr:from>
      <xdr:col>27</xdr:col>
      <xdr:colOff>50047</xdr:colOff>
      <xdr:row>1038</xdr:row>
      <xdr:rowOff>16082</xdr:rowOff>
    </xdr:from>
    <xdr:to>
      <xdr:col>35</xdr:col>
      <xdr:colOff>167748</xdr:colOff>
      <xdr:row>1057</xdr:row>
      <xdr:rowOff>169588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79A2617B-4C15-4E9D-8836-AF1E7388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55333" y="236508225"/>
          <a:ext cx="5135470" cy="6167482"/>
        </a:xfrm>
        <a:prstGeom prst="rect">
          <a:avLst/>
        </a:prstGeom>
      </xdr:spPr>
    </xdr:pic>
    <xdr:clientData/>
  </xdr:twoCellAnchor>
  <xdr:twoCellAnchor editAs="oneCell">
    <xdr:from>
      <xdr:col>14</xdr:col>
      <xdr:colOff>267530</xdr:colOff>
      <xdr:row>1045</xdr:row>
      <xdr:rowOff>112471</xdr:rowOff>
    </xdr:from>
    <xdr:to>
      <xdr:col>22</xdr:col>
      <xdr:colOff>453790</xdr:colOff>
      <xdr:row>1066</xdr:row>
      <xdr:rowOff>55516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CAC271-AAE5-482B-A388-BFD70B3E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35744" y="238700114"/>
          <a:ext cx="5215460" cy="65677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1017</xdr:row>
      <xdr:rowOff>0</xdr:rowOff>
    </xdr:from>
    <xdr:to>
      <xdr:col>24</xdr:col>
      <xdr:colOff>363163</xdr:colOff>
      <xdr:row>1036</xdr:row>
      <xdr:rowOff>327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4C39D2E8-D7FF-4321-A53C-F51D905A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92607" y="230205643"/>
          <a:ext cx="7411662" cy="6004440"/>
        </a:xfrm>
        <a:prstGeom prst="rect">
          <a:avLst/>
        </a:prstGeom>
      </xdr:spPr>
    </xdr:pic>
    <xdr:clientData/>
  </xdr:twoCellAnchor>
  <xdr:twoCellAnchor editAs="oneCell">
    <xdr:from>
      <xdr:col>12</xdr:col>
      <xdr:colOff>1970433</xdr:colOff>
      <xdr:row>396</xdr:row>
      <xdr:rowOff>0</xdr:rowOff>
    </xdr:from>
    <xdr:to>
      <xdr:col>20</xdr:col>
      <xdr:colOff>267296</xdr:colOff>
      <xdr:row>405</xdr:row>
      <xdr:rowOff>1178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7A8B5C7-9597-4F12-BC2A-E34023FC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61597" y="91744800"/>
          <a:ext cx="6761991" cy="2828086"/>
        </a:xfrm>
        <a:prstGeom prst="rect">
          <a:avLst/>
        </a:prstGeom>
      </xdr:spPr>
    </xdr:pic>
    <xdr:clientData/>
  </xdr:twoCellAnchor>
  <xdr:twoCellAnchor editAs="oneCell">
    <xdr:from>
      <xdr:col>20</xdr:col>
      <xdr:colOff>364336</xdr:colOff>
      <xdr:row>422</xdr:row>
      <xdr:rowOff>177642</xdr:rowOff>
    </xdr:from>
    <xdr:to>
      <xdr:col>28</xdr:col>
      <xdr:colOff>55010</xdr:colOff>
      <xdr:row>440</xdr:row>
      <xdr:rowOff>155623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82BB771-8A75-40B3-94FD-9B7156A5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720627" y="97408842"/>
          <a:ext cx="4896172" cy="5662613"/>
        </a:xfrm>
        <a:prstGeom prst="rect">
          <a:avLst/>
        </a:prstGeom>
      </xdr:spPr>
    </xdr:pic>
    <xdr:clientData/>
  </xdr:twoCellAnchor>
  <xdr:twoCellAnchor editAs="oneCell">
    <xdr:from>
      <xdr:col>13</xdr:col>
      <xdr:colOff>70262</xdr:colOff>
      <xdr:row>440</xdr:row>
      <xdr:rowOff>240367</xdr:rowOff>
    </xdr:from>
    <xdr:to>
      <xdr:col>27</xdr:col>
      <xdr:colOff>206443</xdr:colOff>
      <xdr:row>464</xdr:row>
      <xdr:rowOff>93099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FE375C6-011B-45CE-B912-EAE7FE6F8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51633" y="100519567"/>
          <a:ext cx="9425506" cy="7446733"/>
        </a:xfrm>
        <a:prstGeom prst="rect">
          <a:avLst/>
        </a:prstGeom>
      </xdr:spPr>
    </xdr:pic>
    <xdr:clientData/>
  </xdr:twoCellAnchor>
  <xdr:twoCellAnchor editAs="oneCell">
    <xdr:from>
      <xdr:col>14</xdr:col>
      <xdr:colOff>89399</xdr:colOff>
      <xdr:row>414</xdr:row>
      <xdr:rowOff>258806</xdr:rowOff>
    </xdr:from>
    <xdr:to>
      <xdr:col>27</xdr:col>
      <xdr:colOff>188015</xdr:colOff>
      <xdr:row>423</xdr:row>
      <xdr:rowOff>169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33C7806-237F-46C8-ABF3-56FBD5F0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38708" y="95051606"/>
          <a:ext cx="8563744" cy="2549236"/>
        </a:xfrm>
        <a:prstGeom prst="rect">
          <a:avLst/>
        </a:prstGeom>
      </xdr:spPr>
    </xdr:pic>
    <xdr:clientData/>
  </xdr:twoCellAnchor>
  <xdr:twoCellAnchor editAs="oneCell">
    <xdr:from>
      <xdr:col>0</xdr:col>
      <xdr:colOff>55097</xdr:colOff>
      <xdr:row>1</xdr:row>
      <xdr:rowOff>58240</xdr:rowOff>
    </xdr:from>
    <xdr:to>
      <xdr:col>2</xdr:col>
      <xdr:colOff>6308</xdr:colOff>
      <xdr:row>6</xdr:row>
      <xdr:rowOff>208190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id="{A260F43E-47A6-476A-B2E7-B46144256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7" y="398419"/>
          <a:ext cx="1433351" cy="1724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5B27442-1AE2-4FAE-AAEB-5DD7C14BFAB9}"/>
            </a:ext>
          </a:extLst>
        </xdr:cNvPr>
        <xdr:cNvSpPr>
          <a:spLocks noChangeArrowheads="1"/>
        </xdr:cNvSpPr>
      </xdr:nvSpPr>
      <xdr:spPr bwMode="auto">
        <a:xfrm>
          <a:off x="8610600" y="2552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7D0AD38-703A-40AD-AB9C-D794DE2A0AE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3ECBD29-960C-4BEB-8A26-BFC33AA102BB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4E3BC98-F164-4330-9E98-32D6497AEE1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FD8517F-24BC-4725-B97B-BA23BF60A42A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69C533B-6D66-43E4-89B0-41C30C741B2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7DABCA26-92CF-469F-A201-4DB8A35041C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27EC1051-3898-44EC-8B31-4A03C21F385B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748E470B-8D25-4625-B18E-3048973547D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DE8FF4A-D26F-453F-9612-F3918A39D6A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32D5C31-59E1-4474-887E-8C058600DC1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7DA6C49-2A6D-4500-8AC4-0B0ACA76C24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CEB0B215-5A60-4735-B783-DB4179910FA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AA6F481B-C2F1-458D-B894-B75DC6FF6B85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0B7A5BF-974F-496E-9D8D-7F7257339BCB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4651B80D-5ECD-4A8D-AB01-A01B48154A6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7361AAB9-383E-4A0C-841D-B1E2CBAFD50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340AEC58-EE01-43D2-9061-AED0C7DE853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262C5C3B-7921-4460-AB62-A1417C813C8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1" name="Rectangle 5">
          <a:extLst>
            <a:ext uri="{FF2B5EF4-FFF2-40B4-BE49-F238E27FC236}">
              <a16:creationId xmlns:a16="http://schemas.microsoft.com/office/drawing/2014/main" id="{F21EC0A7-3EAC-421A-9DE8-0C194E7C20D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2" name="Rectangle 6">
          <a:extLst>
            <a:ext uri="{FF2B5EF4-FFF2-40B4-BE49-F238E27FC236}">
              <a16:creationId xmlns:a16="http://schemas.microsoft.com/office/drawing/2014/main" id="{B04FA6BE-71EA-4707-86C1-CBDF9926B50A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3" name="Rectangle 7">
          <a:extLst>
            <a:ext uri="{FF2B5EF4-FFF2-40B4-BE49-F238E27FC236}">
              <a16:creationId xmlns:a16="http://schemas.microsoft.com/office/drawing/2014/main" id="{2C294156-C166-4D16-B0D3-BB5F7F016D2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" name="Rectangle 8">
          <a:extLst>
            <a:ext uri="{FF2B5EF4-FFF2-40B4-BE49-F238E27FC236}">
              <a16:creationId xmlns:a16="http://schemas.microsoft.com/office/drawing/2014/main" id="{DABC4E8A-71DE-4756-9B3C-A63F1DDE109A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A9F5195E-8761-4170-B277-68779AE7EB9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" name="Rectangle 10">
          <a:extLst>
            <a:ext uri="{FF2B5EF4-FFF2-40B4-BE49-F238E27FC236}">
              <a16:creationId xmlns:a16="http://schemas.microsoft.com/office/drawing/2014/main" id="{9BA6DADC-A9AB-4D69-B5D7-546F8BA7AC3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" name="Rectangle 11">
          <a:extLst>
            <a:ext uri="{FF2B5EF4-FFF2-40B4-BE49-F238E27FC236}">
              <a16:creationId xmlns:a16="http://schemas.microsoft.com/office/drawing/2014/main" id="{7E328EA8-8E26-4B0F-9753-CE435F19539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" name="Rectangle 12">
          <a:extLst>
            <a:ext uri="{FF2B5EF4-FFF2-40B4-BE49-F238E27FC236}">
              <a16:creationId xmlns:a16="http://schemas.microsoft.com/office/drawing/2014/main" id="{A65E02B9-BCCF-4609-8746-BD0A1A86DFB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" name="Rectangle 13">
          <a:extLst>
            <a:ext uri="{FF2B5EF4-FFF2-40B4-BE49-F238E27FC236}">
              <a16:creationId xmlns:a16="http://schemas.microsoft.com/office/drawing/2014/main" id="{3474737B-7E4C-4F5C-AC27-21D7BB1E042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" name="Rectangle 14">
          <a:extLst>
            <a:ext uri="{FF2B5EF4-FFF2-40B4-BE49-F238E27FC236}">
              <a16:creationId xmlns:a16="http://schemas.microsoft.com/office/drawing/2014/main" id="{5A1BC366-EDDE-4873-B965-A874662747C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CA97C0F8-3199-45AE-AD4E-E7AD69E7B4A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17DB7915-B896-4B91-A5E3-F9DC09986F2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F7D78000-7102-4A0F-8095-482647F4F9F0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" name="Rectangle 3">
          <a:extLst>
            <a:ext uri="{FF2B5EF4-FFF2-40B4-BE49-F238E27FC236}">
              <a16:creationId xmlns:a16="http://schemas.microsoft.com/office/drawing/2014/main" id="{90F960DB-7C0C-4DF2-8943-CC5558C770F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6" name="Rectangle 4">
          <a:extLst>
            <a:ext uri="{FF2B5EF4-FFF2-40B4-BE49-F238E27FC236}">
              <a16:creationId xmlns:a16="http://schemas.microsoft.com/office/drawing/2014/main" id="{B09B6B5E-6457-4E06-A7DA-F56E651F655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7" name="Rectangle 5">
          <a:extLst>
            <a:ext uri="{FF2B5EF4-FFF2-40B4-BE49-F238E27FC236}">
              <a16:creationId xmlns:a16="http://schemas.microsoft.com/office/drawing/2014/main" id="{4D2E4B6A-40CC-405E-BCD0-F966FF0FC33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8" name="Rectangle 6">
          <a:extLst>
            <a:ext uri="{FF2B5EF4-FFF2-40B4-BE49-F238E27FC236}">
              <a16:creationId xmlns:a16="http://schemas.microsoft.com/office/drawing/2014/main" id="{5A83FADC-7A14-47E5-9A6D-C57A141613F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9" name="Rectangle 7">
          <a:extLst>
            <a:ext uri="{FF2B5EF4-FFF2-40B4-BE49-F238E27FC236}">
              <a16:creationId xmlns:a16="http://schemas.microsoft.com/office/drawing/2014/main" id="{A2DF8786-667D-4A59-8C25-91AFEC455CAB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0" name="Rectangle 8">
          <a:extLst>
            <a:ext uri="{FF2B5EF4-FFF2-40B4-BE49-F238E27FC236}">
              <a16:creationId xmlns:a16="http://schemas.microsoft.com/office/drawing/2014/main" id="{920EF1DF-3599-4854-80D5-61938155314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1" name="Rectangle 9">
          <a:extLst>
            <a:ext uri="{FF2B5EF4-FFF2-40B4-BE49-F238E27FC236}">
              <a16:creationId xmlns:a16="http://schemas.microsoft.com/office/drawing/2014/main" id="{5BB8438C-3562-4247-BF99-2124646105E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2" name="Rectangle 10">
          <a:extLst>
            <a:ext uri="{FF2B5EF4-FFF2-40B4-BE49-F238E27FC236}">
              <a16:creationId xmlns:a16="http://schemas.microsoft.com/office/drawing/2014/main" id="{44550977-CAF5-40C3-B4D0-EAE711886DB5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3" name="Rectangle 11">
          <a:extLst>
            <a:ext uri="{FF2B5EF4-FFF2-40B4-BE49-F238E27FC236}">
              <a16:creationId xmlns:a16="http://schemas.microsoft.com/office/drawing/2014/main" id="{96E30180-5956-4ABE-A032-9FD2E953AE2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4" name="Rectangle 12">
          <a:extLst>
            <a:ext uri="{FF2B5EF4-FFF2-40B4-BE49-F238E27FC236}">
              <a16:creationId xmlns:a16="http://schemas.microsoft.com/office/drawing/2014/main" id="{91070C3C-A11F-4089-B4DC-33E3F0AD5A5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5" name="Rectangle 13">
          <a:extLst>
            <a:ext uri="{FF2B5EF4-FFF2-40B4-BE49-F238E27FC236}">
              <a16:creationId xmlns:a16="http://schemas.microsoft.com/office/drawing/2014/main" id="{29169E75-C4F6-4411-849D-A29995E465C5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6" name="Rectangle 14">
          <a:extLst>
            <a:ext uri="{FF2B5EF4-FFF2-40B4-BE49-F238E27FC236}">
              <a16:creationId xmlns:a16="http://schemas.microsoft.com/office/drawing/2014/main" id="{8E695950-C81A-48D9-A850-E982A19D6D4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7" name="Rectangle 15">
          <a:extLst>
            <a:ext uri="{FF2B5EF4-FFF2-40B4-BE49-F238E27FC236}">
              <a16:creationId xmlns:a16="http://schemas.microsoft.com/office/drawing/2014/main" id="{982CD9D6-EED9-4687-AB3B-6BDAD0E8FE1A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8" name="Rectangle 16">
          <a:extLst>
            <a:ext uri="{FF2B5EF4-FFF2-40B4-BE49-F238E27FC236}">
              <a16:creationId xmlns:a16="http://schemas.microsoft.com/office/drawing/2014/main" id="{95CF95C4-81AC-40D0-9E04-949A8DC8869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9F426FBA-5CEB-4B2B-8A77-EACB126F8E4B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0" name="Rectangle 3">
          <a:extLst>
            <a:ext uri="{FF2B5EF4-FFF2-40B4-BE49-F238E27FC236}">
              <a16:creationId xmlns:a16="http://schemas.microsoft.com/office/drawing/2014/main" id="{2191C64E-83AA-47E8-B32A-C0605BC3ADF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1" name="Rectangle 4">
          <a:extLst>
            <a:ext uri="{FF2B5EF4-FFF2-40B4-BE49-F238E27FC236}">
              <a16:creationId xmlns:a16="http://schemas.microsoft.com/office/drawing/2014/main" id="{90F9478B-3D47-45E6-931C-7F2EDEEE7A3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2" name="Rectangle 5">
          <a:extLst>
            <a:ext uri="{FF2B5EF4-FFF2-40B4-BE49-F238E27FC236}">
              <a16:creationId xmlns:a16="http://schemas.microsoft.com/office/drawing/2014/main" id="{CC86C770-C203-4A5B-8157-FD8999885B3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3" name="Rectangle 6">
          <a:extLst>
            <a:ext uri="{FF2B5EF4-FFF2-40B4-BE49-F238E27FC236}">
              <a16:creationId xmlns:a16="http://schemas.microsoft.com/office/drawing/2014/main" id="{F6AA6ACA-48B6-4A78-AE6A-C3B5CA6FB9C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4" name="Rectangle 7">
          <a:extLst>
            <a:ext uri="{FF2B5EF4-FFF2-40B4-BE49-F238E27FC236}">
              <a16:creationId xmlns:a16="http://schemas.microsoft.com/office/drawing/2014/main" id="{C6C65E07-1B31-4FB0-8A22-9E1FA6185B4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5" name="Rectangle 8">
          <a:extLst>
            <a:ext uri="{FF2B5EF4-FFF2-40B4-BE49-F238E27FC236}">
              <a16:creationId xmlns:a16="http://schemas.microsoft.com/office/drawing/2014/main" id="{F590DC5B-0C7C-4037-8AFC-4E5DF8A45F0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6" name="Rectangle 9">
          <a:extLst>
            <a:ext uri="{FF2B5EF4-FFF2-40B4-BE49-F238E27FC236}">
              <a16:creationId xmlns:a16="http://schemas.microsoft.com/office/drawing/2014/main" id="{D2E70F07-4CDC-4EBE-861C-18357A3AE87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7" name="Rectangle 10">
          <a:extLst>
            <a:ext uri="{FF2B5EF4-FFF2-40B4-BE49-F238E27FC236}">
              <a16:creationId xmlns:a16="http://schemas.microsoft.com/office/drawing/2014/main" id="{3F8055E0-9ABC-4194-89D5-821735B864C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8" name="Rectangle 11">
          <a:extLst>
            <a:ext uri="{FF2B5EF4-FFF2-40B4-BE49-F238E27FC236}">
              <a16:creationId xmlns:a16="http://schemas.microsoft.com/office/drawing/2014/main" id="{A24C8A14-E09B-4D47-A1B1-68429957361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59" name="Rectangle 12">
          <a:extLst>
            <a:ext uri="{FF2B5EF4-FFF2-40B4-BE49-F238E27FC236}">
              <a16:creationId xmlns:a16="http://schemas.microsoft.com/office/drawing/2014/main" id="{EB4D367D-86E0-4C97-BB29-9D2D906CFD2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0" name="Rectangle 13">
          <a:extLst>
            <a:ext uri="{FF2B5EF4-FFF2-40B4-BE49-F238E27FC236}">
              <a16:creationId xmlns:a16="http://schemas.microsoft.com/office/drawing/2014/main" id="{EC7D3035-9BEF-4FD6-8A4A-2694B13EE65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1" name="Rectangle 14">
          <a:extLst>
            <a:ext uri="{FF2B5EF4-FFF2-40B4-BE49-F238E27FC236}">
              <a16:creationId xmlns:a16="http://schemas.microsoft.com/office/drawing/2014/main" id="{6D2D5EF1-D99F-470E-A8F4-EE26E9FEEEE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2" name="Rectangle 15">
          <a:extLst>
            <a:ext uri="{FF2B5EF4-FFF2-40B4-BE49-F238E27FC236}">
              <a16:creationId xmlns:a16="http://schemas.microsoft.com/office/drawing/2014/main" id="{3E3BCDD8-9F7E-4FE2-9342-F96D8C2309F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3" name="Rectangle 16">
          <a:extLst>
            <a:ext uri="{FF2B5EF4-FFF2-40B4-BE49-F238E27FC236}">
              <a16:creationId xmlns:a16="http://schemas.microsoft.com/office/drawing/2014/main" id="{C166449B-3081-4B91-B160-16414F31AA6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4" name="Rectangle 2">
          <a:extLst>
            <a:ext uri="{FF2B5EF4-FFF2-40B4-BE49-F238E27FC236}">
              <a16:creationId xmlns:a16="http://schemas.microsoft.com/office/drawing/2014/main" id="{F2123B6D-A7C0-458A-A3D3-C64042B2AA2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5" name="Rectangle 3">
          <a:extLst>
            <a:ext uri="{FF2B5EF4-FFF2-40B4-BE49-F238E27FC236}">
              <a16:creationId xmlns:a16="http://schemas.microsoft.com/office/drawing/2014/main" id="{6D5441DF-A83B-4AE6-8FF9-47F4B325DB0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6" name="Rectangle 4">
          <a:extLst>
            <a:ext uri="{FF2B5EF4-FFF2-40B4-BE49-F238E27FC236}">
              <a16:creationId xmlns:a16="http://schemas.microsoft.com/office/drawing/2014/main" id="{35A41E42-879C-4002-8E1D-B7E6C4A954B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7" name="Rectangle 5">
          <a:extLst>
            <a:ext uri="{FF2B5EF4-FFF2-40B4-BE49-F238E27FC236}">
              <a16:creationId xmlns:a16="http://schemas.microsoft.com/office/drawing/2014/main" id="{6BCA3A63-AF8F-440A-95DB-434919A0FAC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8" name="Rectangle 6">
          <a:extLst>
            <a:ext uri="{FF2B5EF4-FFF2-40B4-BE49-F238E27FC236}">
              <a16:creationId xmlns:a16="http://schemas.microsoft.com/office/drawing/2014/main" id="{34D708E9-7741-4D32-A4D5-04A56BF2E0D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69" name="Rectangle 7">
          <a:extLst>
            <a:ext uri="{FF2B5EF4-FFF2-40B4-BE49-F238E27FC236}">
              <a16:creationId xmlns:a16="http://schemas.microsoft.com/office/drawing/2014/main" id="{1F287C0D-09BE-47AA-B700-21DD26C38B8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0" name="Rectangle 8">
          <a:extLst>
            <a:ext uri="{FF2B5EF4-FFF2-40B4-BE49-F238E27FC236}">
              <a16:creationId xmlns:a16="http://schemas.microsoft.com/office/drawing/2014/main" id="{F833B4F2-9705-4727-A082-C96A886437E8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1" name="Rectangle 9">
          <a:extLst>
            <a:ext uri="{FF2B5EF4-FFF2-40B4-BE49-F238E27FC236}">
              <a16:creationId xmlns:a16="http://schemas.microsoft.com/office/drawing/2014/main" id="{F15622E2-B98B-4CA3-AD26-B619CC714DA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2" name="Rectangle 10">
          <a:extLst>
            <a:ext uri="{FF2B5EF4-FFF2-40B4-BE49-F238E27FC236}">
              <a16:creationId xmlns:a16="http://schemas.microsoft.com/office/drawing/2014/main" id="{BA034381-933F-4721-8A50-D4FFF7EF82E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3" name="Rectangle 11">
          <a:extLst>
            <a:ext uri="{FF2B5EF4-FFF2-40B4-BE49-F238E27FC236}">
              <a16:creationId xmlns:a16="http://schemas.microsoft.com/office/drawing/2014/main" id="{2F1FE988-057B-4B9D-99DE-61F5C0667E4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4" name="Rectangle 12">
          <a:extLst>
            <a:ext uri="{FF2B5EF4-FFF2-40B4-BE49-F238E27FC236}">
              <a16:creationId xmlns:a16="http://schemas.microsoft.com/office/drawing/2014/main" id="{8745E6CC-9096-47AF-BF87-79E75C74A08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5" name="Rectangle 13">
          <a:extLst>
            <a:ext uri="{FF2B5EF4-FFF2-40B4-BE49-F238E27FC236}">
              <a16:creationId xmlns:a16="http://schemas.microsoft.com/office/drawing/2014/main" id="{3D7D6C2B-91E7-4776-9FB9-06E0A0AF7545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6" name="Rectangle 14">
          <a:extLst>
            <a:ext uri="{FF2B5EF4-FFF2-40B4-BE49-F238E27FC236}">
              <a16:creationId xmlns:a16="http://schemas.microsoft.com/office/drawing/2014/main" id="{A88CC2B0-D497-451E-B21C-D3D5456EBEE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7" name="Rectangle 15">
          <a:extLst>
            <a:ext uri="{FF2B5EF4-FFF2-40B4-BE49-F238E27FC236}">
              <a16:creationId xmlns:a16="http://schemas.microsoft.com/office/drawing/2014/main" id="{EE444ECF-1560-4449-AC9E-DDBBEE12BAF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8" name="Rectangle 16">
          <a:extLst>
            <a:ext uri="{FF2B5EF4-FFF2-40B4-BE49-F238E27FC236}">
              <a16:creationId xmlns:a16="http://schemas.microsoft.com/office/drawing/2014/main" id="{84FD8888-9764-46C9-A777-A4B42EF8D52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79" name="Rectangle 2">
          <a:extLst>
            <a:ext uri="{FF2B5EF4-FFF2-40B4-BE49-F238E27FC236}">
              <a16:creationId xmlns:a16="http://schemas.microsoft.com/office/drawing/2014/main" id="{BD2B9DBB-14FE-4552-AC8A-E504F611B4F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0" name="Rectangle 3">
          <a:extLst>
            <a:ext uri="{FF2B5EF4-FFF2-40B4-BE49-F238E27FC236}">
              <a16:creationId xmlns:a16="http://schemas.microsoft.com/office/drawing/2014/main" id="{0B39B0E5-8C10-4543-B4B6-AD27BA7187D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1" name="Rectangle 4">
          <a:extLst>
            <a:ext uri="{FF2B5EF4-FFF2-40B4-BE49-F238E27FC236}">
              <a16:creationId xmlns:a16="http://schemas.microsoft.com/office/drawing/2014/main" id="{507139FD-4C53-4398-9843-D4AADD0EFAC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2" name="Rectangle 5">
          <a:extLst>
            <a:ext uri="{FF2B5EF4-FFF2-40B4-BE49-F238E27FC236}">
              <a16:creationId xmlns:a16="http://schemas.microsoft.com/office/drawing/2014/main" id="{32B353AC-EEF2-47AE-927B-5176A52EF48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3" name="Rectangle 6">
          <a:extLst>
            <a:ext uri="{FF2B5EF4-FFF2-40B4-BE49-F238E27FC236}">
              <a16:creationId xmlns:a16="http://schemas.microsoft.com/office/drawing/2014/main" id="{1FA340B4-4230-46E9-A864-67CAE47E001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4" name="Rectangle 7">
          <a:extLst>
            <a:ext uri="{FF2B5EF4-FFF2-40B4-BE49-F238E27FC236}">
              <a16:creationId xmlns:a16="http://schemas.microsoft.com/office/drawing/2014/main" id="{4BB857AA-59B4-4326-B444-958B7C33E9A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5" name="Rectangle 8">
          <a:extLst>
            <a:ext uri="{FF2B5EF4-FFF2-40B4-BE49-F238E27FC236}">
              <a16:creationId xmlns:a16="http://schemas.microsoft.com/office/drawing/2014/main" id="{FC418A60-239D-4B93-8648-7D3888988B6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6" name="Rectangle 9">
          <a:extLst>
            <a:ext uri="{FF2B5EF4-FFF2-40B4-BE49-F238E27FC236}">
              <a16:creationId xmlns:a16="http://schemas.microsoft.com/office/drawing/2014/main" id="{0AF765E0-718D-424E-9F0B-B8CFC1AF6A20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7" name="Rectangle 10">
          <a:extLst>
            <a:ext uri="{FF2B5EF4-FFF2-40B4-BE49-F238E27FC236}">
              <a16:creationId xmlns:a16="http://schemas.microsoft.com/office/drawing/2014/main" id="{013900B7-ED49-420F-83B9-20107EF444D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8" name="Rectangle 11">
          <a:extLst>
            <a:ext uri="{FF2B5EF4-FFF2-40B4-BE49-F238E27FC236}">
              <a16:creationId xmlns:a16="http://schemas.microsoft.com/office/drawing/2014/main" id="{44B648AF-FEF2-4A8E-B06D-FE717A8B857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9" name="Rectangle 12">
          <a:extLst>
            <a:ext uri="{FF2B5EF4-FFF2-40B4-BE49-F238E27FC236}">
              <a16:creationId xmlns:a16="http://schemas.microsoft.com/office/drawing/2014/main" id="{E343C7BB-F70F-46D4-A52F-2752C1ED000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0" name="Rectangle 13">
          <a:extLst>
            <a:ext uri="{FF2B5EF4-FFF2-40B4-BE49-F238E27FC236}">
              <a16:creationId xmlns:a16="http://schemas.microsoft.com/office/drawing/2014/main" id="{2C6C8206-17D2-43A6-91FF-47B53259C92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1" name="Rectangle 14">
          <a:extLst>
            <a:ext uri="{FF2B5EF4-FFF2-40B4-BE49-F238E27FC236}">
              <a16:creationId xmlns:a16="http://schemas.microsoft.com/office/drawing/2014/main" id="{5311581A-88EB-4EA7-BF8A-26C5843DA010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2" name="Rectangle 15">
          <a:extLst>
            <a:ext uri="{FF2B5EF4-FFF2-40B4-BE49-F238E27FC236}">
              <a16:creationId xmlns:a16="http://schemas.microsoft.com/office/drawing/2014/main" id="{F6AB62C8-D498-4A9D-B0FF-5415DB06A19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3" name="Rectangle 16">
          <a:extLst>
            <a:ext uri="{FF2B5EF4-FFF2-40B4-BE49-F238E27FC236}">
              <a16:creationId xmlns:a16="http://schemas.microsoft.com/office/drawing/2014/main" id="{47960E83-9C25-4A68-AD68-F83909E3163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4" name="Rectangle 2">
          <a:extLst>
            <a:ext uri="{FF2B5EF4-FFF2-40B4-BE49-F238E27FC236}">
              <a16:creationId xmlns:a16="http://schemas.microsoft.com/office/drawing/2014/main" id="{235E020A-9FCD-4A62-B290-EDB1EE92BBF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5" name="Rectangle 3">
          <a:extLst>
            <a:ext uri="{FF2B5EF4-FFF2-40B4-BE49-F238E27FC236}">
              <a16:creationId xmlns:a16="http://schemas.microsoft.com/office/drawing/2014/main" id="{BB1CD783-9A26-4B5B-94AD-A85A6FE2A65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6" name="Rectangle 4">
          <a:extLst>
            <a:ext uri="{FF2B5EF4-FFF2-40B4-BE49-F238E27FC236}">
              <a16:creationId xmlns:a16="http://schemas.microsoft.com/office/drawing/2014/main" id="{5AD74200-B4BC-44C6-AFE9-345F9D12788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7" name="Rectangle 5">
          <a:extLst>
            <a:ext uri="{FF2B5EF4-FFF2-40B4-BE49-F238E27FC236}">
              <a16:creationId xmlns:a16="http://schemas.microsoft.com/office/drawing/2014/main" id="{B999764E-5A63-49B9-A2CB-4CC45D6D243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8" name="Rectangle 6">
          <a:extLst>
            <a:ext uri="{FF2B5EF4-FFF2-40B4-BE49-F238E27FC236}">
              <a16:creationId xmlns:a16="http://schemas.microsoft.com/office/drawing/2014/main" id="{E30B0DF3-8163-4D3D-B62E-4907D4E89F5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99" name="Rectangle 7">
          <a:extLst>
            <a:ext uri="{FF2B5EF4-FFF2-40B4-BE49-F238E27FC236}">
              <a16:creationId xmlns:a16="http://schemas.microsoft.com/office/drawing/2014/main" id="{E2429AAB-C22C-4F4F-9023-EEAEAE76D7B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0" name="Rectangle 8">
          <a:extLst>
            <a:ext uri="{FF2B5EF4-FFF2-40B4-BE49-F238E27FC236}">
              <a16:creationId xmlns:a16="http://schemas.microsoft.com/office/drawing/2014/main" id="{D51F0CA0-791D-4CDC-B69A-B215DB61FE8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1" name="Rectangle 9">
          <a:extLst>
            <a:ext uri="{FF2B5EF4-FFF2-40B4-BE49-F238E27FC236}">
              <a16:creationId xmlns:a16="http://schemas.microsoft.com/office/drawing/2014/main" id="{D0124F05-6265-4D6A-B2F0-2AB19D9356A5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2" name="Rectangle 10">
          <a:extLst>
            <a:ext uri="{FF2B5EF4-FFF2-40B4-BE49-F238E27FC236}">
              <a16:creationId xmlns:a16="http://schemas.microsoft.com/office/drawing/2014/main" id="{55EA9EA2-732D-45EE-81B1-A55637DE836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3" name="Rectangle 11">
          <a:extLst>
            <a:ext uri="{FF2B5EF4-FFF2-40B4-BE49-F238E27FC236}">
              <a16:creationId xmlns:a16="http://schemas.microsoft.com/office/drawing/2014/main" id="{C0F868ED-C477-4A56-B73A-39B144D4E01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4" name="Rectangle 12">
          <a:extLst>
            <a:ext uri="{FF2B5EF4-FFF2-40B4-BE49-F238E27FC236}">
              <a16:creationId xmlns:a16="http://schemas.microsoft.com/office/drawing/2014/main" id="{F650C37C-40C8-4F2E-AD3C-19B6E0A33D5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5" name="Rectangle 13">
          <a:extLst>
            <a:ext uri="{FF2B5EF4-FFF2-40B4-BE49-F238E27FC236}">
              <a16:creationId xmlns:a16="http://schemas.microsoft.com/office/drawing/2014/main" id="{293A1A67-94DE-4508-8DF7-1A3AC78530FF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6" name="Rectangle 14">
          <a:extLst>
            <a:ext uri="{FF2B5EF4-FFF2-40B4-BE49-F238E27FC236}">
              <a16:creationId xmlns:a16="http://schemas.microsoft.com/office/drawing/2014/main" id="{60C43727-5FC5-45DC-A3CD-07B6D5FCED4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" name="Rectangle 15">
          <a:extLst>
            <a:ext uri="{FF2B5EF4-FFF2-40B4-BE49-F238E27FC236}">
              <a16:creationId xmlns:a16="http://schemas.microsoft.com/office/drawing/2014/main" id="{516726C8-9458-45BD-BA12-EB3171E5D00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" name="Rectangle 16">
          <a:extLst>
            <a:ext uri="{FF2B5EF4-FFF2-40B4-BE49-F238E27FC236}">
              <a16:creationId xmlns:a16="http://schemas.microsoft.com/office/drawing/2014/main" id="{9C7482D4-A6F3-46BB-8408-9BA2BC0DF9C3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9" name="Rectangle 2">
          <a:extLst>
            <a:ext uri="{FF2B5EF4-FFF2-40B4-BE49-F238E27FC236}">
              <a16:creationId xmlns:a16="http://schemas.microsoft.com/office/drawing/2014/main" id="{F675AE6D-34E9-4680-BAC3-4DF876534AEE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0" name="Rectangle 3">
          <a:extLst>
            <a:ext uri="{FF2B5EF4-FFF2-40B4-BE49-F238E27FC236}">
              <a16:creationId xmlns:a16="http://schemas.microsoft.com/office/drawing/2014/main" id="{C5AE6200-6907-4B71-81B8-98B8772F7AE6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1" name="Rectangle 4">
          <a:extLst>
            <a:ext uri="{FF2B5EF4-FFF2-40B4-BE49-F238E27FC236}">
              <a16:creationId xmlns:a16="http://schemas.microsoft.com/office/drawing/2014/main" id="{6F50D1E7-0367-46C6-9A4E-377B40877A2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2" name="Rectangle 5">
          <a:extLst>
            <a:ext uri="{FF2B5EF4-FFF2-40B4-BE49-F238E27FC236}">
              <a16:creationId xmlns:a16="http://schemas.microsoft.com/office/drawing/2014/main" id="{57909EED-17C6-42E4-8214-AB0575C0DEBC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3" name="Rectangle 6">
          <a:extLst>
            <a:ext uri="{FF2B5EF4-FFF2-40B4-BE49-F238E27FC236}">
              <a16:creationId xmlns:a16="http://schemas.microsoft.com/office/drawing/2014/main" id="{49A4FBC4-C29B-4AA8-A5DC-D4D92BA6606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4" name="Rectangle 7">
          <a:extLst>
            <a:ext uri="{FF2B5EF4-FFF2-40B4-BE49-F238E27FC236}">
              <a16:creationId xmlns:a16="http://schemas.microsoft.com/office/drawing/2014/main" id="{95677449-00C1-4AF8-86D5-C760C3C2A799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5" name="Rectangle 8">
          <a:extLst>
            <a:ext uri="{FF2B5EF4-FFF2-40B4-BE49-F238E27FC236}">
              <a16:creationId xmlns:a16="http://schemas.microsoft.com/office/drawing/2014/main" id="{350C5CA9-9155-4AC0-BBCA-51327D7E3752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6" name="Rectangle 9">
          <a:extLst>
            <a:ext uri="{FF2B5EF4-FFF2-40B4-BE49-F238E27FC236}">
              <a16:creationId xmlns:a16="http://schemas.microsoft.com/office/drawing/2014/main" id="{5FDFF134-B7EF-4A7A-B910-B5D52B521C47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7" name="Rectangle 10">
          <a:extLst>
            <a:ext uri="{FF2B5EF4-FFF2-40B4-BE49-F238E27FC236}">
              <a16:creationId xmlns:a16="http://schemas.microsoft.com/office/drawing/2014/main" id="{9980A13B-9D51-4F19-BC24-835BC8E85014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8" name="Rectangle 11">
          <a:extLst>
            <a:ext uri="{FF2B5EF4-FFF2-40B4-BE49-F238E27FC236}">
              <a16:creationId xmlns:a16="http://schemas.microsoft.com/office/drawing/2014/main" id="{FA69A15E-9E34-4A7B-88BC-C95842B8CEC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19" name="Rectangle 12">
          <a:extLst>
            <a:ext uri="{FF2B5EF4-FFF2-40B4-BE49-F238E27FC236}">
              <a16:creationId xmlns:a16="http://schemas.microsoft.com/office/drawing/2014/main" id="{75C7E389-3532-4668-ABB1-158F786D669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20" name="Rectangle 13">
          <a:extLst>
            <a:ext uri="{FF2B5EF4-FFF2-40B4-BE49-F238E27FC236}">
              <a16:creationId xmlns:a16="http://schemas.microsoft.com/office/drawing/2014/main" id="{D3DF0300-AA49-48E3-A7ED-966E18CD87B0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21" name="Rectangle 14">
          <a:extLst>
            <a:ext uri="{FF2B5EF4-FFF2-40B4-BE49-F238E27FC236}">
              <a16:creationId xmlns:a16="http://schemas.microsoft.com/office/drawing/2014/main" id="{08A8671F-D529-4387-A27B-28999F4D699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22" name="Rectangle 15">
          <a:extLst>
            <a:ext uri="{FF2B5EF4-FFF2-40B4-BE49-F238E27FC236}">
              <a16:creationId xmlns:a16="http://schemas.microsoft.com/office/drawing/2014/main" id="{5D91BF62-162E-404E-9331-BA1C0B15EE61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23" name="Rectangle 16">
          <a:extLst>
            <a:ext uri="{FF2B5EF4-FFF2-40B4-BE49-F238E27FC236}">
              <a16:creationId xmlns:a16="http://schemas.microsoft.com/office/drawing/2014/main" id="{D14CD8A6-60C2-4050-9503-7933D9E3ECED}"/>
            </a:ext>
          </a:extLst>
        </xdr:cNvPr>
        <xdr:cNvSpPr>
          <a:spLocks noChangeArrowheads="1"/>
        </xdr:cNvSpPr>
      </xdr:nvSpPr>
      <xdr:spPr bwMode="auto">
        <a:xfrm>
          <a:off x="8610600" y="350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4" name="Rectangle 2">
          <a:extLst>
            <a:ext uri="{FF2B5EF4-FFF2-40B4-BE49-F238E27FC236}">
              <a16:creationId xmlns:a16="http://schemas.microsoft.com/office/drawing/2014/main" id="{67973F75-B6F4-4F5C-AC7C-69F4EE0CA5A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5" name="Rectangle 3">
          <a:extLst>
            <a:ext uri="{FF2B5EF4-FFF2-40B4-BE49-F238E27FC236}">
              <a16:creationId xmlns:a16="http://schemas.microsoft.com/office/drawing/2014/main" id="{9A148E0C-5DF7-4A4F-A7BA-5AE288B235B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6" name="Rectangle 4">
          <a:extLst>
            <a:ext uri="{FF2B5EF4-FFF2-40B4-BE49-F238E27FC236}">
              <a16:creationId xmlns:a16="http://schemas.microsoft.com/office/drawing/2014/main" id="{78FAF0D8-792D-4616-85BA-EAB70918904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7" name="Rectangle 5">
          <a:extLst>
            <a:ext uri="{FF2B5EF4-FFF2-40B4-BE49-F238E27FC236}">
              <a16:creationId xmlns:a16="http://schemas.microsoft.com/office/drawing/2014/main" id="{AE040384-9AF1-4E2C-8F62-0E291213254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8" name="Rectangle 6">
          <a:extLst>
            <a:ext uri="{FF2B5EF4-FFF2-40B4-BE49-F238E27FC236}">
              <a16:creationId xmlns:a16="http://schemas.microsoft.com/office/drawing/2014/main" id="{264B5A03-729A-4A7A-9D97-4AFD4DABCCE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49" name="Rectangle 7">
          <a:extLst>
            <a:ext uri="{FF2B5EF4-FFF2-40B4-BE49-F238E27FC236}">
              <a16:creationId xmlns:a16="http://schemas.microsoft.com/office/drawing/2014/main" id="{741C755D-4A4D-494F-9C80-36026169668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0" name="Rectangle 8">
          <a:extLst>
            <a:ext uri="{FF2B5EF4-FFF2-40B4-BE49-F238E27FC236}">
              <a16:creationId xmlns:a16="http://schemas.microsoft.com/office/drawing/2014/main" id="{F8CB417E-63DE-4156-87D9-E04518AF4A9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1" name="Rectangle 9">
          <a:extLst>
            <a:ext uri="{FF2B5EF4-FFF2-40B4-BE49-F238E27FC236}">
              <a16:creationId xmlns:a16="http://schemas.microsoft.com/office/drawing/2014/main" id="{691348D4-0431-4749-938E-3B0588E740D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2" name="Rectangle 10">
          <a:extLst>
            <a:ext uri="{FF2B5EF4-FFF2-40B4-BE49-F238E27FC236}">
              <a16:creationId xmlns:a16="http://schemas.microsoft.com/office/drawing/2014/main" id="{FFF5FA4D-D4EF-43FE-BEE4-D0512D7D4CC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3" name="Rectangle 11">
          <a:extLst>
            <a:ext uri="{FF2B5EF4-FFF2-40B4-BE49-F238E27FC236}">
              <a16:creationId xmlns:a16="http://schemas.microsoft.com/office/drawing/2014/main" id="{D3A9B6C8-6244-41F1-A438-43F7B017FC9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4" name="Rectangle 12">
          <a:extLst>
            <a:ext uri="{FF2B5EF4-FFF2-40B4-BE49-F238E27FC236}">
              <a16:creationId xmlns:a16="http://schemas.microsoft.com/office/drawing/2014/main" id="{B313AE2D-34D0-49D5-9E1E-DF360ED21AB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5" name="Rectangle 13">
          <a:extLst>
            <a:ext uri="{FF2B5EF4-FFF2-40B4-BE49-F238E27FC236}">
              <a16:creationId xmlns:a16="http://schemas.microsoft.com/office/drawing/2014/main" id="{6A6EDB66-C3AD-4756-B447-5577429F7D9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6" name="Rectangle 14">
          <a:extLst>
            <a:ext uri="{FF2B5EF4-FFF2-40B4-BE49-F238E27FC236}">
              <a16:creationId xmlns:a16="http://schemas.microsoft.com/office/drawing/2014/main" id="{A06802F3-5C99-4100-8C41-E1D761ACCAF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7" name="Rectangle 15">
          <a:extLst>
            <a:ext uri="{FF2B5EF4-FFF2-40B4-BE49-F238E27FC236}">
              <a16:creationId xmlns:a16="http://schemas.microsoft.com/office/drawing/2014/main" id="{BF07949F-2489-4199-8A97-CAF0634721F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8" name="Rectangle 16">
          <a:extLst>
            <a:ext uri="{FF2B5EF4-FFF2-40B4-BE49-F238E27FC236}">
              <a16:creationId xmlns:a16="http://schemas.microsoft.com/office/drawing/2014/main" id="{646F4AA0-3E37-4D06-9579-B1E667842DF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59" name="Rectangle 2">
          <a:extLst>
            <a:ext uri="{FF2B5EF4-FFF2-40B4-BE49-F238E27FC236}">
              <a16:creationId xmlns:a16="http://schemas.microsoft.com/office/drawing/2014/main" id="{6C7DAFA1-C9BA-436E-9CD9-EE0226F4B7D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0" name="Rectangle 3">
          <a:extLst>
            <a:ext uri="{FF2B5EF4-FFF2-40B4-BE49-F238E27FC236}">
              <a16:creationId xmlns:a16="http://schemas.microsoft.com/office/drawing/2014/main" id="{BDA03060-7D44-407A-8739-247B7B869DD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1" name="Rectangle 4">
          <a:extLst>
            <a:ext uri="{FF2B5EF4-FFF2-40B4-BE49-F238E27FC236}">
              <a16:creationId xmlns:a16="http://schemas.microsoft.com/office/drawing/2014/main" id="{6A92E33F-D44C-44ED-85EB-4FD8275B359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2" name="Rectangle 5">
          <a:extLst>
            <a:ext uri="{FF2B5EF4-FFF2-40B4-BE49-F238E27FC236}">
              <a16:creationId xmlns:a16="http://schemas.microsoft.com/office/drawing/2014/main" id="{42765B34-F799-48B4-8B8F-E50DCFC8266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3" name="Rectangle 6">
          <a:extLst>
            <a:ext uri="{FF2B5EF4-FFF2-40B4-BE49-F238E27FC236}">
              <a16:creationId xmlns:a16="http://schemas.microsoft.com/office/drawing/2014/main" id="{91EB4EB9-B945-477B-AE4A-DE9A43BC5CF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4" name="Rectangle 7">
          <a:extLst>
            <a:ext uri="{FF2B5EF4-FFF2-40B4-BE49-F238E27FC236}">
              <a16:creationId xmlns:a16="http://schemas.microsoft.com/office/drawing/2014/main" id="{1A8538FD-CA8D-4296-814D-98A02B34891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5" name="Rectangle 8">
          <a:extLst>
            <a:ext uri="{FF2B5EF4-FFF2-40B4-BE49-F238E27FC236}">
              <a16:creationId xmlns:a16="http://schemas.microsoft.com/office/drawing/2014/main" id="{6CF1D65D-6537-4020-911A-F082D330FBA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6" name="Rectangle 9">
          <a:extLst>
            <a:ext uri="{FF2B5EF4-FFF2-40B4-BE49-F238E27FC236}">
              <a16:creationId xmlns:a16="http://schemas.microsoft.com/office/drawing/2014/main" id="{C662CEBC-A66B-4A72-B15C-E53686F66E8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7" name="Rectangle 10">
          <a:extLst>
            <a:ext uri="{FF2B5EF4-FFF2-40B4-BE49-F238E27FC236}">
              <a16:creationId xmlns:a16="http://schemas.microsoft.com/office/drawing/2014/main" id="{FB9E7F0C-B774-4ED7-827C-68503AC1C111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8" name="Rectangle 11">
          <a:extLst>
            <a:ext uri="{FF2B5EF4-FFF2-40B4-BE49-F238E27FC236}">
              <a16:creationId xmlns:a16="http://schemas.microsoft.com/office/drawing/2014/main" id="{718A8EB3-024B-488B-8DB9-078351555AF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69" name="Rectangle 12">
          <a:extLst>
            <a:ext uri="{FF2B5EF4-FFF2-40B4-BE49-F238E27FC236}">
              <a16:creationId xmlns:a16="http://schemas.microsoft.com/office/drawing/2014/main" id="{59ABF522-A448-4267-83BE-24973A0D6861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0" name="Rectangle 13">
          <a:extLst>
            <a:ext uri="{FF2B5EF4-FFF2-40B4-BE49-F238E27FC236}">
              <a16:creationId xmlns:a16="http://schemas.microsoft.com/office/drawing/2014/main" id="{28803107-853E-46E1-8A94-57D8E82B9E0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1" name="Rectangle 14">
          <a:extLst>
            <a:ext uri="{FF2B5EF4-FFF2-40B4-BE49-F238E27FC236}">
              <a16:creationId xmlns:a16="http://schemas.microsoft.com/office/drawing/2014/main" id="{A7312408-E69D-4D49-B4BD-E1BFB44E6D4E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2" name="Rectangle 15">
          <a:extLst>
            <a:ext uri="{FF2B5EF4-FFF2-40B4-BE49-F238E27FC236}">
              <a16:creationId xmlns:a16="http://schemas.microsoft.com/office/drawing/2014/main" id="{4DD9DBAA-D36F-4CC3-B8FC-A37EE3B861C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3" name="Rectangle 16">
          <a:extLst>
            <a:ext uri="{FF2B5EF4-FFF2-40B4-BE49-F238E27FC236}">
              <a16:creationId xmlns:a16="http://schemas.microsoft.com/office/drawing/2014/main" id="{FD20F816-8567-43BB-9ADF-A658148ECC5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4" name="Rectangle 2">
          <a:extLst>
            <a:ext uri="{FF2B5EF4-FFF2-40B4-BE49-F238E27FC236}">
              <a16:creationId xmlns:a16="http://schemas.microsoft.com/office/drawing/2014/main" id="{11F498B4-8696-477C-A1F0-F623B61C697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5" name="Rectangle 3">
          <a:extLst>
            <a:ext uri="{FF2B5EF4-FFF2-40B4-BE49-F238E27FC236}">
              <a16:creationId xmlns:a16="http://schemas.microsoft.com/office/drawing/2014/main" id="{2188911C-A970-4674-A9B5-9EAC81BBC7B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6" name="Rectangle 4">
          <a:extLst>
            <a:ext uri="{FF2B5EF4-FFF2-40B4-BE49-F238E27FC236}">
              <a16:creationId xmlns:a16="http://schemas.microsoft.com/office/drawing/2014/main" id="{517F54B1-211A-4082-B18B-51EE098A264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7" name="Rectangle 5">
          <a:extLst>
            <a:ext uri="{FF2B5EF4-FFF2-40B4-BE49-F238E27FC236}">
              <a16:creationId xmlns:a16="http://schemas.microsoft.com/office/drawing/2014/main" id="{54C6F8C3-627B-44E7-A6A7-5FC9C3ED181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8" name="Rectangle 6">
          <a:extLst>
            <a:ext uri="{FF2B5EF4-FFF2-40B4-BE49-F238E27FC236}">
              <a16:creationId xmlns:a16="http://schemas.microsoft.com/office/drawing/2014/main" id="{98D15732-94EC-41EE-AE27-DF1B98DC4FD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79" name="Rectangle 7">
          <a:extLst>
            <a:ext uri="{FF2B5EF4-FFF2-40B4-BE49-F238E27FC236}">
              <a16:creationId xmlns:a16="http://schemas.microsoft.com/office/drawing/2014/main" id="{0A5FE079-B115-4F00-B787-4978D70C8E1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0" name="Rectangle 8">
          <a:extLst>
            <a:ext uri="{FF2B5EF4-FFF2-40B4-BE49-F238E27FC236}">
              <a16:creationId xmlns:a16="http://schemas.microsoft.com/office/drawing/2014/main" id="{3B06F7C8-A9E5-48D0-A010-26650D3DB07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1" name="Rectangle 9">
          <a:extLst>
            <a:ext uri="{FF2B5EF4-FFF2-40B4-BE49-F238E27FC236}">
              <a16:creationId xmlns:a16="http://schemas.microsoft.com/office/drawing/2014/main" id="{FF808AFE-8B5A-42E9-B4EC-FF3D5826DFC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2" name="Rectangle 10">
          <a:extLst>
            <a:ext uri="{FF2B5EF4-FFF2-40B4-BE49-F238E27FC236}">
              <a16:creationId xmlns:a16="http://schemas.microsoft.com/office/drawing/2014/main" id="{B7F29925-3689-4B90-923B-1E1D5FC437D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3" name="Rectangle 11">
          <a:extLst>
            <a:ext uri="{FF2B5EF4-FFF2-40B4-BE49-F238E27FC236}">
              <a16:creationId xmlns:a16="http://schemas.microsoft.com/office/drawing/2014/main" id="{5E2E8F89-6E5D-464F-92D1-646EACE12A6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4" name="Rectangle 12">
          <a:extLst>
            <a:ext uri="{FF2B5EF4-FFF2-40B4-BE49-F238E27FC236}">
              <a16:creationId xmlns:a16="http://schemas.microsoft.com/office/drawing/2014/main" id="{0A9048B3-D80F-4AA4-9CB3-70B9DB9B990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5" name="Rectangle 13">
          <a:extLst>
            <a:ext uri="{FF2B5EF4-FFF2-40B4-BE49-F238E27FC236}">
              <a16:creationId xmlns:a16="http://schemas.microsoft.com/office/drawing/2014/main" id="{EB441743-8722-4CFF-A780-BCE457A9A79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6" name="Rectangle 14">
          <a:extLst>
            <a:ext uri="{FF2B5EF4-FFF2-40B4-BE49-F238E27FC236}">
              <a16:creationId xmlns:a16="http://schemas.microsoft.com/office/drawing/2014/main" id="{39EC821E-8577-470E-B49A-32197502AE6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7" name="Rectangle 15">
          <a:extLst>
            <a:ext uri="{FF2B5EF4-FFF2-40B4-BE49-F238E27FC236}">
              <a16:creationId xmlns:a16="http://schemas.microsoft.com/office/drawing/2014/main" id="{197E5E80-1548-4DD3-80B3-35981AA7B20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8" name="Rectangle 16">
          <a:extLst>
            <a:ext uri="{FF2B5EF4-FFF2-40B4-BE49-F238E27FC236}">
              <a16:creationId xmlns:a16="http://schemas.microsoft.com/office/drawing/2014/main" id="{CC0DA393-14A6-4EFA-A84A-4A974E34E21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89" name="Rectangle 2">
          <a:extLst>
            <a:ext uri="{FF2B5EF4-FFF2-40B4-BE49-F238E27FC236}">
              <a16:creationId xmlns:a16="http://schemas.microsoft.com/office/drawing/2014/main" id="{3BDE2B62-92FA-4FD6-8973-A87C14419DC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0" name="Rectangle 3">
          <a:extLst>
            <a:ext uri="{FF2B5EF4-FFF2-40B4-BE49-F238E27FC236}">
              <a16:creationId xmlns:a16="http://schemas.microsoft.com/office/drawing/2014/main" id="{E37B2066-2A48-46F5-88DC-A4AE9755859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1" name="Rectangle 4">
          <a:extLst>
            <a:ext uri="{FF2B5EF4-FFF2-40B4-BE49-F238E27FC236}">
              <a16:creationId xmlns:a16="http://schemas.microsoft.com/office/drawing/2014/main" id="{B3FE6415-6A18-4CDA-A4DC-54EA73BEFD0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2" name="Rectangle 5">
          <a:extLst>
            <a:ext uri="{FF2B5EF4-FFF2-40B4-BE49-F238E27FC236}">
              <a16:creationId xmlns:a16="http://schemas.microsoft.com/office/drawing/2014/main" id="{BDD24C05-62A5-4877-9E13-2DFC419FC5B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3" name="Rectangle 6">
          <a:extLst>
            <a:ext uri="{FF2B5EF4-FFF2-40B4-BE49-F238E27FC236}">
              <a16:creationId xmlns:a16="http://schemas.microsoft.com/office/drawing/2014/main" id="{C9C9133A-65FB-45FE-8A03-EE36923BA07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4" name="Rectangle 7">
          <a:extLst>
            <a:ext uri="{FF2B5EF4-FFF2-40B4-BE49-F238E27FC236}">
              <a16:creationId xmlns:a16="http://schemas.microsoft.com/office/drawing/2014/main" id="{71DF1C46-D785-434E-BEB9-32EA234EBF5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5" name="Rectangle 8">
          <a:extLst>
            <a:ext uri="{FF2B5EF4-FFF2-40B4-BE49-F238E27FC236}">
              <a16:creationId xmlns:a16="http://schemas.microsoft.com/office/drawing/2014/main" id="{38B89DC6-7AA3-405B-BCDF-9B7A1F3113E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6" name="Rectangle 9">
          <a:extLst>
            <a:ext uri="{FF2B5EF4-FFF2-40B4-BE49-F238E27FC236}">
              <a16:creationId xmlns:a16="http://schemas.microsoft.com/office/drawing/2014/main" id="{9AB2FD93-7F1D-4225-BA36-8F44B40CF42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7" name="Rectangle 10">
          <a:extLst>
            <a:ext uri="{FF2B5EF4-FFF2-40B4-BE49-F238E27FC236}">
              <a16:creationId xmlns:a16="http://schemas.microsoft.com/office/drawing/2014/main" id="{D950B1E2-AB22-4658-AEBA-55CEDA80A77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8" name="Rectangle 11">
          <a:extLst>
            <a:ext uri="{FF2B5EF4-FFF2-40B4-BE49-F238E27FC236}">
              <a16:creationId xmlns:a16="http://schemas.microsoft.com/office/drawing/2014/main" id="{15AF4D99-AF4E-4ED0-A717-1F761291074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299" name="Rectangle 12">
          <a:extLst>
            <a:ext uri="{FF2B5EF4-FFF2-40B4-BE49-F238E27FC236}">
              <a16:creationId xmlns:a16="http://schemas.microsoft.com/office/drawing/2014/main" id="{F75B3C5D-60F2-474A-AC9F-A2F622648E1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0" name="Rectangle 13">
          <a:extLst>
            <a:ext uri="{FF2B5EF4-FFF2-40B4-BE49-F238E27FC236}">
              <a16:creationId xmlns:a16="http://schemas.microsoft.com/office/drawing/2014/main" id="{472515DE-EB2E-4FDA-9F21-5A97599138D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1" name="Rectangle 14">
          <a:extLst>
            <a:ext uri="{FF2B5EF4-FFF2-40B4-BE49-F238E27FC236}">
              <a16:creationId xmlns:a16="http://schemas.microsoft.com/office/drawing/2014/main" id="{172CCC92-6CD5-4287-8537-E50F79CF69E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2" name="Rectangle 15">
          <a:extLst>
            <a:ext uri="{FF2B5EF4-FFF2-40B4-BE49-F238E27FC236}">
              <a16:creationId xmlns:a16="http://schemas.microsoft.com/office/drawing/2014/main" id="{6CA170B5-6C52-43C3-9534-054A3E71B98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3" name="Rectangle 16">
          <a:extLst>
            <a:ext uri="{FF2B5EF4-FFF2-40B4-BE49-F238E27FC236}">
              <a16:creationId xmlns:a16="http://schemas.microsoft.com/office/drawing/2014/main" id="{2D076CDA-80F8-4F92-BF4F-B390FE5AB5C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4" name="Rectangle 2">
          <a:extLst>
            <a:ext uri="{FF2B5EF4-FFF2-40B4-BE49-F238E27FC236}">
              <a16:creationId xmlns:a16="http://schemas.microsoft.com/office/drawing/2014/main" id="{6741D7E7-9910-4DF6-8BBA-89FEB8D5E18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5" name="Rectangle 3">
          <a:extLst>
            <a:ext uri="{FF2B5EF4-FFF2-40B4-BE49-F238E27FC236}">
              <a16:creationId xmlns:a16="http://schemas.microsoft.com/office/drawing/2014/main" id="{142B9F79-7689-4AAA-9004-D696093CA88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6" name="Rectangle 4">
          <a:extLst>
            <a:ext uri="{FF2B5EF4-FFF2-40B4-BE49-F238E27FC236}">
              <a16:creationId xmlns:a16="http://schemas.microsoft.com/office/drawing/2014/main" id="{C80D2421-3533-4905-A14B-A63CEF50D5C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7" name="Rectangle 5">
          <a:extLst>
            <a:ext uri="{FF2B5EF4-FFF2-40B4-BE49-F238E27FC236}">
              <a16:creationId xmlns:a16="http://schemas.microsoft.com/office/drawing/2014/main" id="{EABE0D45-6FB7-46F4-966D-56D16FA0CE7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8" name="Rectangle 6">
          <a:extLst>
            <a:ext uri="{FF2B5EF4-FFF2-40B4-BE49-F238E27FC236}">
              <a16:creationId xmlns:a16="http://schemas.microsoft.com/office/drawing/2014/main" id="{EC67CE28-44DC-4799-BD88-4B08BD0B7C8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09" name="Rectangle 7">
          <a:extLst>
            <a:ext uri="{FF2B5EF4-FFF2-40B4-BE49-F238E27FC236}">
              <a16:creationId xmlns:a16="http://schemas.microsoft.com/office/drawing/2014/main" id="{1B26341E-8886-439D-A4CD-4D19BA257C0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0" name="Rectangle 8">
          <a:extLst>
            <a:ext uri="{FF2B5EF4-FFF2-40B4-BE49-F238E27FC236}">
              <a16:creationId xmlns:a16="http://schemas.microsoft.com/office/drawing/2014/main" id="{254CD3D1-963D-4BD3-9CFA-AFE615133F6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1" name="Rectangle 9">
          <a:extLst>
            <a:ext uri="{FF2B5EF4-FFF2-40B4-BE49-F238E27FC236}">
              <a16:creationId xmlns:a16="http://schemas.microsoft.com/office/drawing/2014/main" id="{2336CD7E-8FA7-4CC1-ABDE-C03B96181A8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2" name="Rectangle 10">
          <a:extLst>
            <a:ext uri="{FF2B5EF4-FFF2-40B4-BE49-F238E27FC236}">
              <a16:creationId xmlns:a16="http://schemas.microsoft.com/office/drawing/2014/main" id="{BDB705E2-A44A-4512-8E5F-71E3FC4F3DD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3" name="Rectangle 11">
          <a:extLst>
            <a:ext uri="{FF2B5EF4-FFF2-40B4-BE49-F238E27FC236}">
              <a16:creationId xmlns:a16="http://schemas.microsoft.com/office/drawing/2014/main" id="{28209A92-E964-4E66-AF1E-567D67A904C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4" name="Rectangle 12">
          <a:extLst>
            <a:ext uri="{FF2B5EF4-FFF2-40B4-BE49-F238E27FC236}">
              <a16:creationId xmlns:a16="http://schemas.microsoft.com/office/drawing/2014/main" id="{C313D6BE-E878-4892-9C14-2C15D976FD0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5" name="Rectangle 13">
          <a:extLst>
            <a:ext uri="{FF2B5EF4-FFF2-40B4-BE49-F238E27FC236}">
              <a16:creationId xmlns:a16="http://schemas.microsoft.com/office/drawing/2014/main" id="{74C12742-3BE3-4BDF-8625-8A1396DFE78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6" name="Rectangle 14">
          <a:extLst>
            <a:ext uri="{FF2B5EF4-FFF2-40B4-BE49-F238E27FC236}">
              <a16:creationId xmlns:a16="http://schemas.microsoft.com/office/drawing/2014/main" id="{9DDC1519-7DD4-46E2-AD29-7B3926FF7C6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7" name="Rectangle 15">
          <a:extLst>
            <a:ext uri="{FF2B5EF4-FFF2-40B4-BE49-F238E27FC236}">
              <a16:creationId xmlns:a16="http://schemas.microsoft.com/office/drawing/2014/main" id="{7670F678-BB65-4D81-BD02-C666B121C57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8" name="Rectangle 16">
          <a:extLst>
            <a:ext uri="{FF2B5EF4-FFF2-40B4-BE49-F238E27FC236}">
              <a16:creationId xmlns:a16="http://schemas.microsoft.com/office/drawing/2014/main" id="{F38A772E-0177-43A6-8A7C-3BF1E1119D3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19" name="Rectangle 2">
          <a:extLst>
            <a:ext uri="{FF2B5EF4-FFF2-40B4-BE49-F238E27FC236}">
              <a16:creationId xmlns:a16="http://schemas.microsoft.com/office/drawing/2014/main" id="{EDBF0AF1-8B42-449B-B043-88E533A5FA5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0" name="Rectangle 3">
          <a:extLst>
            <a:ext uri="{FF2B5EF4-FFF2-40B4-BE49-F238E27FC236}">
              <a16:creationId xmlns:a16="http://schemas.microsoft.com/office/drawing/2014/main" id="{399A7B04-05D3-4352-A8FF-E71EDB675CFC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1" name="Rectangle 4">
          <a:extLst>
            <a:ext uri="{FF2B5EF4-FFF2-40B4-BE49-F238E27FC236}">
              <a16:creationId xmlns:a16="http://schemas.microsoft.com/office/drawing/2014/main" id="{A8D57090-E984-456A-96E4-E50FA1BAEB7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2" name="Rectangle 5">
          <a:extLst>
            <a:ext uri="{FF2B5EF4-FFF2-40B4-BE49-F238E27FC236}">
              <a16:creationId xmlns:a16="http://schemas.microsoft.com/office/drawing/2014/main" id="{DED03586-AC3B-4A16-BC2F-5C9AB590096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3" name="Rectangle 6">
          <a:extLst>
            <a:ext uri="{FF2B5EF4-FFF2-40B4-BE49-F238E27FC236}">
              <a16:creationId xmlns:a16="http://schemas.microsoft.com/office/drawing/2014/main" id="{5CEFCCC6-6EF4-45E6-8F6F-CC94FFE04B5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4" name="Rectangle 7">
          <a:extLst>
            <a:ext uri="{FF2B5EF4-FFF2-40B4-BE49-F238E27FC236}">
              <a16:creationId xmlns:a16="http://schemas.microsoft.com/office/drawing/2014/main" id="{CF46F312-0C4C-4E0C-BACD-84F9778CED5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5" name="Rectangle 8">
          <a:extLst>
            <a:ext uri="{FF2B5EF4-FFF2-40B4-BE49-F238E27FC236}">
              <a16:creationId xmlns:a16="http://schemas.microsoft.com/office/drawing/2014/main" id="{BE809B40-8BB5-4896-9049-D4F1DEC9B16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6" name="Rectangle 9">
          <a:extLst>
            <a:ext uri="{FF2B5EF4-FFF2-40B4-BE49-F238E27FC236}">
              <a16:creationId xmlns:a16="http://schemas.microsoft.com/office/drawing/2014/main" id="{9EE7C791-C224-4201-AA21-57BF94F4507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7" name="Rectangle 10">
          <a:extLst>
            <a:ext uri="{FF2B5EF4-FFF2-40B4-BE49-F238E27FC236}">
              <a16:creationId xmlns:a16="http://schemas.microsoft.com/office/drawing/2014/main" id="{23F936AF-F115-49CD-A3FB-08B9EA84E40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8" name="Rectangle 11">
          <a:extLst>
            <a:ext uri="{FF2B5EF4-FFF2-40B4-BE49-F238E27FC236}">
              <a16:creationId xmlns:a16="http://schemas.microsoft.com/office/drawing/2014/main" id="{E468AE19-5F84-4A39-9A70-01BF9731A204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29" name="Rectangle 12">
          <a:extLst>
            <a:ext uri="{FF2B5EF4-FFF2-40B4-BE49-F238E27FC236}">
              <a16:creationId xmlns:a16="http://schemas.microsoft.com/office/drawing/2014/main" id="{7691B476-7184-47D3-84CB-A1A31F3617D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0" name="Rectangle 13">
          <a:extLst>
            <a:ext uri="{FF2B5EF4-FFF2-40B4-BE49-F238E27FC236}">
              <a16:creationId xmlns:a16="http://schemas.microsoft.com/office/drawing/2014/main" id="{B6156F3B-86B4-4AB1-971F-2B638D5BB52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1" name="Rectangle 14">
          <a:extLst>
            <a:ext uri="{FF2B5EF4-FFF2-40B4-BE49-F238E27FC236}">
              <a16:creationId xmlns:a16="http://schemas.microsoft.com/office/drawing/2014/main" id="{FB66CE25-E3DD-4392-BC01-F2F8106C31A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2" name="Rectangle 15">
          <a:extLst>
            <a:ext uri="{FF2B5EF4-FFF2-40B4-BE49-F238E27FC236}">
              <a16:creationId xmlns:a16="http://schemas.microsoft.com/office/drawing/2014/main" id="{2857213E-DAC9-4650-8C74-5D4B3D54729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3" name="Rectangle 16">
          <a:extLst>
            <a:ext uri="{FF2B5EF4-FFF2-40B4-BE49-F238E27FC236}">
              <a16:creationId xmlns:a16="http://schemas.microsoft.com/office/drawing/2014/main" id="{3741EB1A-0C7F-44A8-9E34-BC5A86B0872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4" name="Rectangle 2">
          <a:extLst>
            <a:ext uri="{FF2B5EF4-FFF2-40B4-BE49-F238E27FC236}">
              <a16:creationId xmlns:a16="http://schemas.microsoft.com/office/drawing/2014/main" id="{14B2CC01-A131-4A4B-9FD0-A768A7C6950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5" name="Rectangle 3">
          <a:extLst>
            <a:ext uri="{FF2B5EF4-FFF2-40B4-BE49-F238E27FC236}">
              <a16:creationId xmlns:a16="http://schemas.microsoft.com/office/drawing/2014/main" id="{0EA623BF-8EC3-40C5-ABA3-562A66EBC9A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6" name="Rectangle 4">
          <a:extLst>
            <a:ext uri="{FF2B5EF4-FFF2-40B4-BE49-F238E27FC236}">
              <a16:creationId xmlns:a16="http://schemas.microsoft.com/office/drawing/2014/main" id="{97C617A5-C312-4F66-8027-A49D0499D61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7" name="Rectangle 5">
          <a:extLst>
            <a:ext uri="{FF2B5EF4-FFF2-40B4-BE49-F238E27FC236}">
              <a16:creationId xmlns:a16="http://schemas.microsoft.com/office/drawing/2014/main" id="{8E79DDCB-D7AD-4C6D-81BD-EDC9E295596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8" name="Rectangle 6">
          <a:extLst>
            <a:ext uri="{FF2B5EF4-FFF2-40B4-BE49-F238E27FC236}">
              <a16:creationId xmlns:a16="http://schemas.microsoft.com/office/drawing/2014/main" id="{78942510-177F-476F-BFE3-65B5F1D36A16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39" name="Rectangle 7">
          <a:extLst>
            <a:ext uri="{FF2B5EF4-FFF2-40B4-BE49-F238E27FC236}">
              <a16:creationId xmlns:a16="http://schemas.microsoft.com/office/drawing/2014/main" id="{CBD1B13B-76A9-46EA-9F73-F31C90D490AE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0" name="Rectangle 8">
          <a:extLst>
            <a:ext uri="{FF2B5EF4-FFF2-40B4-BE49-F238E27FC236}">
              <a16:creationId xmlns:a16="http://schemas.microsoft.com/office/drawing/2014/main" id="{6CEC8969-C8C2-41C4-98E0-10EDDD7A135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1" name="Rectangle 9">
          <a:extLst>
            <a:ext uri="{FF2B5EF4-FFF2-40B4-BE49-F238E27FC236}">
              <a16:creationId xmlns:a16="http://schemas.microsoft.com/office/drawing/2014/main" id="{A60CD6E4-8D5D-4568-8921-F417AB7AF49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2" name="Rectangle 10">
          <a:extLst>
            <a:ext uri="{FF2B5EF4-FFF2-40B4-BE49-F238E27FC236}">
              <a16:creationId xmlns:a16="http://schemas.microsoft.com/office/drawing/2014/main" id="{B4063286-3229-4725-AC6E-CC452A1AB92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3" name="Rectangle 11">
          <a:extLst>
            <a:ext uri="{FF2B5EF4-FFF2-40B4-BE49-F238E27FC236}">
              <a16:creationId xmlns:a16="http://schemas.microsoft.com/office/drawing/2014/main" id="{B1B086BB-F2B9-4FCC-88AC-7A05812D7EC3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4" name="Rectangle 12">
          <a:extLst>
            <a:ext uri="{FF2B5EF4-FFF2-40B4-BE49-F238E27FC236}">
              <a16:creationId xmlns:a16="http://schemas.microsoft.com/office/drawing/2014/main" id="{57E9EBFF-85A8-4706-A684-74AD91D2901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5" name="Rectangle 13">
          <a:extLst>
            <a:ext uri="{FF2B5EF4-FFF2-40B4-BE49-F238E27FC236}">
              <a16:creationId xmlns:a16="http://schemas.microsoft.com/office/drawing/2014/main" id="{86449AA3-9953-459B-B9AE-6CED6700997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6" name="Rectangle 14">
          <a:extLst>
            <a:ext uri="{FF2B5EF4-FFF2-40B4-BE49-F238E27FC236}">
              <a16:creationId xmlns:a16="http://schemas.microsoft.com/office/drawing/2014/main" id="{F47B29BA-269C-4C56-9B2E-0C68B004C068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7" name="Rectangle 15">
          <a:extLst>
            <a:ext uri="{FF2B5EF4-FFF2-40B4-BE49-F238E27FC236}">
              <a16:creationId xmlns:a16="http://schemas.microsoft.com/office/drawing/2014/main" id="{E6958CD4-95F6-43A6-8B1F-93E61A5E9F2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8" name="Rectangle 16">
          <a:extLst>
            <a:ext uri="{FF2B5EF4-FFF2-40B4-BE49-F238E27FC236}">
              <a16:creationId xmlns:a16="http://schemas.microsoft.com/office/drawing/2014/main" id="{EEDDA846-55A1-422C-85CC-80437E0A3D5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49" name="Rectangle 2">
          <a:extLst>
            <a:ext uri="{FF2B5EF4-FFF2-40B4-BE49-F238E27FC236}">
              <a16:creationId xmlns:a16="http://schemas.microsoft.com/office/drawing/2014/main" id="{842D8604-108C-4FD1-B341-25228223FE4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0" name="Rectangle 3">
          <a:extLst>
            <a:ext uri="{FF2B5EF4-FFF2-40B4-BE49-F238E27FC236}">
              <a16:creationId xmlns:a16="http://schemas.microsoft.com/office/drawing/2014/main" id="{5AD8E87C-9DDA-4DF7-82DE-51034843CDA0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1" name="Rectangle 4">
          <a:extLst>
            <a:ext uri="{FF2B5EF4-FFF2-40B4-BE49-F238E27FC236}">
              <a16:creationId xmlns:a16="http://schemas.microsoft.com/office/drawing/2014/main" id="{1DA3EB69-FB94-4659-AA7B-642BA954AD5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2" name="Rectangle 5">
          <a:extLst>
            <a:ext uri="{FF2B5EF4-FFF2-40B4-BE49-F238E27FC236}">
              <a16:creationId xmlns:a16="http://schemas.microsoft.com/office/drawing/2014/main" id="{5630C6D5-B550-43FD-9565-6F3390EF0EA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3" name="Rectangle 6">
          <a:extLst>
            <a:ext uri="{FF2B5EF4-FFF2-40B4-BE49-F238E27FC236}">
              <a16:creationId xmlns:a16="http://schemas.microsoft.com/office/drawing/2014/main" id="{1C47BB97-3E6D-47E1-9B87-0C20ABA151EB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4" name="Rectangle 7">
          <a:extLst>
            <a:ext uri="{FF2B5EF4-FFF2-40B4-BE49-F238E27FC236}">
              <a16:creationId xmlns:a16="http://schemas.microsoft.com/office/drawing/2014/main" id="{6D7673DF-EEAF-4481-90F2-7CD36A6DAC1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5" name="Rectangle 8">
          <a:extLst>
            <a:ext uri="{FF2B5EF4-FFF2-40B4-BE49-F238E27FC236}">
              <a16:creationId xmlns:a16="http://schemas.microsoft.com/office/drawing/2014/main" id="{4E9504AA-F2A4-465D-848B-E6FC634F48C9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6" name="Rectangle 9">
          <a:extLst>
            <a:ext uri="{FF2B5EF4-FFF2-40B4-BE49-F238E27FC236}">
              <a16:creationId xmlns:a16="http://schemas.microsoft.com/office/drawing/2014/main" id="{9CA1F64B-846A-4FF3-B341-7942EB91F62D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7" name="Rectangle 10">
          <a:extLst>
            <a:ext uri="{FF2B5EF4-FFF2-40B4-BE49-F238E27FC236}">
              <a16:creationId xmlns:a16="http://schemas.microsoft.com/office/drawing/2014/main" id="{65CE701B-885B-4BC4-9646-BEA99E94FEF5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8" name="Rectangle 11">
          <a:extLst>
            <a:ext uri="{FF2B5EF4-FFF2-40B4-BE49-F238E27FC236}">
              <a16:creationId xmlns:a16="http://schemas.microsoft.com/office/drawing/2014/main" id="{B5F96A80-C5AF-42F3-BA6A-58C990592857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59" name="Rectangle 12">
          <a:extLst>
            <a:ext uri="{FF2B5EF4-FFF2-40B4-BE49-F238E27FC236}">
              <a16:creationId xmlns:a16="http://schemas.microsoft.com/office/drawing/2014/main" id="{45963070-66F3-4AAD-8461-C614244D015A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60" name="Rectangle 13">
          <a:extLst>
            <a:ext uri="{FF2B5EF4-FFF2-40B4-BE49-F238E27FC236}">
              <a16:creationId xmlns:a16="http://schemas.microsoft.com/office/drawing/2014/main" id="{A8B62111-6B43-4AD2-A177-76EFE9E72CEE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61" name="Rectangle 14">
          <a:extLst>
            <a:ext uri="{FF2B5EF4-FFF2-40B4-BE49-F238E27FC236}">
              <a16:creationId xmlns:a16="http://schemas.microsoft.com/office/drawing/2014/main" id="{4AF24247-C312-4C91-9C66-B7279AD3E56E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62" name="Rectangle 15">
          <a:extLst>
            <a:ext uri="{FF2B5EF4-FFF2-40B4-BE49-F238E27FC236}">
              <a16:creationId xmlns:a16="http://schemas.microsoft.com/office/drawing/2014/main" id="{86C46FFC-0CA3-4EB2-989A-C9D25DCF836F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363" name="Rectangle 16">
          <a:extLst>
            <a:ext uri="{FF2B5EF4-FFF2-40B4-BE49-F238E27FC236}">
              <a16:creationId xmlns:a16="http://schemas.microsoft.com/office/drawing/2014/main" id="{F8D05CE3-7317-4577-8CED-AE8D58D9E6A2}"/>
            </a:ext>
          </a:extLst>
        </xdr:cNvPr>
        <xdr:cNvSpPr>
          <a:spLocks noChangeArrowheads="1"/>
        </xdr:cNvSpPr>
      </xdr:nvSpPr>
      <xdr:spPr bwMode="auto">
        <a:xfrm>
          <a:off x="7143750" y="3448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95251</xdr:rowOff>
    </xdr:from>
    <xdr:to>
      <xdr:col>2</xdr:col>
      <xdr:colOff>15240</xdr:colOff>
      <xdr:row>7</xdr:row>
      <xdr:rowOff>97155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065D1E18-B2DB-4B2D-B552-40E9E365D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1"/>
          <a:ext cx="1447800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652058" name="Rectangle 1">
          <a:extLst>
            <a:ext uri="{FF2B5EF4-FFF2-40B4-BE49-F238E27FC236}">
              <a16:creationId xmlns:a16="http://schemas.microsoft.com/office/drawing/2014/main" id="{366A945D-054A-42C1-AB8F-8452BB4E105C}"/>
            </a:ext>
          </a:extLst>
        </xdr:cNvPr>
        <xdr:cNvSpPr>
          <a:spLocks noChangeArrowheads="1"/>
        </xdr:cNvSpPr>
      </xdr:nvSpPr>
      <xdr:spPr bwMode="auto">
        <a:xfrm>
          <a:off x="8220075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33618</xdr:colOff>
      <xdr:row>1</xdr:row>
      <xdr:rowOff>77339</xdr:rowOff>
    </xdr:from>
    <xdr:to>
      <xdr:col>0</xdr:col>
      <xdr:colOff>1311221</xdr:colOff>
      <xdr:row>6</xdr:row>
      <xdr:rowOff>133895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6BEE1447-7AAA-4F32-9D54-ECFC77DEB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79898"/>
          <a:ext cx="1273793" cy="1622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0</xdr:row>
      <xdr:rowOff>257959</xdr:rowOff>
    </xdr:from>
    <xdr:to>
      <xdr:col>1</xdr:col>
      <xdr:colOff>16136</xdr:colOff>
      <xdr:row>7</xdr:row>
      <xdr:rowOff>16279</xdr:rowOff>
    </xdr:to>
    <xdr:pic>
      <xdr:nvPicPr>
        <xdr:cNvPr id="652685" name="Picture 1">
          <a:extLst>
            <a:ext uri="{FF2B5EF4-FFF2-40B4-BE49-F238E27FC236}">
              <a16:creationId xmlns:a16="http://schemas.microsoft.com/office/drawing/2014/main" id="{51096E4B-D832-4431-B1C7-EE1970E12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57959"/>
          <a:ext cx="1579245" cy="197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52670</xdr:colOff>
      <xdr:row>1</xdr:row>
      <xdr:rowOff>97270</xdr:rowOff>
    </xdr:from>
    <xdr:to>
      <xdr:col>1</xdr:col>
      <xdr:colOff>670355</xdr:colOff>
      <xdr:row>6</xdr:row>
      <xdr:rowOff>250340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311B1C9C-2516-4639-96FB-1CD2602C3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0" y="399829"/>
          <a:ext cx="1346067" cy="1665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</xdr:rowOff>
    </xdr:from>
    <xdr:to>
      <xdr:col>0</xdr:col>
      <xdr:colOff>1350645</xdr:colOff>
      <xdr:row>6</xdr:row>
      <xdr:rowOff>228600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2CE2CA3B-35A7-47A2-ACF6-BFAC79DDD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4801"/>
          <a:ext cx="1314450" cy="175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1</xdr:row>
      <xdr:rowOff>33618</xdr:rowOff>
    </xdr:from>
    <xdr:to>
      <xdr:col>1</xdr:col>
      <xdr:colOff>436949</xdr:colOff>
      <xdr:row>7</xdr:row>
      <xdr:rowOff>16361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BB9EAACB-7505-401E-9920-AF1319EC5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0" y="336177"/>
          <a:ext cx="1445558" cy="1815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1</xdr:row>
      <xdr:rowOff>31713</xdr:rowOff>
    </xdr:from>
    <xdr:to>
      <xdr:col>1</xdr:col>
      <xdr:colOff>435998</xdr:colOff>
      <xdr:row>7</xdr:row>
      <xdr:rowOff>19439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2A0E31-FDA9-4352-8C7B-226FD09DC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9" y="333014"/>
          <a:ext cx="1461107" cy="1795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5988</xdr:rowOff>
    </xdr:from>
    <xdr:to>
      <xdr:col>0</xdr:col>
      <xdr:colOff>1408501</xdr:colOff>
      <xdr:row>6</xdr:row>
      <xdr:rowOff>205741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92A276DC-DE81-4DDF-95D2-BE4E49074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25088"/>
          <a:ext cx="1389451" cy="171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2461" name="Rectangle 1">
          <a:extLst>
            <a:ext uri="{FF2B5EF4-FFF2-40B4-BE49-F238E27FC236}">
              <a16:creationId xmlns:a16="http://schemas.microsoft.com/office/drawing/2014/main" id="{E877D093-4E1F-4964-BD26-DE20E59C4118}"/>
            </a:ext>
          </a:extLst>
        </xdr:cNvPr>
        <xdr:cNvSpPr>
          <a:spLocks noChangeArrowheads="1"/>
        </xdr:cNvSpPr>
      </xdr:nvSpPr>
      <xdr:spPr bwMode="auto">
        <a:xfrm>
          <a:off x="436245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2" name="Rectangle 2">
          <a:extLst>
            <a:ext uri="{FF2B5EF4-FFF2-40B4-BE49-F238E27FC236}">
              <a16:creationId xmlns:a16="http://schemas.microsoft.com/office/drawing/2014/main" id="{1FFD9934-B132-4CB5-AF00-8909455456DC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3" name="Rectangle 3">
          <a:extLst>
            <a:ext uri="{FF2B5EF4-FFF2-40B4-BE49-F238E27FC236}">
              <a16:creationId xmlns:a16="http://schemas.microsoft.com/office/drawing/2014/main" id="{0D520871-2364-4854-9389-ACDF05A7418B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4" name="Rectangle 4">
          <a:extLst>
            <a:ext uri="{FF2B5EF4-FFF2-40B4-BE49-F238E27FC236}">
              <a16:creationId xmlns:a16="http://schemas.microsoft.com/office/drawing/2014/main" id="{7B04B4C4-936D-453A-8E25-CAFBFAB65CF1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5" name="Rectangle 5">
          <a:extLst>
            <a:ext uri="{FF2B5EF4-FFF2-40B4-BE49-F238E27FC236}">
              <a16:creationId xmlns:a16="http://schemas.microsoft.com/office/drawing/2014/main" id="{FA897065-AAF7-4AC6-839B-159CF690A88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6" name="Rectangle 6">
          <a:extLst>
            <a:ext uri="{FF2B5EF4-FFF2-40B4-BE49-F238E27FC236}">
              <a16:creationId xmlns:a16="http://schemas.microsoft.com/office/drawing/2014/main" id="{33A19F17-EE8D-4CA4-B44A-275B6C551A9D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7" name="Rectangle 7">
          <a:extLst>
            <a:ext uri="{FF2B5EF4-FFF2-40B4-BE49-F238E27FC236}">
              <a16:creationId xmlns:a16="http://schemas.microsoft.com/office/drawing/2014/main" id="{2CF6E784-178E-4A23-B73F-B11077AAD23F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8" name="Rectangle 8">
          <a:extLst>
            <a:ext uri="{FF2B5EF4-FFF2-40B4-BE49-F238E27FC236}">
              <a16:creationId xmlns:a16="http://schemas.microsoft.com/office/drawing/2014/main" id="{B48E3C76-A889-488C-A5BF-68689B5EC731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9" name="Rectangle 9">
          <a:extLst>
            <a:ext uri="{FF2B5EF4-FFF2-40B4-BE49-F238E27FC236}">
              <a16:creationId xmlns:a16="http://schemas.microsoft.com/office/drawing/2014/main" id="{042B6F86-F75F-44BA-A166-439B460B99F4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0" name="Rectangle 10">
          <a:extLst>
            <a:ext uri="{FF2B5EF4-FFF2-40B4-BE49-F238E27FC236}">
              <a16:creationId xmlns:a16="http://schemas.microsoft.com/office/drawing/2014/main" id="{59D50B27-8A65-4D72-8597-253AA01073DE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1" name="Rectangle 11">
          <a:extLst>
            <a:ext uri="{FF2B5EF4-FFF2-40B4-BE49-F238E27FC236}">
              <a16:creationId xmlns:a16="http://schemas.microsoft.com/office/drawing/2014/main" id="{8283220E-A603-4FE5-AEBA-033D6C764A15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2" name="Rectangle 12">
          <a:extLst>
            <a:ext uri="{FF2B5EF4-FFF2-40B4-BE49-F238E27FC236}">
              <a16:creationId xmlns:a16="http://schemas.microsoft.com/office/drawing/2014/main" id="{33C9ED3C-3745-4C03-B442-3622B4E9E00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3" name="Rectangle 13">
          <a:extLst>
            <a:ext uri="{FF2B5EF4-FFF2-40B4-BE49-F238E27FC236}">
              <a16:creationId xmlns:a16="http://schemas.microsoft.com/office/drawing/2014/main" id="{6171348F-C5A0-488C-A87A-C42F4A8353BA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4" name="Rectangle 14">
          <a:extLst>
            <a:ext uri="{FF2B5EF4-FFF2-40B4-BE49-F238E27FC236}">
              <a16:creationId xmlns:a16="http://schemas.microsoft.com/office/drawing/2014/main" id="{9E739AC9-D0B5-49A0-A488-2381C54D8EA7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5" name="Rectangle 15">
          <a:extLst>
            <a:ext uri="{FF2B5EF4-FFF2-40B4-BE49-F238E27FC236}">
              <a16:creationId xmlns:a16="http://schemas.microsoft.com/office/drawing/2014/main" id="{8487EA80-2D59-416E-8A50-37EF20A9AF3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6" name="Rectangle 16">
          <a:extLst>
            <a:ext uri="{FF2B5EF4-FFF2-40B4-BE49-F238E27FC236}">
              <a16:creationId xmlns:a16="http://schemas.microsoft.com/office/drawing/2014/main" id="{9A9304AB-BC6B-4811-8D70-D606C201C581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2477" name="Picture 34">
          <a:extLst>
            <a:ext uri="{FF2B5EF4-FFF2-40B4-BE49-F238E27FC236}">
              <a16:creationId xmlns:a16="http://schemas.microsoft.com/office/drawing/2014/main" id="{08AA57B9-3E46-4853-9625-9512DAC1A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67581" name="Rectangle 1">
          <a:extLst>
            <a:ext uri="{FF2B5EF4-FFF2-40B4-BE49-F238E27FC236}">
              <a16:creationId xmlns:a16="http://schemas.microsoft.com/office/drawing/2014/main" id="{93D1D9F3-465C-4AAB-9289-FF7F3A1F3B09}"/>
            </a:ext>
          </a:extLst>
        </xdr:cNvPr>
        <xdr:cNvSpPr>
          <a:spLocks noChangeArrowheads="1"/>
        </xdr:cNvSpPr>
      </xdr:nvSpPr>
      <xdr:spPr bwMode="auto">
        <a:xfrm>
          <a:off x="7019925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2" name="Rectangle 2">
          <a:extLst>
            <a:ext uri="{FF2B5EF4-FFF2-40B4-BE49-F238E27FC236}">
              <a16:creationId xmlns:a16="http://schemas.microsoft.com/office/drawing/2014/main" id="{98B6C029-0D2C-4279-BF34-222A97795EB1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3" name="Rectangle 3">
          <a:extLst>
            <a:ext uri="{FF2B5EF4-FFF2-40B4-BE49-F238E27FC236}">
              <a16:creationId xmlns:a16="http://schemas.microsoft.com/office/drawing/2014/main" id="{8CFAC003-4E9B-4F3D-93CD-5BB8216EF40A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4" name="Rectangle 4">
          <a:extLst>
            <a:ext uri="{FF2B5EF4-FFF2-40B4-BE49-F238E27FC236}">
              <a16:creationId xmlns:a16="http://schemas.microsoft.com/office/drawing/2014/main" id="{86536929-EA8D-41A2-96C0-58AAFD4ED111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5" name="Rectangle 5">
          <a:extLst>
            <a:ext uri="{FF2B5EF4-FFF2-40B4-BE49-F238E27FC236}">
              <a16:creationId xmlns:a16="http://schemas.microsoft.com/office/drawing/2014/main" id="{A6FC2D7B-355A-4BAE-AFE8-316EE855AAE8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6" name="Rectangle 6">
          <a:extLst>
            <a:ext uri="{FF2B5EF4-FFF2-40B4-BE49-F238E27FC236}">
              <a16:creationId xmlns:a16="http://schemas.microsoft.com/office/drawing/2014/main" id="{FDB7E7C7-325D-4D30-AA1C-5F2859C1FBFC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7" name="Rectangle 7">
          <a:extLst>
            <a:ext uri="{FF2B5EF4-FFF2-40B4-BE49-F238E27FC236}">
              <a16:creationId xmlns:a16="http://schemas.microsoft.com/office/drawing/2014/main" id="{1E2958C8-C2D5-4D67-B76A-2CDB8E241105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8" name="Rectangle 8">
          <a:extLst>
            <a:ext uri="{FF2B5EF4-FFF2-40B4-BE49-F238E27FC236}">
              <a16:creationId xmlns:a16="http://schemas.microsoft.com/office/drawing/2014/main" id="{0CF5F9EF-8624-44F6-880A-FD81BC5CC67C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89" name="Rectangle 9">
          <a:extLst>
            <a:ext uri="{FF2B5EF4-FFF2-40B4-BE49-F238E27FC236}">
              <a16:creationId xmlns:a16="http://schemas.microsoft.com/office/drawing/2014/main" id="{65032DE9-A307-4ABE-AFD1-F23C99B7388E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0" name="Rectangle 10">
          <a:extLst>
            <a:ext uri="{FF2B5EF4-FFF2-40B4-BE49-F238E27FC236}">
              <a16:creationId xmlns:a16="http://schemas.microsoft.com/office/drawing/2014/main" id="{6C183B41-905D-4D80-83CE-2FB314531460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1" name="Rectangle 11">
          <a:extLst>
            <a:ext uri="{FF2B5EF4-FFF2-40B4-BE49-F238E27FC236}">
              <a16:creationId xmlns:a16="http://schemas.microsoft.com/office/drawing/2014/main" id="{B17E3259-92A1-4824-9E91-3A793D9449A6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2" name="Rectangle 12">
          <a:extLst>
            <a:ext uri="{FF2B5EF4-FFF2-40B4-BE49-F238E27FC236}">
              <a16:creationId xmlns:a16="http://schemas.microsoft.com/office/drawing/2014/main" id="{696188F1-BB56-4F95-A1FA-37119C744446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3" name="Rectangle 13">
          <a:extLst>
            <a:ext uri="{FF2B5EF4-FFF2-40B4-BE49-F238E27FC236}">
              <a16:creationId xmlns:a16="http://schemas.microsoft.com/office/drawing/2014/main" id="{9580772C-287C-4CAF-B20B-79063156F532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4" name="Rectangle 14">
          <a:extLst>
            <a:ext uri="{FF2B5EF4-FFF2-40B4-BE49-F238E27FC236}">
              <a16:creationId xmlns:a16="http://schemas.microsoft.com/office/drawing/2014/main" id="{BCA7106D-0C10-43E7-9942-102356421F5C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5" name="Rectangle 15">
          <a:extLst>
            <a:ext uri="{FF2B5EF4-FFF2-40B4-BE49-F238E27FC236}">
              <a16:creationId xmlns:a16="http://schemas.microsoft.com/office/drawing/2014/main" id="{8F81A1F2-BDDC-4A83-8146-2D4BCFDCC7B5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767596" name="Rectangle 16">
          <a:extLst>
            <a:ext uri="{FF2B5EF4-FFF2-40B4-BE49-F238E27FC236}">
              <a16:creationId xmlns:a16="http://schemas.microsoft.com/office/drawing/2014/main" id="{89965D08-9487-4B5C-9541-FCB1674C4C40}"/>
            </a:ext>
          </a:extLst>
        </xdr:cNvPr>
        <xdr:cNvSpPr>
          <a:spLocks noChangeArrowheads="1"/>
        </xdr:cNvSpPr>
      </xdr:nvSpPr>
      <xdr:spPr bwMode="auto">
        <a:xfrm>
          <a:off x="7019925" y="365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33620</xdr:colOff>
      <xdr:row>0</xdr:row>
      <xdr:rowOff>394111</xdr:rowOff>
    </xdr:from>
    <xdr:to>
      <xdr:col>1</xdr:col>
      <xdr:colOff>554917</xdr:colOff>
      <xdr:row>6</xdr:row>
      <xdr:rowOff>282218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7F8BC871-6058-4098-9C4C-D0DE307B0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0" y="394111"/>
          <a:ext cx="1501924" cy="1804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0A6BCE7-EA59-4EBC-9D0A-9D20F8E221C9}"/>
            </a:ext>
          </a:extLst>
        </xdr:cNvPr>
        <xdr:cNvSpPr>
          <a:spLocks noChangeArrowheads="1"/>
        </xdr:cNvSpPr>
      </xdr:nvSpPr>
      <xdr:spPr bwMode="auto">
        <a:xfrm>
          <a:off x="6457950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A4ECD9D-3A07-4B80-AD4D-DBF9029F06CE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97B1EFE-DE6F-4C71-BD96-01EFBB1D6DDA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ADE4C5-703C-4765-92C1-81FCC89BC620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F62D09-C11B-4961-9E47-FCDB7C585C30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9717C0F-3081-4324-BE8B-4FEF25AFA1C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07D98B4-0C52-4C83-815F-BF57318D8861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4758E0C-0915-4E7C-B4BE-28EF03122E17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4B2ED92-4807-4D22-9BB9-59A85FA69F36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1E5D4C93-0435-44CF-82AA-BB517581ACC9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FA09E665-D296-460C-A5C5-4D850BF4175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7EC85A56-F7C3-4DCF-BFEC-12C520D0720B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6E94B19D-A240-4DA9-A404-D24A710331FB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7DE3974-89A3-4FA7-9977-4A41CBE6186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CA017E43-090D-4F19-B212-734B205A1D89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8C9F4CB0-17B4-44AA-B704-6E883069E93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5639ED3B-D5C3-400F-B8F7-074B5CAABB19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CBA1F794-31E8-4E10-8D6F-5A643359E0DB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75B63BFB-9A08-4856-8BBA-614E82C11928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1" name="Rectangle 5">
          <a:extLst>
            <a:ext uri="{FF2B5EF4-FFF2-40B4-BE49-F238E27FC236}">
              <a16:creationId xmlns:a16="http://schemas.microsoft.com/office/drawing/2014/main" id="{69AFEE03-0E75-409E-B96C-F70A07C3A9B1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2" name="Rectangle 6">
          <a:extLst>
            <a:ext uri="{FF2B5EF4-FFF2-40B4-BE49-F238E27FC236}">
              <a16:creationId xmlns:a16="http://schemas.microsoft.com/office/drawing/2014/main" id="{2A9A52AB-E266-4E6C-AF53-DAE3BAC292C6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3" name="Rectangle 7">
          <a:extLst>
            <a:ext uri="{FF2B5EF4-FFF2-40B4-BE49-F238E27FC236}">
              <a16:creationId xmlns:a16="http://schemas.microsoft.com/office/drawing/2014/main" id="{E5FA4D04-ACA2-4A12-AB94-F83593585E99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4" name="Rectangle 8">
          <a:extLst>
            <a:ext uri="{FF2B5EF4-FFF2-40B4-BE49-F238E27FC236}">
              <a16:creationId xmlns:a16="http://schemas.microsoft.com/office/drawing/2014/main" id="{504C9785-DC9B-486F-B448-3913B8D100D5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8AAB75AD-FFB2-4B7A-81F0-DD258B22D252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" name="Rectangle 10">
          <a:extLst>
            <a:ext uri="{FF2B5EF4-FFF2-40B4-BE49-F238E27FC236}">
              <a16:creationId xmlns:a16="http://schemas.microsoft.com/office/drawing/2014/main" id="{A5E45B93-9B54-4FFE-82AD-5D83F5364323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7" name="Rectangle 11">
          <a:extLst>
            <a:ext uri="{FF2B5EF4-FFF2-40B4-BE49-F238E27FC236}">
              <a16:creationId xmlns:a16="http://schemas.microsoft.com/office/drawing/2014/main" id="{8CD62DBA-897E-46E4-B603-7BBB84A23CA3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8" name="Rectangle 12">
          <a:extLst>
            <a:ext uri="{FF2B5EF4-FFF2-40B4-BE49-F238E27FC236}">
              <a16:creationId xmlns:a16="http://schemas.microsoft.com/office/drawing/2014/main" id="{5F93F31C-4CA6-4E74-B018-EDB4DA1DDDA3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9" name="Rectangle 13">
          <a:extLst>
            <a:ext uri="{FF2B5EF4-FFF2-40B4-BE49-F238E27FC236}">
              <a16:creationId xmlns:a16="http://schemas.microsoft.com/office/drawing/2014/main" id="{E6026A13-19D2-4D83-9B1A-BEDE478B3B7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0" name="Rectangle 14">
          <a:extLst>
            <a:ext uri="{FF2B5EF4-FFF2-40B4-BE49-F238E27FC236}">
              <a16:creationId xmlns:a16="http://schemas.microsoft.com/office/drawing/2014/main" id="{3AD7975B-737D-4497-9ACB-99825D039435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2B9E4964-5710-409D-8DD9-C360675D2C8B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35A9E0FA-0777-4F08-BA0B-38FE8BD28502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2F89623C-36A2-4A3A-8A3D-5CA2396CD482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C9E33811-B24A-4842-B2F1-B31F2346F961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80C98A41-4A06-4FD0-9C9F-6B1E733B1728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91E9B58F-359B-4122-8318-F1629EDB42DB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D1D90D47-3C9B-47C4-B0D2-8504CDDA096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EC2F2CA3-8794-41C5-9EFB-247F87BF533C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BD05FCF6-1028-4A46-828E-FF55EDFD15C0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5A73EF1C-ED9F-4436-986B-446B5E36E7CD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DC358C91-8ED6-4573-B7F8-E6573E10312C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4402A1B9-71E2-408B-814E-B927E6EBF004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BEB7D1B5-0FEF-4950-8170-605254523B5D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AB9F0F41-2627-4008-AF5A-D2699CEFD692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6DC1B2D2-1535-4A77-99B3-676E23BE08C8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9F1F4C32-AE6B-4E64-B4BF-08F8472FC8CC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BE1A774F-73D0-49EB-8CDA-EB4109DB636F}"/>
            </a:ext>
          </a:extLst>
        </xdr:cNvPr>
        <xdr:cNvSpPr>
          <a:spLocks noChangeArrowheads="1"/>
        </xdr:cNvSpPr>
      </xdr:nvSpPr>
      <xdr:spPr bwMode="auto">
        <a:xfrm>
          <a:off x="6457950" y="1355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A452D08A-6468-4560-AD4D-2E1038FFAC6F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1B5064BB-40E2-40B6-B2DC-031418FBF59E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4CC0DF37-87C3-405A-B66E-057EDB3C13CB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59E9A89A-544D-4A9D-B78B-68746879FC60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E95B42E6-D52E-459E-A08F-66C1C4230996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BF4F7172-ABD7-4326-B9EC-D6F5949E5B01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7B2A499F-7801-4129-BEA5-C4654A67321C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F575CD47-836A-4FF5-BD62-5186557B85D0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D2279EA4-C332-4B49-90AF-C07091180E30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6942E1C2-B936-4499-81C9-D71F3DE8EBDC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73C1EB84-52F6-421B-8092-8E51CC46D073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1B47BC30-4B35-4A63-9ADA-4150C40241EB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62845315-C0FF-4428-9537-D3615A3B1A08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F626B2BD-45EA-4752-ADA7-E1490B4124DE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94D04FE9-849B-4F6E-B3F1-463B29E3944C}"/>
            </a:ext>
          </a:extLst>
        </xdr:cNvPr>
        <xdr:cNvSpPr>
          <a:spLocks noChangeArrowheads="1"/>
        </xdr:cNvSpPr>
      </xdr:nvSpPr>
      <xdr:spPr bwMode="auto">
        <a:xfrm>
          <a:off x="6457950" y="10807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DD095277-B7CC-42D9-8A70-00D6752F59B1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4" name="Rectangle 3">
          <a:extLst>
            <a:ext uri="{FF2B5EF4-FFF2-40B4-BE49-F238E27FC236}">
              <a16:creationId xmlns:a16="http://schemas.microsoft.com/office/drawing/2014/main" id="{12FC947A-6CC8-495D-B0E2-435C9EB69571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5" name="Rectangle 4">
          <a:extLst>
            <a:ext uri="{FF2B5EF4-FFF2-40B4-BE49-F238E27FC236}">
              <a16:creationId xmlns:a16="http://schemas.microsoft.com/office/drawing/2014/main" id="{31934BFA-E311-4E76-8456-A4B106150EE9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6" name="Rectangle 5">
          <a:extLst>
            <a:ext uri="{FF2B5EF4-FFF2-40B4-BE49-F238E27FC236}">
              <a16:creationId xmlns:a16="http://schemas.microsoft.com/office/drawing/2014/main" id="{53323332-E948-4E4B-AACA-18E03E07086F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7" name="Rectangle 6">
          <a:extLst>
            <a:ext uri="{FF2B5EF4-FFF2-40B4-BE49-F238E27FC236}">
              <a16:creationId xmlns:a16="http://schemas.microsoft.com/office/drawing/2014/main" id="{07065FE0-75B8-42D4-8587-F28F36EFC535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8" name="Rectangle 7">
          <a:extLst>
            <a:ext uri="{FF2B5EF4-FFF2-40B4-BE49-F238E27FC236}">
              <a16:creationId xmlns:a16="http://schemas.microsoft.com/office/drawing/2014/main" id="{3717FBBC-B2E7-4BD4-A6FC-63B66FD690A0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69" name="Rectangle 8">
          <a:extLst>
            <a:ext uri="{FF2B5EF4-FFF2-40B4-BE49-F238E27FC236}">
              <a16:creationId xmlns:a16="http://schemas.microsoft.com/office/drawing/2014/main" id="{6C48F301-BF0F-4532-BC26-B68E057036AD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0" name="Rectangle 9">
          <a:extLst>
            <a:ext uri="{FF2B5EF4-FFF2-40B4-BE49-F238E27FC236}">
              <a16:creationId xmlns:a16="http://schemas.microsoft.com/office/drawing/2014/main" id="{4CA0BCA4-2271-42B0-9DA7-626D6F69D403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1" name="Rectangle 10">
          <a:extLst>
            <a:ext uri="{FF2B5EF4-FFF2-40B4-BE49-F238E27FC236}">
              <a16:creationId xmlns:a16="http://schemas.microsoft.com/office/drawing/2014/main" id="{D27686FF-94F6-4FE2-9C2A-8FEA4A164EDB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2" name="Rectangle 11">
          <a:extLst>
            <a:ext uri="{FF2B5EF4-FFF2-40B4-BE49-F238E27FC236}">
              <a16:creationId xmlns:a16="http://schemas.microsoft.com/office/drawing/2014/main" id="{37FED0F7-818C-4195-A2AD-BA72CBC98682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3" name="Rectangle 12">
          <a:extLst>
            <a:ext uri="{FF2B5EF4-FFF2-40B4-BE49-F238E27FC236}">
              <a16:creationId xmlns:a16="http://schemas.microsoft.com/office/drawing/2014/main" id="{29468ABE-43D3-47F6-B9B5-A975B53E2B82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4" name="Rectangle 13">
          <a:extLst>
            <a:ext uri="{FF2B5EF4-FFF2-40B4-BE49-F238E27FC236}">
              <a16:creationId xmlns:a16="http://schemas.microsoft.com/office/drawing/2014/main" id="{8E6171EE-B89D-42D9-A9FD-B67D3E442A0B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5" name="Rectangle 14">
          <a:extLst>
            <a:ext uri="{FF2B5EF4-FFF2-40B4-BE49-F238E27FC236}">
              <a16:creationId xmlns:a16="http://schemas.microsoft.com/office/drawing/2014/main" id="{6065C987-1185-43D2-B8A3-5742DFFFC0EA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6" name="Rectangle 15">
          <a:extLst>
            <a:ext uri="{FF2B5EF4-FFF2-40B4-BE49-F238E27FC236}">
              <a16:creationId xmlns:a16="http://schemas.microsoft.com/office/drawing/2014/main" id="{22A80641-4D27-410F-9FDD-22E1D1C124E7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20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7" name="Rectangle 16">
          <a:extLst>
            <a:ext uri="{FF2B5EF4-FFF2-40B4-BE49-F238E27FC236}">
              <a16:creationId xmlns:a16="http://schemas.microsoft.com/office/drawing/2014/main" id="{CCCF9C13-E10A-4253-9932-71E2E8C8B6D0}"/>
            </a:ext>
          </a:extLst>
        </xdr:cNvPr>
        <xdr:cNvSpPr>
          <a:spLocks noChangeArrowheads="1"/>
        </xdr:cNvSpPr>
      </xdr:nvSpPr>
      <xdr:spPr bwMode="auto">
        <a:xfrm>
          <a:off x="6457950" y="6705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78" name="Rectangle 2">
          <a:extLst>
            <a:ext uri="{FF2B5EF4-FFF2-40B4-BE49-F238E27FC236}">
              <a16:creationId xmlns:a16="http://schemas.microsoft.com/office/drawing/2014/main" id="{EC56E82E-2A3D-4FAB-BBC1-21205F00066B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79" name="Rectangle 3">
          <a:extLst>
            <a:ext uri="{FF2B5EF4-FFF2-40B4-BE49-F238E27FC236}">
              <a16:creationId xmlns:a16="http://schemas.microsoft.com/office/drawing/2014/main" id="{243694E7-45E3-4995-BAE0-15DC73438096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0" name="Rectangle 4">
          <a:extLst>
            <a:ext uri="{FF2B5EF4-FFF2-40B4-BE49-F238E27FC236}">
              <a16:creationId xmlns:a16="http://schemas.microsoft.com/office/drawing/2014/main" id="{A1A4776C-A23A-4D8F-8B66-03297332C662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1" name="Rectangle 5">
          <a:extLst>
            <a:ext uri="{FF2B5EF4-FFF2-40B4-BE49-F238E27FC236}">
              <a16:creationId xmlns:a16="http://schemas.microsoft.com/office/drawing/2014/main" id="{9CF50767-5C74-44E7-9359-0305091319D7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2" name="Rectangle 6">
          <a:extLst>
            <a:ext uri="{FF2B5EF4-FFF2-40B4-BE49-F238E27FC236}">
              <a16:creationId xmlns:a16="http://schemas.microsoft.com/office/drawing/2014/main" id="{F2CAAE25-AC2A-4C70-BF73-E92348FA68AC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3" name="Rectangle 7">
          <a:extLst>
            <a:ext uri="{FF2B5EF4-FFF2-40B4-BE49-F238E27FC236}">
              <a16:creationId xmlns:a16="http://schemas.microsoft.com/office/drawing/2014/main" id="{C3BDF422-237D-4732-A17B-C97705CD74B3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84A5DD27-3C59-46D5-ADD1-70D393602E50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5" name="Rectangle 9">
          <a:extLst>
            <a:ext uri="{FF2B5EF4-FFF2-40B4-BE49-F238E27FC236}">
              <a16:creationId xmlns:a16="http://schemas.microsoft.com/office/drawing/2014/main" id="{C0176666-B56F-4C87-B905-6E7527062A28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6" name="Rectangle 10">
          <a:extLst>
            <a:ext uri="{FF2B5EF4-FFF2-40B4-BE49-F238E27FC236}">
              <a16:creationId xmlns:a16="http://schemas.microsoft.com/office/drawing/2014/main" id="{C4CC1124-A4F7-41A9-A9B1-874E30D0BC9D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7" name="Rectangle 11">
          <a:extLst>
            <a:ext uri="{FF2B5EF4-FFF2-40B4-BE49-F238E27FC236}">
              <a16:creationId xmlns:a16="http://schemas.microsoft.com/office/drawing/2014/main" id="{2C7F49BD-4B75-4968-B23D-E31A21952A24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8" name="Rectangle 12">
          <a:extLst>
            <a:ext uri="{FF2B5EF4-FFF2-40B4-BE49-F238E27FC236}">
              <a16:creationId xmlns:a16="http://schemas.microsoft.com/office/drawing/2014/main" id="{630BFE17-1D71-489F-8452-DAC3FE1A7BA4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9" name="Rectangle 13">
          <a:extLst>
            <a:ext uri="{FF2B5EF4-FFF2-40B4-BE49-F238E27FC236}">
              <a16:creationId xmlns:a16="http://schemas.microsoft.com/office/drawing/2014/main" id="{B3D1C14E-86BF-4595-A653-5D22502A48D2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90" name="Rectangle 14">
          <a:extLst>
            <a:ext uri="{FF2B5EF4-FFF2-40B4-BE49-F238E27FC236}">
              <a16:creationId xmlns:a16="http://schemas.microsoft.com/office/drawing/2014/main" id="{CD62B7EA-BDFE-4E38-BC0E-FE52CE43927E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91" name="Rectangle 15">
          <a:extLst>
            <a:ext uri="{FF2B5EF4-FFF2-40B4-BE49-F238E27FC236}">
              <a16:creationId xmlns:a16="http://schemas.microsoft.com/office/drawing/2014/main" id="{B9AB99D1-53E6-4526-9681-D13B8C269DA1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92" name="Rectangle 16">
          <a:extLst>
            <a:ext uri="{FF2B5EF4-FFF2-40B4-BE49-F238E27FC236}">
              <a16:creationId xmlns:a16="http://schemas.microsoft.com/office/drawing/2014/main" id="{C94A1F16-0A42-4968-847D-0B96A39ACF17}"/>
            </a:ext>
          </a:extLst>
        </xdr:cNvPr>
        <xdr:cNvSpPr>
          <a:spLocks noChangeArrowheads="1"/>
        </xdr:cNvSpPr>
      </xdr:nvSpPr>
      <xdr:spPr bwMode="auto">
        <a:xfrm>
          <a:off x="6457950" y="5486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3" name="Rectangle 2">
          <a:extLst>
            <a:ext uri="{FF2B5EF4-FFF2-40B4-BE49-F238E27FC236}">
              <a16:creationId xmlns:a16="http://schemas.microsoft.com/office/drawing/2014/main" id="{2A21B5ED-CBE3-4907-9714-4EA0A5CB5CFF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4" name="Rectangle 3">
          <a:extLst>
            <a:ext uri="{FF2B5EF4-FFF2-40B4-BE49-F238E27FC236}">
              <a16:creationId xmlns:a16="http://schemas.microsoft.com/office/drawing/2014/main" id="{C39617DA-E87E-4617-88B3-289477A67783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5" name="Rectangle 4">
          <a:extLst>
            <a:ext uri="{FF2B5EF4-FFF2-40B4-BE49-F238E27FC236}">
              <a16:creationId xmlns:a16="http://schemas.microsoft.com/office/drawing/2014/main" id="{A19221AB-B0F5-4871-AE0F-9C878E5723BE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6" name="Rectangle 5">
          <a:extLst>
            <a:ext uri="{FF2B5EF4-FFF2-40B4-BE49-F238E27FC236}">
              <a16:creationId xmlns:a16="http://schemas.microsoft.com/office/drawing/2014/main" id="{81B7B118-F5CF-4C44-B1CE-BFA952E9904D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7" name="Rectangle 6">
          <a:extLst>
            <a:ext uri="{FF2B5EF4-FFF2-40B4-BE49-F238E27FC236}">
              <a16:creationId xmlns:a16="http://schemas.microsoft.com/office/drawing/2014/main" id="{698D715C-A0E7-4985-96DA-4B92E4E9BF34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429BC497-0996-45CD-9D8D-599EA61722B6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3C0A4C56-D43D-469D-A847-EB4171E1EC37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08B1C88B-EAAA-4EFC-B7E2-E75F0A187EC6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1" name="Rectangle 10">
          <a:extLst>
            <a:ext uri="{FF2B5EF4-FFF2-40B4-BE49-F238E27FC236}">
              <a16:creationId xmlns:a16="http://schemas.microsoft.com/office/drawing/2014/main" id="{50FE7153-EC0C-49EE-98CD-C149D364F88C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2" name="Rectangle 11">
          <a:extLst>
            <a:ext uri="{FF2B5EF4-FFF2-40B4-BE49-F238E27FC236}">
              <a16:creationId xmlns:a16="http://schemas.microsoft.com/office/drawing/2014/main" id="{B730227C-5D1C-42DF-896D-AB9F417D47BA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3" name="Rectangle 12">
          <a:extLst>
            <a:ext uri="{FF2B5EF4-FFF2-40B4-BE49-F238E27FC236}">
              <a16:creationId xmlns:a16="http://schemas.microsoft.com/office/drawing/2014/main" id="{068B04A1-7AAF-4FFC-AF76-EA1DF7701167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4" name="Rectangle 13">
          <a:extLst>
            <a:ext uri="{FF2B5EF4-FFF2-40B4-BE49-F238E27FC236}">
              <a16:creationId xmlns:a16="http://schemas.microsoft.com/office/drawing/2014/main" id="{7F6FD9F3-683A-4841-BF4F-2EF1502A8A7F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5" name="Rectangle 14">
          <a:extLst>
            <a:ext uri="{FF2B5EF4-FFF2-40B4-BE49-F238E27FC236}">
              <a16:creationId xmlns:a16="http://schemas.microsoft.com/office/drawing/2014/main" id="{011BCB00-0410-4E03-A549-9DBDB6CA169E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6" name="Rectangle 15">
          <a:extLst>
            <a:ext uri="{FF2B5EF4-FFF2-40B4-BE49-F238E27FC236}">
              <a16:creationId xmlns:a16="http://schemas.microsoft.com/office/drawing/2014/main" id="{F4B351BC-A97D-43C1-8A5B-43EC86F03FDC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107" name="Rectangle 16">
          <a:extLst>
            <a:ext uri="{FF2B5EF4-FFF2-40B4-BE49-F238E27FC236}">
              <a16:creationId xmlns:a16="http://schemas.microsoft.com/office/drawing/2014/main" id="{6E6FBB67-7F45-448A-BFCF-277831EC6C7E}"/>
            </a:ext>
          </a:extLst>
        </xdr:cNvPr>
        <xdr:cNvSpPr>
          <a:spLocks noChangeArrowheads="1"/>
        </xdr:cNvSpPr>
      </xdr:nvSpPr>
      <xdr:spPr bwMode="auto">
        <a:xfrm>
          <a:off x="6457950" y="13246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08" name="Rectangle 2">
          <a:extLst>
            <a:ext uri="{FF2B5EF4-FFF2-40B4-BE49-F238E27FC236}">
              <a16:creationId xmlns:a16="http://schemas.microsoft.com/office/drawing/2014/main" id="{274EA90E-A853-4280-AC74-06DC121B8523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09" name="Rectangle 3">
          <a:extLst>
            <a:ext uri="{FF2B5EF4-FFF2-40B4-BE49-F238E27FC236}">
              <a16:creationId xmlns:a16="http://schemas.microsoft.com/office/drawing/2014/main" id="{27535D5A-11B9-4A2A-A1CE-0050ED033BDA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0" name="Rectangle 4">
          <a:extLst>
            <a:ext uri="{FF2B5EF4-FFF2-40B4-BE49-F238E27FC236}">
              <a16:creationId xmlns:a16="http://schemas.microsoft.com/office/drawing/2014/main" id="{4D1174AA-4AFF-459F-ACDA-5058FC5C79BC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1" name="Rectangle 5">
          <a:extLst>
            <a:ext uri="{FF2B5EF4-FFF2-40B4-BE49-F238E27FC236}">
              <a16:creationId xmlns:a16="http://schemas.microsoft.com/office/drawing/2014/main" id="{1C4D248D-7139-4087-B8E7-A9C674AE1F28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2" name="Rectangle 6">
          <a:extLst>
            <a:ext uri="{FF2B5EF4-FFF2-40B4-BE49-F238E27FC236}">
              <a16:creationId xmlns:a16="http://schemas.microsoft.com/office/drawing/2014/main" id="{6632EF11-B296-46BD-8629-28F0DB6AA8E8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3" name="Rectangle 7">
          <a:extLst>
            <a:ext uri="{FF2B5EF4-FFF2-40B4-BE49-F238E27FC236}">
              <a16:creationId xmlns:a16="http://schemas.microsoft.com/office/drawing/2014/main" id="{6A202294-FE8B-472D-970F-B4D7BDCACC0D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4" name="Rectangle 8">
          <a:extLst>
            <a:ext uri="{FF2B5EF4-FFF2-40B4-BE49-F238E27FC236}">
              <a16:creationId xmlns:a16="http://schemas.microsoft.com/office/drawing/2014/main" id="{5908492F-8932-4C75-AC77-2F85B7A2E6CF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5" name="Rectangle 9">
          <a:extLst>
            <a:ext uri="{FF2B5EF4-FFF2-40B4-BE49-F238E27FC236}">
              <a16:creationId xmlns:a16="http://schemas.microsoft.com/office/drawing/2014/main" id="{E5AB5168-C23D-4BB7-A266-192F9909D10F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6" name="Rectangle 10">
          <a:extLst>
            <a:ext uri="{FF2B5EF4-FFF2-40B4-BE49-F238E27FC236}">
              <a16:creationId xmlns:a16="http://schemas.microsoft.com/office/drawing/2014/main" id="{FA30C6EC-51B3-4E2D-AA8B-10D5DAEEF693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7" name="Rectangle 11">
          <a:extLst>
            <a:ext uri="{FF2B5EF4-FFF2-40B4-BE49-F238E27FC236}">
              <a16:creationId xmlns:a16="http://schemas.microsoft.com/office/drawing/2014/main" id="{51D8829E-9AD5-4FD7-9ACB-375E8CEAC537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8" name="Rectangle 12">
          <a:extLst>
            <a:ext uri="{FF2B5EF4-FFF2-40B4-BE49-F238E27FC236}">
              <a16:creationId xmlns:a16="http://schemas.microsoft.com/office/drawing/2014/main" id="{83D98362-C74A-4D79-B39D-B532938DC199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19" name="Rectangle 13">
          <a:extLst>
            <a:ext uri="{FF2B5EF4-FFF2-40B4-BE49-F238E27FC236}">
              <a16:creationId xmlns:a16="http://schemas.microsoft.com/office/drawing/2014/main" id="{7F9958EC-7863-4068-B496-873DEE001F1D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20" name="Rectangle 14">
          <a:extLst>
            <a:ext uri="{FF2B5EF4-FFF2-40B4-BE49-F238E27FC236}">
              <a16:creationId xmlns:a16="http://schemas.microsoft.com/office/drawing/2014/main" id="{984EBC28-7803-4B66-B62A-75DD209ABCD3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21" name="Rectangle 15">
          <a:extLst>
            <a:ext uri="{FF2B5EF4-FFF2-40B4-BE49-F238E27FC236}">
              <a16:creationId xmlns:a16="http://schemas.microsoft.com/office/drawing/2014/main" id="{418E456E-AE07-487F-9E52-C2C95D19B132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122" name="Rectangle 16">
          <a:extLst>
            <a:ext uri="{FF2B5EF4-FFF2-40B4-BE49-F238E27FC236}">
              <a16:creationId xmlns:a16="http://schemas.microsoft.com/office/drawing/2014/main" id="{0B939C13-23C6-400B-BC9A-15B2E1DA5C97}"/>
            </a:ext>
          </a:extLst>
        </xdr:cNvPr>
        <xdr:cNvSpPr>
          <a:spLocks noChangeArrowheads="1"/>
        </xdr:cNvSpPr>
      </xdr:nvSpPr>
      <xdr:spPr bwMode="auto">
        <a:xfrm>
          <a:off x="6457950" y="1172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1658339</xdr:colOff>
      <xdr:row>61</xdr:row>
      <xdr:rowOff>154228</xdr:rowOff>
    </xdr:from>
    <xdr:to>
      <xdr:col>7</xdr:col>
      <xdr:colOff>79946</xdr:colOff>
      <xdr:row>81</xdr:row>
      <xdr:rowOff>282363</xdr:rowOff>
    </xdr:to>
    <xdr:pic>
      <xdr:nvPicPr>
        <xdr:cNvPr id="124" name="Picture 2">
          <a:extLst>
            <a:ext uri="{FF2B5EF4-FFF2-40B4-BE49-F238E27FC236}">
              <a16:creationId xmlns:a16="http://schemas.microsoft.com/office/drawing/2014/main" id="{79B9D8CC-5078-474D-A304-C8E0D8084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1503" y="18636192"/>
          <a:ext cx="7389086" cy="9913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1527915</xdr:colOff>
      <xdr:row>61</xdr:row>
      <xdr:rowOff>155022</xdr:rowOff>
    </xdr:from>
    <xdr:to>
      <xdr:col>13</xdr:col>
      <xdr:colOff>1278663</xdr:colOff>
      <xdr:row>81</xdr:row>
      <xdr:rowOff>94960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342BF52A-FDFC-4242-8E2B-D33CD4BAC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951" y="18955640"/>
          <a:ext cx="7473955" cy="9734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188323</xdr:colOff>
      <xdr:row>94</xdr:row>
      <xdr:rowOff>85998</xdr:rowOff>
    </xdr:from>
    <xdr:to>
      <xdr:col>8</xdr:col>
      <xdr:colOff>593002</xdr:colOff>
      <xdr:row>119</xdr:row>
      <xdr:rowOff>191780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5C2663C-D23B-4520-B014-71DDFC23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5643" y="28615278"/>
          <a:ext cx="10435476" cy="7998645"/>
        </a:xfrm>
        <a:prstGeom prst="rect">
          <a:avLst/>
        </a:prstGeom>
      </xdr:spPr>
    </xdr:pic>
    <xdr:clientData/>
  </xdr:twoCellAnchor>
  <xdr:twoCellAnchor editAs="oneCell">
    <xdr:from>
      <xdr:col>8</xdr:col>
      <xdr:colOff>841157</xdr:colOff>
      <xdr:row>97</xdr:row>
      <xdr:rowOff>77249</xdr:rowOff>
    </xdr:from>
    <xdr:to>
      <xdr:col>13</xdr:col>
      <xdr:colOff>1035475</xdr:colOff>
      <xdr:row>116</xdr:row>
      <xdr:rowOff>64120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2B035AC-4288-4839-AD37-CD7CDF99E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35298" y="31247531"/>
          <a:ext cx="10143239" cy="5950305"/>
        </a:xfrm>
        <a:prstGeom prst="rect">
          <a:avLst/>
        </a:prstGeom>
      </xdr:spPr>
    </xdr:pic>
    <xdr:clientData/>
  </xdr:twoCellAnchor>
  <xdr:twoCellAnchor editAs="oneCell">
    <xdr:from>
      <xdr:col>1</xdr:col>
      <xdr:colOff>101931</xdr:colOff>
      <xdr:row>121</xdr:row>
      <xdr:rowOff>231571</xdr:rowOff>
    </xdr:from>
    <xdr:to>
      <xdr:col>8</xdr:col>
      <xdr:colOff>230385</xdr:colOff>
      <xdr:row>140</xdr:row>
      <xdr:rowOff>225725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3F6DA43A-937D-444B-BB5B-94C4F0C7C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5095" y="37320189"/>
          <a:ext cx="10166066" cy="5992886"/>
        </a:xfrm>
        <a:prstGeom prst="rect">
          <a:avLst/>
        </a:prstGeom>
      </xdr:spPr>
    </xdr:pic>
    <xdr:clientData/>
  </xdr:twoCellAnchor>
  <xdr:twoCellAnchor editAs="oneCell">
    <xdr:from>
      <xdr:col>8</xdr:col>
      <xdr:colOff>783750</xdr:colOff>
      <xdr:row>116</xdr:row>
      <xdr:rowOff>310854</xdr:rowOff>
    </xdr:from>
    <xdr:to>
      <xdr:col>13</xdr:col>
      <xdr:colOff>1008062</xdr:colOff>
      <xdr:row>136</xdr:row>
      <xdr:rowOff>46873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53813F1-E625-47E0-BDD0-0948356C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77891" y="37442666"/>
          <a:ext cx="10178948" cy="600940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141</xdr:row>
      <xdr:rowOff>206829</xdr:rowOff>
    </xdr:from>
    <xdr:to>
      <xdr:col>7</xdr:col>
      <xdr:colOff>481375</xdr:colOff>
      <xdr:row>160</xdr:row>
      <xdr:rowOff>170879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14FBB2C9-E073-4543-9312-63F4864F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886" y="43074772"/>
          <a:ext cx="10483071" cy="5998980"/>
        </a:xfrm>
        <a:prstGeom prst="rect">
          <a:avLst/>
        </a:prstGeom>
      </xdr:spPr>
    </xdr:pic>
    <xdr:clientData/>
  </xdr:twoCellAnchor>
  <xdr:twoCellAnchor editAs="oneCell">
    <xdr:from>
      <xdr:col>7</xdr:col>
      <xdr:colOff>1257271</xdr:colOff>
      <xdr:row>140</xdr:row>
      <xdr:rowOff>62561</xdr:rowOff>
    </xdr:from>
    <xdr:to>
      <xdr:col>13</xdr:col>
      <xdr:colOff>4245671</xdr:colOff>
      <xdr:row>166</xdr:row>
      <xdr:rowOff>245964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24E88F4A-6B18-40DC-AEC4-A7CA04B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471" y="42942379"/>
          <a:ext cx="14194269" cy="84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478972</xdr:colOff>
      <xdr:row>162</xdr:row>
      <xdr:rowOff>110836</xdr:rowOff>
    </xdr:from>
    <xdr:to>
      <xdr:col>7</xdr:col>
      <xdr:colOff>519830</xdr:colOff>
      <xdr:row>187</xdr:row>
      <xdr:rowOff>130123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B8960649-B9C6-451A-A274-42B4A847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8972" y="49377600"/>
          <a:ext cx="10410071" cy="792548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4" name="Rectangle 2">
          <a:extLst>
            <a:ext uri="{FF2B5EF4-FFF2-40B4-BE49-F238E27FC236}">
              <a16:creationId xmlns:a16="http://schemas.microsoft.com/office/drawing/2014/main" id="{FFFFA7B3-5DD1-4C57-8574-D39E0678EB62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5" name="Rectangle 3">
          <a:extLst>
            <a:ext uri="{FF2B5EF4-FFF2-40B4-BE49-F238E27FC236}">
              <a16:creationId xmlns:a16="http://schemas.microsoft.com/office/drawing/2014/main" id="{0D2E3B3C-1674-4CC3-A001-1369B43FF6C3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6" name="Rectangle 4">
          <a:extLst>
            <a:ext uri="{FF2B5EF4-FFF2-40B4-BE49-F238E27FC236}">
              <a16:creationId xmlns:a16="http://schemas.microsoft.com/office/drawing/2014/main" id="{D6ABC31E-1F7B-423D-8BCA-2B915532261E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7" name="Rectangle 5">
          <a:extLst>
            <a:ext uri="{FF2B5EF4-FFF2-40B4-BE49-F238E27FC236}">
              <a16:creationId xmlns:a16="http://schemas.microsoft.com/office/drawing/2014/main" id="{F9A6A375-E892-42FE-A080-F65B58282BAB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8" name="Rectangle 6">
          <a:extLst>
            <a:ext uri="{FF2B5EF4-FFF2-40B4-BE49-F238E27FC236}">
              <a16:creationId xmlns:a16="http://schemas.microsoft.com/office/drawing/2014/main" id="{266A9E9E-F9A9-4473-876A-520C027BED62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39" name="Rectangle 7">
          <a:extLst>
            <a:ext uri="{FF2B5EF4-FFF2-40B4-BE49-F238E27FC236}">
              <a16:creationId xmlns:a16="http://schemas.microsoft.com/office/drawing/2014/main" id="{CF7040DC-BC8D-416F-A169-CA7ECDA618B1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0" name="Rectangle 8">
          <a:extLst>
            <a:ext uri="{FF2B5EF4-FFF2-40B4-BE49-F238E27FC236}">
              <a16:creationId xmlns:a16="http://schemas.microsoft.com/office/drawing/2014/main" id="{7F147BD3-B1EE-48B5-8E00-112C955603DF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1" name="Rectangle 9">
          <a:extLst>
            <a:ext uri="{FF2B5EF4-FFF2-40B4-BE49-F238E27FC236}">
              <a16:creationId xmlns:a16="http://schemas.microsoft.com/office/drawing/2014/main" id="{C21C2A16-3D10-4416-825C-51489D52B832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2" name="Rectangle 10">
          <a:extLst>
            <a:ext uri="{FF2B5EF4-FFF2-40B4-BE49-F238E27FC236}">
              <a16:creationId xmlns:a16="http://schemas.microsoft.com/office/drawing/2014/main" id="{A5811C1A-6603-4CB9-898E-A38F243014B0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3" name="Rectangle 11">
          <a:extLst>
            <a:ext uri="{FF2B5EF4-FFF2-40B4-BE49-F238E27FC236}">
              <a16:creationId xmlns:a16="http://schemas.microsoft.com/office/drawing/2014/main" id="{BCA9B65A-9608-4757-9C62-39F098E976E2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4" name="Rectangle 12">
          <a:extLst>
            <a:ext uri="{FF2B5EF4-FFF2-40B4-BE49-F238E27FC236}">
              <a16:creationId xmlns:a16="http://schemas.microsoft.com/office/drawing/2014/main" id="{A654B2C6-FC29-4767-BFD5-D58A553E95C9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5" name="Rectangle 13">
          <a:extLst>
            <a:ext uri="{FF2B5EF4-FFF2-40B4-BE49-F238E27FC236}">
              <a16:creationId xmlns:a16="http://schemas.microsoft.com/office/drawing/2014/main" id="{FB82E48E-31EC-4B3D-813F-ECF60D3E274F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6" name="Rectangle 14">
          <a:extLst>
            <a:ext uri="{FF2B5EF4-FFF2-40B4-BE49-F238E27FC236}">
              <a16:creationId xmlns:a16="http://schemas.microsoft.com/office/drawing/2014/main" id="{3180A492-A069-4DFA-9C7D-F083A7E6B947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7" name="Rectangle 15">
          <a:extLst>
            <a:ext uri="{FF2B5EF4-FFF2-40B4-BE49-F238E27FC236}">
              <a16:creationId xmlns:a16="http://schemas.microsoft.com/office/drawing/2014/main" id="{E593122F-155B-40F4-86E5-7AAC66FD7B5B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148" name="Rectangle 16">
          <a:extLst>
            <a:ext uri="{FF2B5EF4-FFF2-40B4-BE49-F238E27FC236}">
              <a16:creationId xmlns:a16="http://schemas.microsoft.com/office/drawing/2014/main" id="{19DD2814-D18C-4047-8642-AC845EBCA52A}"/>
            </a:ext>
          </a:extLst>
        </xdr:cNvPr>
        <xdr:cNvSpPr>
          <a:spLocks noChangeArrowheads="1"/>
        </xdr:cNvSpPr>
      </xdr:nvSpPr>
      <xdr:spPr bwMode="auto">
        <a:xfrm>
          <a:off x="7279821" y="11008179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26" name="Rectangle 2">
          <a:extLst>
            <a:ext uri="{FF2B5EF4-FFF2-40B4-BE49-F238E27FC236}">
              <a16:creationId xmlns:a16="http://schemas.microsoft.com/office/drawing/2014/main" id="{3984814E-A170-4F34-ACA6-613781CCE153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49" name="Rectangle 3">
          <a:extLst>
            <a:ext uri="{FF2B5EF4-FFF2-40B4-BE49-F238E27FC236}">
              <a16:creationId xmlns:a16="http://schemas.microsoft.com/office/drawing/2014/main" id="{DB734D76-7222-4D73-8523-42398E92B66C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0" name="Rectangle 4">
          <a:extLst>
            <a:ext uri="{FF2B5EF4-FFF2-40B4-BE49-F238E27FC236}">
              <a16:creationId xmlns:a16="http://schemas.microsoft.com/office/drawing/2014/main" id="{FC89AC13-5D64-4157-B0F4-C2AF4FD8D865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1" name="Rectangle 5">
          <a:extLst>
            <a:ext uri="{FF2B5EF4-FFF2-40B4-BE49-F238E27FC236}">
              <a16:creationId xmlns:a16="http://schemas.microsoft.com/office/drawing/2014/main" id="{02C6425A-23C9-4394-9851-65D8EA70770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2" name="Rectangle 6">
          <a:extLst>
            <a:ext uri="{FF2B5EF4-FFF2-40B4-BE49-F238E27FC236}">
              <a16:creationId xmlns:a16="http://schemas.microsoft.com/office/drawing/2014/main" id="{551AECDE-7041-4A03-8A34-B899EFCDE17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3" name="Rectangle 7">
          <a:extLst>
            <a:ext uri="{FF2B5EF4-FFF2-40B4-BE49-F238E27FC236}">
              <a16:creationId xmlns:a16="http://schemas.microsoft.com/office/drawing/2014/main" id="{FDAC89CB-AB83-4F14-95F2-A45AED044EBC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4" name="Rectangle 8">
          <a:extLst>
            <a:ext uri="{FF2B5EF4-FFF2-40B4-BE49-F238E27FC236}">
              <a16:creationId xmlns:a16="http://schemas.microsoft.com/office/drawing/2014/main" id="{633E6420-4DEC-47DC-A4D4-C682EA0358B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5" name="Rectangle 9">
          <a:extLst>
            <a:ext uri="{FF2B5EF4-FFF2-40B4-BE49-F238E27FC236}">
              <a16:creationId xmlns:a16="http://schemas.microsoft.com/office/drawing/2014/main" id="{6870D722-417C-4134-93BC-E59B169FDB6D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6" name="Rectangle 10">
          <a:extLst>
            <a:ext uri="{FF2B5EF4-FFF2-40B4-BE49-F238E27FC236}">
              <a16:creationId xmlns:a16="http://schemas.microsoft.com/office/drawing/2014/main" id="{9E6F47F1-AD9E-44F9-8FFA-63C65835F32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7" name="Rectangle 11">
          <a:extLst>
            <a:ext uri="{FF2B5EF4-FFF2-40B4-BE49-F238E27FC236}">
              <a16:creationId xmlns:a16="http://schemas.microsoft.com/office/drawing/2014/main" id="{C7604E05-06A1-4721-A45D-51D31BAAC120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8" name="Rectangle 12">
          <a:extLst>
            <a:ext uri="{FF2B5EF4-FFF2-40B4-BE49-F238E27FC236}">
              <a16:creationId xmlns:a16="http://schemas.microsoft.com/office/drawing/2014/main" id="{BCAEB160-E322-4298-9F53-E9A92EAD04F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59" name="Rectangle 13">
          <a:extLst>
            <a:ext uri="{FF2B5EF4-FFF2-40B4-BE49-F238E27FC236}">
              <a16:creationId xmlns:a16="http://schemas.microsoft.com/office/drawing/2014/main" id="{AF83D506-DBD6-48BA-8404-81C9C4853855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0" name="Rectangle 14">
          <a:extLst>
            <a:ext uri="{FF2B5EF4-FFF2-40B4-BE49-F238E27FC236}">
              <a16:creationId xmlns:a16="http://schemas.microsoft.com/office/drawing/2014/main" id="{927048EE-5522-4E6C-9278-1A9D69CC2AEE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1" name="Rectangle 15">
          <a:extLst>
            <a:ext uri="{FF2B5EF4-FFF2-40B4-BE49-F238E27FC236}">
              <a16:creationId xmlns:a16="http://schemas.microsoft.com/office/drawing/2014/main" id="{21C0603F-7E29-4658-B86B-6E879DF49573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2" name="Rectangle 16">
          <a:extLst>
            <a:ext uri="{FF2B5EF4-FFF2-40B4-BE49-F238E27FC236}">
              <a16:creationId xmlns:a16="http://schemas.microsoft.com/office/drawing/2014/main" id="{446C2967-4A00-4F3A-9CD7-14EE91F2F67B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3" name="Rectangle 2">
          <a:extLst>
            <a:ext uri="{FF2B5EF4-FFF2-40B4-BE49-F238E27FC236}">
              <a16:creationId xmlns:a16="http://schemas.microsoft.com/office/drawing/2014/main" id="{7C79033C-53A3-4DC1-BE78-21045C99BE2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4" name="Rectangle 3">
          <a:extLst>
            <a:ext uri="{FF2B5EF4-FFF2-40B4-BE49-F238E27FC236}">
              <a16:creationId xmlns:a16="http://schemas.microsoft.com/office/drawing/2014/main" id="{83541C1A-3B48-4EBE-A28A-0700706D3C22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5" name="Rectangle 4">
          <a:extLst>
            <a:ext uri="{FF2B5EF4-FFF2-40B4-BE49-F238E27FC236}">
              <a16:creationId xmlns:a16="http://schemas.microsoft.com/office/drawing/2014/main" id="{BD746A39-DE3B-43F0-B91F-2502045E45F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6" name="Rectangle 5">
          <a:extLst>
            <a:ext uri="{FF2B5EF4-FFF2-40B4-BE49-F238E27FC236}">
              <a16:creationId xmlns:a16="http://schemas.microsoft.com/office/drawing/2014/main" id="{E8CA579B-73DF-4BB6-9EBB-91B5CF966A4C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7" name="Rectangle 6">
          <a:extLst>
            <a:ext uri="{FF2B5EF4-FFF2-40B4-BE49-F238E27FC236}">
              <a16:creationId xmlns:a16="http://schemas.microsoft.com/office/drawing/2014/main" id="{0CE9575E-789B-4AB6-8337-7732CA84D813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8" name="Rectangle 7">
          <a:extLst>
            <a:ext uri="{FF2B5EF4-FFF2-40B4-BE49-F238E27FC236}">
              <a16:creationId xmlns:a16="http://schemas.microsoft.com/office/drawing/2014/main" id="{A3C70330-0581-4ABB-807E-6B0D985D86A0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69" name="Rectangle 8">
          <a:extLst>
            <a:ext uri="{FF2B5EF4-FFF2-40B4-BE49-F238E27FC236}">
              <a16:creationId xmlns:a16="http://schemas.microsoft.com/office/drawing/2014/main" id="{1DCB7B44-09AD-4793-BF15-4A19741FE84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0" name="Rectangle 9">
          <a:extLst>
            <a:ext uri="{FF2B5EF4-FFF2-40B4-BE49-F238E27FC236}">
              <a16:creationId xmlns:a16="http://schemas.microsoft.com/office/drawing/2014/main" id="{37CEEF55-1F78-4415-BF63-3B8A97A140AC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1" name="Rectangle 10">
          <a:extLst>
            <a:ext uri="{FF2B5EF4-FFF2-40B4-BE49-F238E27FC236}">
              <a16:creationId xmlns:a16="http://schemas.microsoft.com/office/drawing/2014/main" id="{05F8CF52-EB97-4145-8428-4DF53C2064B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2" name="Rectangle 11">
          <a:extLst>
            <a:ext uri="{FF2B5EF4-FFF2-40B4-BE49-F238E27FC236}">
              <a16:creationId xmlns:a16="http://schemas.microsoft.com/office/drawing/2014/main" id="{6FB1878F-E2C6-4646-9182-5AB8F639DA83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3" name="Rectangle 12">
          <a:extLst>
            <a:ext uri="{FF2B5EF4-FFF2-40B4-BE49-F238E27FC236}">
              <a16:creationId xmlns:a16="http://schemas.microsoft.com/office/drawing/2014/main" id="{ECEE2E7E-A125-4E69-A26D-721CA05F70E9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4" name="Rectangle 13">
          <a:extLst>
            <a:ext uri="{FF2B5EF4-FFF2-40B4-BE49-F238E27FC236}">
              <a16:creationId xmlns:a16="http://schemas.microsoft.com/office/drawing/2014/main" id="{72025DD0-BB04-4909-A402-E6DCB8FF720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5" name="Rectangle 14">
          <a:extLst>
            <a:ext uri="{FF2B5EF4-FFF2-40B4-BE49-F238E27FC236}">
              <a16:creationId xmlns:a16="http://schemas.microsoft.com/office/drawing/2014/main" id="{838A0952-3B11-42B2-8F52-C961DFBA1249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6" name="Rectangle 15">
          <a:extLst>
            <a:ext uri="{FF2B5EF4-FFF2-40B4-BE49-F238E27FC236}">
              <a16:creationId xmlns:a16="http://schemas.microsoft.com/office/drawing/2014/main" id="{5E86A01A-75D8-4A4C-B4C9-C049ABAC6E3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7" name="Rectangle 16">
          <a:extLst>
            <a:ext uri="{FF2B5EF4-FFF2-40B4-BE49-F238E27FC236}">
              <a16:creationId xmlns:a16="http://schemas.microsoft.com/office/drawing/2014/main" id="{FC6640D6-8406-4FEE-A39B-19A6E15F7540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8" name="Rectangle 2">
          <a:extLst>
            <a:ext uri="{FF2B5EF4-FFF2-40B4-BE49-F238E27FC236}">
              <a16:creationId xmlns:a16="http://schemas.microsoft.com/office/drawing/2014/main" id="{693F431D-E44F-4D01-95AD-9E0724BFFC3B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79" name="Rectangle 3">
          <a:extLst>
            <a:ext uri="{FF2B5EF4-FFF2-40B4-BE49-F238E27FC236}">
              <a16:creationId xmlns:a16="http://schemas.microsoft.com/office/drawing/2014/main" id="{3976718E-EE12-4644-8187-57E3EE3ADCCD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0" name="Rectangle 4">
          <a:extLst>
            <a:ext uri="{FF2B5EF4-FFF2-40B4-BE49-F238E27FC236}">
              <a16:creationId xmlns:a16="http://schemas.microsoft.com/office/drawing/2014/main" id="{D31FE1BA-BD66-48B8-ACD3-7AB6546D337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1" name="Rectangle 5">
          <a:extLst>
            <a:ext uri="{FF2B5EF4-FFF2-40B4-BE49-F238E27FC236}">
              <a16:creationId xmlns:a16="http://schemas.microsoft.com/office/drawing/2014/main" id="{9ED7AE67-4B4B-49AD-AD87-B8A36DEA0574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2" name="Rectangle 6">
          <a:extLst>
            <a:ext uri="{FF2B5EF4-FFF2-40B4-BE49-F238E27FC236}">
              <a16:creationId xmlns:a16="http://schemas.microsoft.com/office/drawing/2014/main" id="{F23EF5F5-D733-4318-AD09-4703E781308D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3" name="Rectangle 7">
          <a:extLst>
            <a:ext uri="{FF2B5EF4-FFF2-40B4-BE49-F238E27FC236}">
              <a16:creationId xmlns:a16="http://schemas.microsoft.com/office/drawing/2014/main" id="{95EFB551-A4CB-4652-B7A8-5A2455B34034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4" name="Rectangle 8">
          <a:extLst>
            <a:ext uri="{FF2B5EF4-FFF2-40B4-BE49-F238E27FC236}">
              <a16:creationId xmlns:a16="http://schemas.microsoft.com/office/drawing/2014/main" id="{4C4F1E83-EEFB-4165-8E5D-C0EAAF646EED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5" name="Rectangle 9">
          <a:extLst>
            <a:ext uri="{FF2B5EF4-FFF2-40B4-BE49-F238E27FC236}">
              <a16:creationId xmlns:a16="http://schemas.microsoft.com/office/drawing/2014/main" id="{F11D025B-1C20-4900-B0B1-46B51AD96C8B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6" name="Rectangle 10">
          <a:extLst>
            <a:ext uri="{FF2B5EF4-FFF2-40B4-BE49-F238E27FC236}">
              <a16:creationId xmlns:a16="http://schemas.microsoft.com/office/drawing/2014/main" id="{21574BF5-2D50-41E3-81A6-BBF02513EF1F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7" name="Rectangle 11">
          <a:extLst>
            <a:ext uri="{FF2B5EF4-FFF2-40B4-BE49-F238E27FC236}">
              <a16:creationId xmlns:a16="http://schemas.microsoft.com/office/drawing/2014/main" id="{E96B8BD7-D02F-4818-A7DD-CFF369834E14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8" name="Rectangle 12">
          <a:extLst>
            <a:ext uri="{FF2B5EF4-FFF2-40B4-BE49-F238E27FC236}">
              <a16:creationId xmlns:a16="http://schemas.microsoft.com/office/drawing/2014/main" id="{D43D64ED-D65B-4DEF-923D-EB1FF389076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89" name="Rectangle 13">
          <a:extLst>
            <a:ext uri="{FF2B5EF4-FFF2-40B4-BE49-F238E27FC236}">
              <a16:creationId xmlns:a16="http://schemas.microsoft.com/office/drawing/2014/main" id="{F55F9310-50E6-4022-AAE0-E8A7946AD0B5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90" name="Rectangle 14">
          <a:extLst>
            <a:ext uri="{FF2B5EF4-FFF2-40B4-BE49-F238E27FC236}">
              <a16:creationId xmlns:a16="http://schemas.microsoft.com/office/drawing/2014/main" id="{174EE727-3633-4946-81F7-A39001203C6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91" name="Rectangle 15">
          <a:extLst>
            <a:ext uri="{FF2B5EF4-FFF2-40B4-BE49-F238E27FC236}">
              <a16:creationId xmlns:a16="http://schemas.microsoft.com/office/drawing/2014/main" id="{1466287C-00D6-4512-A394-99D2862879D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192" name="Rectangle 16">
          <a:extLst>
            <a:ext uri="{FF2B5EF4-FFF2-40B4-BE49-F238E27FC236}">
              <a16:creationId xmlns:a16="http://schemas.microsoft.com/office/drawing/2014/main" id="{278D4C7C-CFD5-4BD6-9ED3-80CB0DE2DD35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3" name="Rectangle 2">
          <a:extLst>
            <a:ext uri="{FF2B5EF4-FFF2-40B4-BE49-F238E27FC236}">
              <a16:creationId xmlns:a16="http://schemas.microsoft.com/office/drawing/2014/main" id="{7120AEEC-92B5-4BC8-A770-42321B4F89F4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4" name="Rectangle 3">
          <a:extLst>
            <a:ext uri="{FF2B5EF4-FFF2-40B4-BE49-F238E27FC236}">
              <a16:creationId xmlns:a16="http://schemas.microsoft.com/office/drawing/2014/main" id="{423045D5-684C-42AB-B9FB-294C63AAF37E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5" name="Rectangle 4">
          <a:extLst>
            <a:ext uri="{FF2B5EF4-FFF2-40B4-BE49-F238E27FC236}">
              <a16:creationId xmlns:a16="http://schemas.microsoft.com/office/drawing/2014/main" id="{E982FBE1-81BE-408A-9923-A7118BFD31A2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6" name="Rectangle 5">
          <a:extLst>
            <a:ext uri="{FF2B5EF4-FFF2-40B4-BE49-F238E27FC236}">
              <a16:creationId xmlns:a16="http://schemas.microsoft.com/office/drawing/2014/main" id="{14B60B9F-4EE1-47BC-9C17-FAE67D2D0FBA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7" name="Rectangle 6">
          <a:extLst>
            <a:ext uri="{FF2B5EF4-FFF2-40B4-BE49-F238E27FC236}">
              <a16:creationId xmlns:a16="http://schemas.microsoft.com/office/drawing/2014/main" id="{3CA6B8EB-E28A-4DA0-B9BA-FA039C4BF25F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8" name="Rectangle 7">
          <a:extLst>
            <a:ext uri="{FF2B5EF4-FFF2-40B4-BE49-F238E27FC236}">
              <a16:creationId xmlns:a16="http://schemas.microsoft.com/office/drawing/2014/main" id="{AC5ABBA6-22BC-4AE9-964F-28FD5A7FCED8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199" name="Rectangle 8">
          <a:extLst>
            <a:ext uri="{FF2B5EF4-FFF2-40B4-BE49-F238E27FC236}">
              <a16:creationId xmlns:a16="http://schemas.microsoft.com/office/drawing/2014/main" id="{0CAA6382-53E5-4A8F-A476-B84FD3DA32C9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0" name="Rectangle 9">
          <a:extLst>
            <a:ext uri="{FF2B5EF4-FFF2-40B4-BE49-F238E27FC236}">
              <a16:creationId xmlns:a16="http://schemas.microsoft.com/office/drawing/2014/main" id="{6956D14A-A348-4EF2-9AAE-25BB811AAF33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1" name="Rectangle 10">
          <a:extLst>
            <a:ext uri="{FF2B5EF4-FFF2-40B4-BE49-F238E27FC236}">
              <a16:creationId xmlns:a16="http://schemas.microsoft.com/office/drawing/2014/main" id="{81086C86-842D-4324-807D-BDC2AD4DB7D6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2" name="Rectangle 11">
          <a:extLst>
            <a:ext uri="{FF2B5EF4-FFF2-40B4-BE49-F238E27FC236}">
              <a16:creationId xmlns:a16="http://schemas.microsoft.com/office/drawing/2014/main" id="{225BF355-BE1F-46EC-B1EE-D1170954744A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3" name="Rectangle 12">
          <a:extLst>
            <a:ext uri="{FF2B5EF4-FFF2-40B4-BE49-F238E27FC236}">
              <a16:creationId xmlns:a16="http://schemas.microsoft.com/office/drawing/2014/main" id="{B81EEEFA-BBA1-4F0E-9461-2CF8A1FE22E1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4" name="Rectangle 13">
          <a:extLst>
            <a:ext uri="{FF2B5EF4-FFF2-40B4-BE49-F238E27FC236}">
              <a16:creationId xmlns:a16="http://schemas.microsoft.com/office/drawing/2014/main" id="{1EFFA5DE-BB49-47CF-83AD-17D75C437609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5" name="Rectangle 14">
          <a:extLst>
            <a:ext uri="{FF2B5EF4-FFF2-40B4-BE49-F238E27FC236}">
              <a16:creationId xmlns:a16="http://schemas.microsoft.com/office/drawing/2014/main" id="{FF834BA2-39F4-4A2D-A669-640529D8E0EE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6" name="Rectangle 15">
          <a:extLst>
            <a:ext uri="{FF2B5EF4-FFF2-40B4-BE49-F238E27FC236}">
              <a16:creationId xmlns:a16="http://schemas.microsoft.com/office/drawing/2014/main" id="{68A4350D-0A0E-489D-98D7-0792CECE7D53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07" name="Rectangle 16">
          <a:extLst>
            <a:ext uri="{FF2B5EF4-FFF2-40B4-BE49-F238E27FC236}">
              <a16:creationId xmlns:a16="http://schemas.microsoft.com/office/drawing/2014/main" id="{18E91874-3E75-4392-AA7D-6B945615091B}"/>
            </a:ext>
          </a:extLst>
        </xdr:cNvPr>
        <xdr:cNvSpPr>
          <a:spLocks noChangeArrowheads="1"/>
        </xdr:cNvSpPr>
      </xdr:nvSpPr>
      <xdr:spPr bwMode="auto">
        <a:xfrm>
          <a:off x="5781675" y="9182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08" name="Rectangle 2">
          <a:extLst>
            <a:ext uri="{FF2B5EF4-FFF2-40B4-BE49-F238E27FC236}">
              <a16:creationId xmlns:a16="http://schemas.microsoft.com/office/drawing/2014/main" id="{6EC363EE-42B1-488B-BD5A-0712FD251677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09" name="Rectangle 3">
          <a:extLst>
            <a:ext uri="{FF2B5EF4-FFF2-40B4-BE49-F238E27FC236}">
              <a16:creationId xmlns:a16="http://schemas.microsoft.com/office/drawing/2014/main" id="{C41E6510-4A09-41B1-AC3C-6C18ABD0566A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0" name="Rectangle 4">
          <a:extLst>
            <a:ext uri="{FF2B5EF4-FFF2-40B4-BE49-F238E27FC236}">
              <a16:creationId xmlns:a16="http://schemas.microsoft.com/office/drawing/2014/main" id="{905E8DB5-0FB3-479D-A1D6-05C9C8740820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1" name="Rectangle 5">
          <a:extLst>
            <a:ext uri="{FF2B5EF4-FFF2-40B4-BE49-F238E27FC236}">
              <a16:creationId xmlns:a16="http://schemas.microsoft.com/office/drawing/2014/main" id="{912CB1CE-F6DE-43F6-BFD7-C74919470B79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2" name="Rectangle 6">
          <a:extLst>
            <a:ext uri="{FF2B5EF4-FFF2-40B4-BE49-F238E27FC236}">
              <a16:creationId xmlns:a16="http://schemas.microsoft.com/office/drawing/2014/main" id="{2529BD47-D21B-4E6F-AAB5-DA43E44A644F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3" name="Rectangle 7">
          <a:extLst>
            <a:ext uri="{FF2B5EF4-FFF2-40B4-BE49-F238E27FC236}">
              <a16:creationId xmlns:a16="http://schemas.microsoft.com/office/drawing/2014/main" id="{345A0BD3-4D84-4737-A558-898E70C642D7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4" name="Rectangle 8">
          <a:extLst>
            <a:ext uri="{FF2B5EF4-FFF2-40B4-BE49-F238E27FC236}">
              <a16:creationId xmlns:a16="http://schemas.microsoft.com/office/drawing/2014/main" id="{B5066F3D-EF25-458F-82B5-E8C849B742D0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5" name="Rectangle 9">
          <a:extLst>
            <a:ext uri="{FF2B5EF4-FFF2-40B4-BE49-F238E27FC236}">
              <a16:creationId xmlns:a16="http://schemas.microsoft.com/office/drawing/2014/main" id="{27B85323-66AF-403A-83D1-5FD3B9810CF0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6" name="Rectangle 10">
          <a:extLst>
            <a:ext uri="{FF2B5EF4-FFF2-40B4-BE49-F238E27FC236}">
              <a16:creationId xmlns:a16="http://schemas.microsoft.com/office/drawing/2014/main" id="{624BCBFE-841F-4F68-8192-5610AFB66391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7" name="Rectangle 11">
          <a:extLst>
            <a:ext uri="{FF2B5EF4-FFF2-40B4-BE49-F238E27FC236}">
              <a16:creationId xmlns:a16="http://schemas.microsoft.com/office/drawing/2014/main" id="{D8A410B0-C64B-4886-8EF0-98184E622F91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8" name="Rectangle 12">
          <a:extLst>
            <a:ext uri="{FF2B5EF4-FFF2-40B4-BE49-F238E27FC236}">
              <a16:creationId xmlns:a16="http://schemas.microsoft.com/office/drawing/2014/main" id="{03C5A370-B684-4E73-9518-3E88EBD252BA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19" name="Rectangle 13">
          <a:extLst>
            <a:ext uri="{FF2B5EF4-FFF2-40B4-BE49-F238E27FC236}">
              <a16:creationId xmlns:a16="http://schemas.microsoft.com/office/drawing/2014/main" id="{7472262E-7C3F-4F48-B94F-EF0FFC21A5E2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20" name="Rectangle 14">
          <a:extLst>
            <a:ext uri="{FF2B5EF4-FFF2-40B4-BE49-F238E27FC236}">
              <a16:creationId xmlns:a16="http://schemas.microsoft.com/office/drawing/2014/main" id="{7D7D6163-F533-45E8-A24A-DF4C87DC7ED8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21" name="Rectangle 15">
          <a:extLst>
            <a:ext uri="{FF2B5EF4-FFF2-40B4-BE49-F238E27FC236}">
              <a16:creationId xmlns:a16="http://schemas.microsoft.com/office/drawing/2014/main" id="{FAC52C74-59F9-4C01-A529-2041774C99A0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222" name="Rectangle 16">
          <a:extLst>
            <a:ext uri="{FF2B5EF4-FFF2-40B4-BE49-F238E27FC236}">
              <a16:creationId xmlns:a16="http://schemas.microsoft.com/office/drawing/2014/main" id="{CAC58CDD-D182-46B9-A8DB-5417DBA144A1}"/>
            </a:ext>
          </a:extLst>
        </xdr:cNvPr>
        <xdr:cNvSpPr>
          <a:spLocks noChangeArrowheads="1"/>
        </xdr:cNvSpPr>
      </xdr:nvSpPr>
      <xdr:spPr bwMode="auto">
        <a:xfrm>
          <a:off x="5781675" y="5829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3" name="Rectangle 2">
          <a:extLst>
            <a:ext uri="{FF2B5EF4-FFF2-40B4-BE49-F238E27FC236}">
              <a16:creationId xmlns:a16="http://schemas.microsoft.com/office/drawing/2014/main" id="{39676DE1-82FE-4E05-9C13-37522E9E173C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4" name="Rectangle 3">
          <a:extLst>
            <a:ext uri="{FF2B5EF4-FFF2-40B4-BE49-F238E27FC236}">
              <a16:creationId xmlns:a16="http://schemas.microsoft.com/office/drawing/2014/main" id="{7DA4BE36-1476-4030-A7FA-97A303F54259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5" name="Rectangle 4">
          <a:extLst>
            <a:ext uri="{FF2B5EF4-FFF2-40B4-BE49-F238E27FC236}">
              <a16:creationId xmlns:a16="http://schemas.microsoft.com/office/drawing/2014/main" id="{64ED2A9A-88A6-4339-B474-F888FFB2F174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6" name="Rectangle 5">
          <a:extLst>
            <a:ext uri="{FF2B5EF4-FFF2-40B4-BE49-F238E27FC236}">
              <a16:creationId xmlns:a16="http://schemas.microsoft.com/office/drawing/2014/main" id="{2F990DC0-A9A6-4795-8650-28D255B56433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7" name="Rectangle 6">
          <a:extLst>
            <a:ext uri="{FF2B5EF4-FFF2-40B4-BE49-F238E27FC236}">
              <a16:creationId xmlns:a16="http://schemas.microsoft.com/office/drawing/2014/main" id="{D8911F11-73B4-4D5F-A61B-E84E297907C6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8" name="Rectangle 7">
          <a:extLst>
            <a:ext uri="{FF2B5EF4-FFF2-40B4-BE49-F238E27FC236}">
              <a16:creationId xmlns:a16="http://schemas.microsoft.com/office/drawing/2014/main" id="{39603517-AD5F-45A3-9CCB-58CBF0BA2C79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29" name="Rectangle 8">
          <a:extLst>
            <a:ext uri="{FF2B5EF4-FFF2-40B4-BE49-F238E27FC236}">
              <a16:creationId xmlns:a16="http://schemas.microsoft.com/office/drawing/2014/main" id="{C374BD3C-7ECF-416C-BEDE-036571D654DD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0" name="Rectangle 9">
          <a:extLst>
            <a:ext uri="{FF2B5EF4-FFF2-40B4-BE49-F238E27FC236}">
              <a16:creationId xmlns:a16="http://schemas.microsoft.com/office/drawing/2014/main" id="{CFB1085D-CD7A-4038-A4A0-EDA87DC8D872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1" name="Rectangle 10">
          <a:extLst>
            <a:ext uri="{FF2B5EF4-FFF2-40B4-BE49-F238E27FC236}">
              <a16:creationId xmlns:a16="http://schemas.microsoft.com/office/drawing/2014/main" id="{0851CAA5-66BE-4819-8BD8-E18C731E5651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2" name="Rectangle 11">
          <a:extLst>
            <a:ext uri="{FF2B5EF4-FFF2-40B4-BE49-F238E27FC236}">
              <a16:creationId xmlns:a16="http://schemas.microsoft.com/office/drawing/2014/main" id="{4B4B3770-2963-45FF-95B4-6669B6DEC8DF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3" name="Rectangle 12">
          <a:extLst>
            <a:ext uri="{FF2B5EF4-FFF2-40B4-BE49-F238E27FC236}">
              <a16:creationId xmlns:a16="http://schemas.microsoft.com/office/drawing/2014/main" id="{A154DBF8-E251-44EF-8C7A-9298120073FD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4" name="Rectangle 13">
          <a:extLst>
            <a:ext uri="{FF2B5EF4-FFF2-40B4-BE49-F238E27FC236}">
              <a16:creationId xmlns:a16="http://schemas.microsoft.com/office/drawing/2014/main" id="{1E0D186B-B35F-4A05-8364-257BE03413C4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5" name="Rectangle 14">
          <a:extLst>
            <a:ext uri="{FF2B5EF4-FFF2-40B4-BE49-F238E27FC236}">
              <a16:creationId xmlns:a16="http://schemas.microsoft.com/office/drawing/2014/main" id="{495935B1-2251-4048-8042-6EA284560DB2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6" name="Rectangle 15">
          <a:extLst>
            <a:ext uri="{FF2B5EF4-FFF2-40B4-BE49-F238E27FC236}">
              <a16:creationId xmlns:a16="http://schemas.microsoft.com/office/drawing/2014/main" id="{76F21A9A-D4AA-4B84-B685-B2BA0F144B84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237" name="Rectangle 16">
          <a:extLst>
            <a:ext uri="{FF2B5EF4-FFF2-40B4-BE49-F238E27FC236}">
              <a16:creationId xmlns:a16="http://schemas.microsoft.com/office/drawing/2014/main" id="{E6C02A06-380D-4609-9971-90FD0AE760E8}"/>
            </a:ext>
          </a:extLst>
        </xdr:cNvPr>
        <xdr:cNvSpPr>
          <a:spLocks noChangeArrowheads="1"/>
        </xdr:cNvSpPr>
      </xdr:nvSpPr>
      <xdr:spPr bwMode="auto">
        <a:xfrm>
          <a:off x="5781675" y="4914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38" name="Rectangle 2">
          <a:extLst>
            <a:ext uri="{FF2B5EF4-FFF2-40B4-BE49-F238E27FC236}">
              <a16:creationId xmlns:a16="http://schemas.microsoft.com/office/drawing/2014/main" id="{8670D732-AC47-4540-8995-B5B6E69EA929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39" name="Rectangle 3">
          <a:extLst>
            <a:ext uri="{FF2B5EF4-FFF2-40B4-BE49-F238E27FC236}">
              <a16:creationId xmlns:a16="http://schemas.microsoft.com/office/drawing/2014/main" id="{C365FBD1-FD2D-487D-B30A-EEA73CE721F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0" name="Rectangle 4">
          <a:extLst>
            <a:ext uri="{FF2B5EF4-FFF2-40B4-BE49-F238E27FC236}">
              <a16:creationId xmlns:a16="http://schemas.microsoft.com/office/drawing/2014/main" id="{11D7FA53-9531-4EF8-89ED-95D922526863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1" name="Rectangle 5">
          <a:extLst>
            <a:ext uri="{FF2B5EF4-FFF2-40B4-BE49-F238E27FC236}">
              <a16:creationId xmlns:a16="http://schemas.microsoft.com/office/drawing/2014/main" id="{FA7CFEBF-162E-4981-9513-8FB87EF69B3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2" name="Rectangle 6">
          <a:extLst>
            <a:ext uri="{FF2B5EF4-FFF2-40B4-BE49-F238E27FC236}">
              <a16:creationId xmlns:a16="http://schemas.microsoft.com/office/drawing/2014/main" id="{B4A24A66-4C46-445B-8605-C0AAE24E2AB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3" name="Rectangle 7">
          <a:extLst>
            <a:ext uri="{FF2B5EF4-FFF2-40B4-BE49-F238E27FC236}">
              <a16:creationId xmlns:a16="http://schemas.microsoft.com/office/drawing/2014/main" id="{53F53F79-D768-4B29-916E-BE7C252388EA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4" name="Rectangle 8">
          <a:extLst>
            <a:ext uri="{FF2B5EF4-FFF2-40B4-BE49-F238E27FC236}">
              <a16:creationId xmlns:a16="http://schemas.microsoft.com/office/drawing/2014/main" id="{81DF6A55-F415-442C-94C1-D85F235A579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5" name="Rectangle 9">
          <a:extLst>
            <a:ext uri="{FF2B5EF4-FFF2-40B4-BE49-F238E27FC236}">
              <a16:creationId xmlns:a16="http://schemas.microsoft.com/office/drawing/2014/main" id="{19355E30-58F8-4B1B-A3F0-421EBE36540B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6" name="Rectangle 10">
          <a:extLst>
            <a:ext uri="{FF2B5EF4-FFF2-40B4-BE49-F238E27FC236}">
              <a16:creationId xmlns:a16="http://schemas.microsoft.com/office/drawing/2014/main" id="{295A2EA8-1C8D-4480-89A7-6237C2BC7067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7" name="Rectangle 11">
          <a:extLst>
            <a:ext uri="{FF2B5EF4-FFF2-40B4-BE49-F238E27FC236}">
              <a16:creationId xmlns:a16="http://schemas.microsoft.com/office/drawing/2014/main" id="{72B37976-7DDB-4E9C-B8CA-B533ECDC6002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8" name="Rectangle 12">
          <a:extLst>
            <a:ext uri="{FF2B5EF4-FFF2-40B4-BE49-F238E27FC236}">
              <a16:creationId xmlns:a16="http://schemas.microsoft.com/office/drawing/2014/main" id="{55F80667-CEF0-41BF-B904-3C031E30F8EF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49" name="Rectangle 13">
          <a:extLst>
            <a:ext uri="{FF2B5EF4-FFF2-40B4-BE49-F238E27FC236}">
              <a16:creationId xmlns:a16="http://schemas.microsoft.com/office/drawing/2014/main" id="{D48A7653-F604-47AA-84A6-B303D4476058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50" name="Rectangle 14">
          <a:extLst>
            <a:ext uri="{FF2B5EF4-FFF2-40B4-BE49-F238E27FC236}">
              <a16:creationId xmlns:a16="http://schemas.microsoft.com/office/drawing/2014/main" id="{76B94929-E062-4C33-A87E-C675D3861874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51" name="Rectangle 15">
          <a:extLst>
            <a:ext uri="{FF2B5EF4-FFF2-40B4-BE49-F238E27FC236}">
              <a16:creationId xmlns:a16="http://schemas.microsoft.com/office/drawing/2014/main" id="{4DF82026-9A03-436A-BA24-0DC3503BC341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52" name="Rectangle 16">
          <a:extLst>
            <a:ext uri="{FF2B5EF4-FFF2-40B4-BE49-F238E27FC236}">
              <a16:creationId xmlns:a16="http://schemas.microsoft.com/office/drawing/2014/main" id="{EF4D7117-9BAC-4471-B097-0556DC4E7029}"/>
            </a:ext>
          </a:extLst>
        </xdr:cNvPr>
        <xdr:cNvSpPr>
          <a:spLocks noChangeArrowheads="1"/>
        </xdr:cNvSpPr>
      </xdr:nvSpPr>
      <xdr:spPr bwMode="auto">
        <a:xfrm>
          <a:off x="5781675" y="1223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3" name="Rectangle 2">
          <a:extLst>
            <a:ext uri="{FF2B5EF4-FFF2-40B4-BE49-F238E27FC236}">
              <a16:creationId xmlns:a16="http://schemas.microsoft.com/office/drawing/2014/main" id="{F465EB36-67A3-4726-A250-8F7F5F9464F7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4" name="Rectangle 3">
          <a:extLst>
            <a:ext uri="{FF2B5EF4-FFF2-40B4-BE49-F238E27FC236}">
              <a16:creationId xmlns:a16="http://schemas.microsoft.com/office/drawing/2014/main" id="{07898935-D8FF-4850-89ED-2FCCA556A4B3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5" name="Rectangle 4">
          <a:extLst>
            <a:ext uri="{FF2B5EF4-FFF2-40B4-BE49-F238E27FC236}">
              <a16:creationId xmlns:a16="http://schemas.microsoft.com/office/drawing/2014/main" id="{DA3BA04E-3878-47A9-9D40-F636D5C9F609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6" name="Rectangle 5">
          <a:extLst>
            <a:ext uri="{FF2B5EF4-FFF2-40B4-BE49-F238E27FC236}">
              <a16:creationId xmlns:a16="http://schemas.microsoft.com/office/drawing/2014/main" id="{9D03B694-F807-491C-B3D0-EB789148ECCF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7" name="Rectangle 6">
          <a:extLst>
            <a:ext uri="{FF2B5EF4-FFF2-40B4-BE49-F238E27FC236}">
              <a16:creationId xmlns:a16="http://schemas.microsoft.com/office/drawing/2014/main" id="{E3495D65-1A6E-4B50-BD8B-9E8954677DF3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8" name="Rectangle 7">
          <a:extLst>
            <a:ext uri="{FF2B5EF4-FFF2-40B4-BE49-F238E27FC236}">
              <a16:creationId xmlns:a16="http://schemas.microsoft.com/office/drawing/2014/main" id="{AB663115-3C5F-4E4B-9220-3D38369156F4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59" name="Rectangle 8">
          <a:extLst>
            <a:ext uri="{FF2B5EF4-FFF2-40B4-BE49-F238E27FC236}">
              <a16:creationId xmlns:a16="http://schemas.microsoft.com/office/drawing/2014/main" id="{574EC673-0E9C-4411-813D-C41C537487BF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0" name="Rectangle 9">
          <a:extLst>
            <a:ext uri="{FF2B5EF4-FFF2-40B4-BE49-F238E27FC236}">
              <a16:creationId xmlns:a16="http://schemas.microsoft.com/office/drawing/2014/main" id="{02DB22F8-A9E0-4C63-A759-86D111E9ECB8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1" name="Rectangle 10">
          <a:extLst>
            <a:ext uri="{FF2B5EF4-FFF2-40B4-BE49-F238E27FC236}">
              <a16:creationId xmlns:a16="http://schemas.microsoft.com/office/drawing/2014/main" id="{2C7E4CD0-8F80-4BEE-A28E-C8337BA0878F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2" name="Rectangle 11">
          <a:extLst>
            <a:ext uri="{FF2B5EF4-FFF2-40B4-BE49-F238E27FC236}">
              <a16:creationId xmlns:a16="http://schemas.microsoft.com/office/drawing/2014/main" id="{E65B0FD6-9BB4-4C84-BE12-0CBCE4FB1DDF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3" name="Rectangle 12">
          <a:extLst>
            <a:ext uri="{FF2B5EF4-FFF2-40B4-BE49-F238E27FC236}">
              <a16:creationId xmlns:a16="http://schemas.microsoft.com/office/drawing/2014/main" id="{5AFC8217-172B-41F6-9F56-5226A7660B23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4" name="Rectangle 13">
          <a:extLst>
            <a:ext uri="{FF2B5EF4-FFF2-40B4-BE49-F238E27FC236}">
              <a16:creationId xmlns:a16="http://schemas.microsoft.com/office/drawing/2014/main" id="{359CE7F8-3E41-4B35-9DB5-5A318B83663E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5" name="Rectangle 14">
          <a:extLst>
            <a:ext uri="{FF2B5EF4-FFF2-40B4-BE49-F238E27FC236}">
              <a16:creationId xmlns:a16="http://schemas.microsoft.com/office/drawing/2014/main" id="{4E3F3747-0062-43DF-9A6C-7545503A58EC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6" name="Rectangle 15">
          <a:extLst>
            <a:ext uri="{FF2B5EF4-FFF2-40B4-BE49-F238E27FC236}">
              <a16:creationId xmlns:a16="http://schemas.microsoft.com/office/drawing/2014/main" id="{8D3232E0-8046-43C0-9839-D1FD18FDE031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67" name="Rectangle 16">
          <a:extLst>
            <a:ext uri="{FF2B5EF4-FFF2-40B4-BE49-F238E27FC236}">
              <a16:creationId xmlns:a16="http://schemas.microsoft.com/office/drawing/2014/main" id="{902E56B6-8E37-40F4-9B04-1779A63B816C}"/>
            </a:ext>
          </a:extLst>
        </xdr:cNvPr>
        <xdr:cNvSpPr>
          <a:spLocks noChangeArrowheads="1"/>
        </xdr:cNvSpPr>
      </xdr:nvSpPr>
      <xdr:spPr bwMode="auto">
        <a:xfrm>
          <a:off x="5781675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68" name="Rectangle 2">
          <a:extLst>
            <a:ext uri="{FF2B5EF4-FFF2-40B4-BE49-F238E27FC236}">
              <a16:creationId xmlns:a16="http://schemas.microsoft.com/office/drawing/2014/main" id="{ADAF74A0-680A-47A7-918C-E7FAC40B2D2C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69" name="Rectangle 3">
          <a:extLst>
            <a:ext uri="{FF2B5EF4-FFF2-40B4-BE49-F238E27FC236}">
              <a16:creationId xmlns:a16="http://schemas.microsoft.com/office/drawing/2014/main" id="{3182DE87-ABAB-4CC9-A500-EDC0C5301E32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0" name="Rectangle 4">
          <a:extLst>
            <a:ext uri="{FF2B5EF4-FFF2-40B4-BE49-F238E27FC236}">
              <a16:creationId xmlns:a16="http://schemas.microsoft.com/office/drawing/2014/main" id="{87C31D77-CEA2-4DB3-80F9-5067721E4DEF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1" name="Rectangle 5">
          <a:extLst>
            <a:ext uri="{FF2B5EF4-FFF2-40B4-BE49-F238E27FC236}">
              <a16:creationId xmlns:a16="http://schemas.microsoft.com/office/drawing/2014/main" id="{02120B37-76A6-48CC-B9F9-84300C2BD9AC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2" name="Rectangle 6">
          <a:extLst>
            <a:ext uri="{FF2B5EF4-FFF2-40B4-BE49-F238E27FC236}">
              <a16:creationId xmlns:a16="http://schemas.microsoft.com/office/drawing/2014/main" id="{6148F97F-AC26-42C9-AA78-F3B573F33F04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3" name="Rectangle 7">
          <a:extLst>
            <a:ext uri="{FF2B5EF4-FFF2-40B4-BE49-F238E27FC236}">
              <a16:creationId xmlns:a16="http://schemas.microsoft.com/office/drawing/2014/main" id="{65C51166-5E43-4825-880A-45DA5F84854E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4" name="Rectangle 8">
          <a:extLst>
            <a:ext uri="{FF2B5EF4-FFF2-40B4-BE49-F238E27FC236}">
              <a16:creationId xmlns:a16="http://schemas.microsoft.com/office/drawing/2014/main" id="{C1751470-1A27-45C0-8165-27447261B915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5" name="Rectangle 9">
          <a:extLst>
            <a:ext uri="{FF2B5EF4-FFF2-40B4-BE49-F238E27FC236}">
              <a16:creationId xmlns:a16="http://schemas.microsoft.com/office/drawing/2014/main" id="{0DFC3B52-3F92-44CD-8FB8-19E2A6328EC2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6" name="Rectangle 10">
          <a:extLst>
            <a:ext uri="{FF2B5EF4-FFF2-40B4-BE49-F238E27FC236}">
              <a16:creationId xmlns:a16="http://schemas.microsoft.com/office/drawing/2014/main" id="{FF3AA2DD-8796-49C0-9900-96147712F8CE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7" name="Rectangle 11">
          <a:extLst>
            <a:ext uri="{FF2B5EF4-FFF2-40B4-BE49-F238E27FC236}">
              <a16:creationId xmlns:a16="http://schemas.microsoft.com/office/drawing/2014/main" id="{2D7058A6-8DFE-4664-BA10-D59A6EB50582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8" name="Rectangle 12">
          <a:extLst>
            <a:ext uri="{FF2B5EF4-FFF2-40B4-BE49-F238E27FC236}">
              <a16:creationId xmlns:a16="http://schemas.microsoft.com/office/drawing/2014/main" id="{8162BD8E-4F5D-40A8-9C26-51540DF9CE95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79" name="Rectangle 13">
          <a:extLst>
            <a:ext uri="{FF2B5EF4-FFF2-40B4-BE49-F238E27FC236}">
              <a16:creationId xmlns:a16="http://schemas.microsoft.com/office/drawing/2014/main" id="{F3F9E70E-6E07-490D-8A85-41B1D9CCBD21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80" name="Rectangle 14">
          <a:extLst>
            <a:ext uri="{FF2B5EF4-FFF2-40B4-BE49-F238E27FC236}">
              <a16:creationId xmlns:a16="http://schemas.microsoft.com/office/drawing/2014/main" id="{A9F6808F-DC98-4EDC-98FA-A1980EF81000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81" name="Rectangle 15">
          <a:extLst>
            <a:ext uri="{FF2B5EF4-FFF2-40B4-BE49-F238E27FC236}">
              <a16:creationId xmlns:a16="http://schemas.microsoft.com/office/drawing/2014/main" id="{3E57BA96-3673-428E-BAF3-AF71E24E8B79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82" name="Rectangle 16">
          <a:extLst>
            <a:ext uri="{FF2B5EF4-FFF2-40B4-BE49-F238E27FC236}">
              <a16:creationId xmlns:a16="http://schemas.microsoft.com/office/drawing/2014/main" id="{EF18CF01-16C0-4D9C-90ED-7A5A309AAFB7}"/>
            </a:ext>
          </a:extLst>
        </xdr:cNvPr>
        <xdr:cNvSpPr>
          <a:spLocks noChangeArrowheads="1"/>
        </xdr:cNvSpPr>
      </xdr:nvSpPr>
      <xdr:spPr bwMode="auto">
        <a:xfrm>
          <a:off x="57816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107674</xdr:rowOff>
    </xdr:from>
    <xdr:to>
      <xdr:col>0</xdr:col>
      <xdr:colOff>1355200</xdr:colOff>
      <xdr:row>6</xdr:row>
      <xdr:rowOff>227703</xdr:rowOff>
    </xdr:to>
    <xdr:pic>
      <xdr:nvPicPr>
        <xdr:cNvPr id="287" name="Picture 1">
          <a:extLst>
            <a:ext uri="{FF2B5EF4-FFF2-40B4-BE49-F238E27FC236}">
              <a16:creationId xmlns:a16="http://schemas.microsoft.com/office/drawing/2014/main" id="{48D94CEC-F6C8-4FA4-B355-133C4FEAD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7"/>
          <a:ext cx="1366630" cy="170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2808866</xdr:colOff>
      <xdr:row>36</xdr:row>
      <xdr:rowOff>26222</xdr:rowOff>
    </xdr:from>
    <xdr:to>
      <xdr:col>13</xdr:col>
      <xdr:colOff>2543374</xdr:colOff>
      <xdr:row>40</xdr:row>
      <xdr:rowOff>293978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7249BE5B-0BBC-464B-B5A5-58EB4309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79190" y="8598722"/>
          <a:ext cx="7481583" cy="18403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1577340</xdr:colOff>
      <xdr:row>7</xdr:row>
      <xdr:rowOff>173468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3CB9A1-9E9E-4B7A-BFB0-36429A06F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59735"/>
          <a:ext cx="1495425" cy="1927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3485" name="Rectangle 1">
          <a:extLst>
            <a:ext uri="{FF2B5EF4-FFF2-40B4-BE49-F238E27FC236}">
              <a16:creationId xmlns:a16="http://schemas.microsoft.com/office/drawing/2014/main" id="{F816E63F-53AF-4F59-98FC-F6E979405787}"/>
            </a:ext>
          </a:extLst>
        </xdr:cNvPr>
        <xdr:cNvSpPr>
          <a:spLocks noChangeArrowheads="1"/>
        </xdr:cNvSpPr>
      </xdr:nvSpPr>
      <xdr:spPr bwMode="auto">
        <a:xfrm>
          <a:off x="436245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6" name="Rectangle 2">
          <a:extLst>
            <a:ext uri="{FF2B5EF4-FFF2-40B4-BE49-F238E27FC236}">
              <a16:creationId xmlns:a16="http://schemas.microsoft.com/office/drawing/2014/main" id="{FCC16C2C-901A-4549-B64A-E5DA3841C98E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7" name="Rectangle 3">
          <a:extLst>
            <a:ext uri="{FF2B5EF4-FFF2-40B4-BE49-F238E27FC236}">
              <a16:creationId xmlns:a16="http://schemas.microsoft.com/office/drawing/2014/main" id="{5AB5BF10-1FEF-4F67-9022-264B7511336D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8" name="Rectangle 4">
          <a:extLst>
            <a:ext uri="{FF2B5EF4-FFF2-40B4-BE49-F238E27FC236}">
              <a16:creationId xmlns:a16="http://schemas.microsoft.com/office/drawing/2014/main" id="{517C9EC8-57BC-42DF-8A2B-29145C01977F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9" name="Rectangle 5">
          <a:extLst>
            <a:ext uri="{FF2B5EF4-FFF2-40B4-BE49-F238E27FC236}">
              <a16:creationId xmlns:a16="http://schemas.microsoft.com/office/drawing/2014/main" id="{6543B887-1342-4D82-A811-9DDA74C9FBD0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0" name="Rectangle 6">
          <a:extLst>
            <a:ext uri="{FF2B5EF4-FFF2-40B4-BE49-F238E27FC236}">
              <a16:creationId xmlns:a16="http://schemas.microsoft.com/office/drawing/2014/main" id="{6E0AC1B9-C7B6-4ECA-916A-6A3A0C8190EB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1" name="Rectangle 7">
          <a:extLst>
            <a:ext uri="{FF2B5EF4-FFF2-40B4-BE49-F238E27FC236}">
              <a16:creationId xmlns:a16="http://schemas.microsoft.com/office/drawing/2014/main" id="{71A17637-A733-4168-998A-0F71CE8CE185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2" name="Rectangle 8">
          <a:extLst>
            <a:ext uri="{FF2B5EF4-FFF2-40B4-BE49-F238E27FC236}">
              <a16:creationId xmlns:a16="http://schemas.microsoft.com/office/drawing/2014/main" id="{47ACE435-3E72-45F0-A849-726C5DB77D4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3" name="Rectangle 9">
          <a:extLst>
            <a:ext uri="{FF2B5EF4-FFF2-40B4-BE49-F238E27FC236}">
              <a16:creationId xmlns:a16="http://schemas.microsoft.com/office/drawing/2014/main" id="{ABCF3B89-452D-4224-B46F-DA4817F27B87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4" name="Rectangle 10">
          <a:extLst>
            <a:ext uri="{FF2B5EF4-FFF2-40B4-BE49-F238E27FC236}">
              <a16:creationId xmlns:a16="http://schemas.microsoft.com/office/drawing/2014/main" id="{2029AB87-437A-4443-A309-B465C7B06E74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5" name="Rectangle 11">
          <a:extLst>
            <a:ext uri="{FF2B5EF4-FFF2-40B4-BE49-F238E27FC236}">
              <a16:creationId xmlns:a16="http://schemas.microsoft.com/office/drawing/2014/main" id="{0CA66AB0-BE7D-4A24-8A4A-6599E23F7BE8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6" name="Rectangle 12">
          <a:extLst>
            <a:ext uri="{FF2B5EF4-FFF2-40B4-BE49-F238E27FC236}">
              <a16:creationId xmlns:a16="http://schemas.microsoft.com/office/drawing/2014/main" id="{D5F91F5B-47AA-4138-9D5A-6CEB33650A6D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7" name="Rectangle 13">
          <a:extLst>
            <a:ext uri="{FF2B5EF4-FFF2-40B4-BE49-F238E27FC236}">
              <a16:creationId xmlns:a16="http://schemas.microsoft.com/office/drawing/2014/main" id="{CF4B091D-B6A5-44B6-BABD-D0C2375941D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8" name="Rectangle 14">
          <a:extLst>
            <a:ext uri="{FF2B5EF4-FFF2-40B4-BE49-F238E27FC236}">
              <a16:creationId xmlns:a16="http://schemas.microsoft.com/office/drawing/2014/main" id="{EC481877-111A-4E63-8AF6-8C639A517BE3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9" name="Rectangle 15">
          <a:extLst>
            <a:ext uri="{FF2B5EF4-FFF2-40B4-BE49-F238E27FC236}">
              <a16:creationId xmlns:a16="http://schemas.microsoft.com/office/drawing/2014/main" id="{2C2D491B-D919-4393-9A36-569C0878C9A9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500" name="Rectangle 16">
          <a:extLst>
            <a:ext uri="{FF2B5EF4-FFF2-40B4-BE49-F238E27FC236}">
              <a16:creationId xmlns:a16="http://schemas.microsoft.com/office/drawing/2014/main" id="{9206CFF4-D81C-4738-8166-E0A8B8BA9261}"/>
            </a:ext>
          </a:extLst>
        </xdr:cNvPr>
        <xdr:cNvSpPr>
          <a:spLocks noChangeArrowheads="1"/>
        </xdr:cNvSpPr>
      </xdr:nvSpPr>
      <xdr:spPr bwMode="auto">
        <a:xfrm>
          <a:off x="4362450" y="2181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3501" name="Picture 34">
          <a:extLst>
            <a:ext uri="{FF2B5EF4-FFF2-40B4-BE49-F238E27FC236}">
              <a16:creationId xmlns:a16="http://schemas.microsoft.com/office/drawing/2014/main" id="{C4AAE834-1636-40B3-8763-4434E36CE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186750</xdr:colOff>
      <xdr:row>0</xdr:row>
      <xdr:rowOff>201408</xdr:rowOff>
    </xdr:from>
    <xdr:to>
      <xdr:col>1</xdr:col>
      <xdr:colOff>3399</xdr:colOff>
      <xdr:row>7</xdr:row>
      <xdr:rowOff>98194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47EA376-256F-4A1C-9205-07F39DB1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750" y="201408"/>
          <a:ext cx="1678106" cy="211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1</xdr:row>
      <xdr:rowOff>9526</xdr:rowOff>
    </xdr:from>
    <xdr:to>
      <xdr:col>0</xdr:col>
      <xdr:colOff>1505646</xdr:colOff>
      <xdr:row>7</xdr:row>
      <xdr:rowOff>58240</xdr:rowOff>
    </xdr:to>
    <xdr:pic>
      <xdr:nvPicPr>
        <xdr:cNvPr id="730700" name="Picture 6">
          <a:extLst>
            <a:ext uri="{FF2B5EF4-FFF2-40B4-BE49-F238E27FC236}">
              <a16:creationId xmlns:a16="http://schemas.microsoft.com/office/drawing/2014/main" id="{03C83B12-212C-424C-BE0A-5A0E1565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499383"/>
          <a:ext cx="1465096" cy="1936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272563</xdr:colOff>
      <xdr:row>8</xdr:row>
      <xdr:rowOff>123750</xdr:rowOff>
    </xdr:from>
    <xdr:to>
      <xdr:col>11</xdr:col>
      <xdr:colOff>1641639</xdr:colOff>
      <xdr:row>10</xdr:row>
      <xdr:rowOff>152121</xdr:rowOff>
    </xdr:to>
    <xdr:pic>
      <xdr:nvPicPr>
        <xdr:cNvPr id="5" name="รูปภาพ 3">
          <a:extLst>
            <a:ext uri="{FF2B5EF4-FFF2-40B4-BE49-F238E27FC236}">
              <a16:creationId xmlns:a16="http://schemas.microsoft.com/office/drawing/2014/main" id="{8447DAB0-EE7C-43F1-A8A0-697CA69B0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5963" y="2609775"/>
          <a:ext cx="5655326" cy="654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390895</xdr:colOff>
      <xdr:row>2</xdr:row>
      <xdr:rowOff>87928</xdr:rowOff>
    </xdr:from>
    <xdr:to>
      <xdr:col>36</xdr:col>
      <xdr:colOff>244753</xdr:colOff>
      <xdr:row>30</xdr:row>
      <xdr:rowOff>248888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52527402-1D99-479D-8D68-10EB9030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72574" y="741071"/>
          <a:ext cx="7436847" cy="8986281"/>
        </a:xfrm>
        <a:prstGeom prst="rect">
          <a:avLst/>
        </a:prstGeom>
      </xdr:spPr>
    </xdr:pic>
    <xdr:clientData/>
  </xdr:twoCellAnchor>
  <xdr:twoCellAnchor>
    <xdr:from>
      <xdr:col>18</xdr:col>
      <xdr:colOff>287201</xdr:colOff>
      <xdr:row>22</xdr:row>
      <xdr:rowOff>27214</xdr:rowOff>
    </xdr:from>
    <xdr:to>
      <xdr:col>35</xdr:col>
      <xdr:colOff>209821</xdr:colOff>
      <xdr:row>23</xdr:row>
      <xdr:rowOff>236129</xdr:rowOff>
    </xdr:to>
    <xdr:sp macro="" textlink="">
      <xdr:nvSpPr>
        <xdr:cNvPr id="6" name="Rectangle 2">
          <a:extLst>
            <a:ext uri="{FF2B5EF4-FFF2-40B4-BE49-F238E27FC236}">
              <a16:creationId xmlns:a16="http://schemas.microsoft.com/office/drawing/2014/main" id="{F8967AAF-4AB1-4A77-9C41-13B6CCC661CD}"/>
            </a:ext>
          </a:extLst>
        </xdr:cNvPr>
        <xdr:cNvSpPr/>
      </xdr:nvSpPr>
      <xdr:spPr>
        <a:xfrm flipV="1">
          <a:off x="28590058" y="6953250"/>
          <a:ext cx="6467656" cy="535486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764509" name="Rectangle 1">
          <a:extLst>
            <a:ext uri="{FF2B5EF4-FFF2-40B4-BE49-F238E27FC236}">
              <a16:creationId xmlns:a16="http://schemas.microsoft.com/office/drawing/2014/main" id="{300EAF00-A388-4886-B873-96DE91CEEC70}"/>
            </a:ext>
          </a:extLst>
        </xdr:cNvPr>
        <xdr:cNvSpPr>
          <a:spLocks noChangeArrowheads="1"/>
        </xdr:cNvSpPr>
      </xdr:nvSpPr>
      <xdr:spPr bwMode="auto">
        <a:xfrm>
          <a:off x="137636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0" name="Rectangle 2">
          <a:extLst>
            <a:ext uri="{FF2B5EF4-FFF2-40B4-BE49-F238E27FC236}">
              <a16:creationId xmlns:a16="http://schemas.microsoft.com/office/drawing/2014/main" id="{9EF44D02-E641-4BC5-8AD2-5653EB6FA9A1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1" name="Rectangle 3">
          <a:extLst>
            <a:ext uri="{FF2B5EF4-FFF2-40B4-BE49-F238E27FC236}">
              <a16:creationId xmlns:a16="http://schemas.microsoft.com/office/drawing/2014/main" id="{F68C10AC-FE19-4DA1-A55E-00AC58F0705B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2" name="Rectangle 4">
          <a:extLst>
            <a:ext uri="{FF2B5EF4-FFF2-40B4-BE49-F238E27FC236}">
              <a16:creationId xmlns:a16="http://schemas.microsoft.com/office/drawing/2014/main" id="{4E7F884B-4892-4A4D-B913-B8CADC6E9F5F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3" name="Rectangle 5">
          <a:extLst>
            <a:ext uri="{FF2B5EF4-FFF2-40B4-BE49-F238E27FC236}">
              <a16:creationId xmlns:a16="http://schemas.microsoft.com/office/drawing/2014/main" id="{FF780E91-4DB6-452D-BB72-D8A4C14CCEA0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4" name="Rectangle 6">
          <a:extLst>
            <a:ext uri="{FF2B5EF4-FFF2-40B4-BE49-F238E27FC236}">
              <a16:creationId xmlns:a16="http://schemas.microsoft.com/office/drawing/2014/main" id="{B454FA83-ADB8-4112-8BAF-98774D284E46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5" name="Rectangle 7">
          <a:extLst>
            <a:ext uri="{FF2B5EF4-FFF2-40B4-BE49-F238E27FC236}">
              <a16:creationId xmlns:a16="http://schemas.microsoft.com/office/drawing/2014/main" id="{E9C5723B-9E44-4280-8E1C-B14EA44946E7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6" name="Rectangle 8">
          <a:extLst>
            <a:ext uri="{FF2B5EF4-FFF2-40B4-BE49-F238E27FC236}">
              <a16:creationId xmlns:a16="http://schemas.microsoft.com/office/drawing/2014/main" id="{70891A5F-92B5-494D-BE20-9E722D8B5913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7" name="Rectangle 9">
          <a:extLst>
            <a:ext uri="{FF2B5EF4-FFF2-40B4-BE49-F238E27FC236}">
              <a16:creationId xmlns:a16="http://schemas.microsoft.com/office/drawing/2014/main" id="{219B4D20-C576-48E8-A043-0507D8FA39C8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8" name="Rectangle 10">
          <a:extLst>
            <a:ext uri="{FF2B5EF4-FFF2-40B4-BE49-F238E27FC236}">
              <a16:creationId xmlns:a16="http://schemas.microsoft.com/office/drawing/2014/main" id="{C87DB484-D871-489C-A092-45C82610B1E7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19" name="Rectangle 11">
          <a:extLst>
            <a:ext uri="{FF2B5EF4-FFF2-40B4-BE49-F238E27FC236}">
              <a16:creationId xmlns:a16="http://schemas.microsoft.com/office/drawing/2014/main" id="{E13E6A43-4670-4B04-85E5-27A14975DB88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20" name="Rectangle 12">
          <a:extLst>
            <a:ext uri="{FF2B5EF4-FFF2-40B4-BE49-F238E27FC236}">
              <a16:creationId xmlns:a16="http://schemas.microsoft.com/office/drawing/2014/main" id="{9C5EB26D-CFC0-4F04-83CD-3669D00ABAA3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21" name="Rectangle 13">
          <a:extLst>
            <a:ext uri="{FF2B5EF4-FFF2-40B4-BE49-F238E27FC236}">
              <a16:creationId xmlns:a16="http://schemas.microsoft.com/office/drawing/2014/main" id="{EE473085-6F59-4F51-911E-891B6A36886F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22" name="Rectangle 14">
          <a:extLst>
            <a:ext uri="{FF2B5EF4-FFF2-40B4-BE49-F238E27FC236}">
              <a16:creationId xmlns:a16="http://schemas.microsoft.com/office/drawing/2014/main" id="{DDF059F5-EDBA-41AA-851B-3F97F6D40C4B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23" name="Rectangle 15">
          <a:extLst>
            <a:ext uri="{FF2B5EF4-FFF2-40B4-BE49-F238E27FC236}">
              <a16:creationId xmlns:a16="http://schemas.microsoft.com/office/drawing/2014/main" id="{17E88C94-3DF2-41AA-AE59-8F4B82E8FD3B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64524" name="Rectangle 16">
          <a:extLst>
            <a:ext uri="{FF2B5EF4-FFF2-40B4-BE49-F238E27FC236}">
              <a16:creationId xmlns:a16="http://schemas.microsoft.com/office/drawing/2014/main" id="{195E49B7-4D89-41A8-A856-CBD6AA746196}"/>
            </a:ext>
          </a:extLst>
        </xdr:cNvPr>
        <xdr:cNvSpPr>
          <a:spLocks noChangeArrowheads="1"/>
        </xdr:cNvSpPr>
      </xdr:nvSpPr>
      <xdr:spPr bwMode="auto">
        <a:xfrm>
          <a:off x="1376362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13608</xdr:colOff>
      <xdr:row>1</xdr:row>
      <xdr:rowOff>41863</xdr:rowOff>
    </xdr:from>
    <xdr:to>
      <xdr:col>0</xdr:col>
      <xdr:colOff>1505223</xdr:colOff>
      <xdr:row>6</xdr:row>
      <xdr:rowOff>284519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5B790510-3C91-4EE6-A8B8-192620D34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478892"/>
          <a:ext cx="1495425" cy="1891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765533" name="Rectangle 1">
          <a:extLst>
            <a:ext uri="{FF2B5EF4-FFF2-40B4-BE49-F238E27FC236}">
              <a16:creationId xmlns:a16="http://schemas.microsoft.com/office/drawing/2014/main" id="{20B3DF1A-831C-45B2-A8C6-11D40C30BD62}"/>
            </a:ext>
          </a:extLst>
        </xdr:cNvPr>
        <xdr:cNvSpPr>
          <a:spLocks noChangeArrowheads="1"/>
        </xdr:cNvSpPr>
      </xdr:nvSpPr>
      <xdr:spPr bwMode="auto">
        <a:xfrm>
          <a:off x="14668500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4" name="Rectangle 2">
          <a:extLst>
            <a:ext uri="{FF2B5EF4-FFF2-40B4-BE49-F238E27FC236}">
              <a16:creationId xmlns:a16="http://schemas.microsoft.com/office/drawing/2014/main" id="{34F8286C-9580-450C-8901-85D1B4C4A9B7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5" name="Rectangle 3">
          <a:extLst>
            <a:ext uri="{FF2B5EF4-FFF2-40B4-BE49-F238E27FC236}">
              <a16:creationId xmlns:a16="http://schemas.microsoft.com/office/drawing/2014/main" id="{722FC0DF-1CBE-46D6-A092-2A767716DCBA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6" name="Rectangle 4">
          <a:extLst>
            <a:ext uri="{FF2B5EF4-FFF2-40B4-BE49-F238E27FC236}">
              <a16:creationId xmlns:a16="http://schemas.microsoft.com/office/drawing/2014/main" id="{5BC203D3-E891-4046-B165-9F37C8A13E1D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7" name="Rectangle 5">
          <a:extLst>
            <a:ext uri="{FF2B5EF4-FFF2-40B4-BE49-F238E27FC236}">
              <a16:creationId xmlns:a16="http://schemas.microsoft.com/office/drawing/2014/main" id="{5C7BF50B-2F50-4C46-B49A-1DEE1D1A951E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8" name="Rectangle 6">
          <a:extLst>
            <a:ext uri="{FF2B5EF4-FFF2-40B4-BE49-F238E27FC236}">
              <a16:creationId xmlns:a16="http://schemas.microsoft.com/office/drawing/2014/main" id="{B513722B-1006-4AC4-9FF4-CBF3384952F6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39" name="Rectangle 7">
          <a:extLst>
            <a:ext uri="{FF2B5EF4-FFF2-40B4-BE49-F238E27FC236}">
              <a16:creationId xmlns:a16="http://schemas.microsoft.com/office/drawing/2014/main" id="{663BC116-6B0D-403C-805B-4C162F772B84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0" name="Rectangle 8">
          <a:extLst>
            <a:ext uri="{FF2B5EF4-FFF2-40B4-BE49-F238E27FC236}">
              <a16:creationId xmlns:a16="http://schemas.microsoft.com/office/drawing/2014/main" id="{32F1851A-88D5-40D9-9208-4784C112596F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1" name="Rectangle 9">
          <a:extLst>
            <a:ext uri="{FF2B5EF4-FFF2-40B4-BE49-F238E27FC236}">
              <a16:creationId xmlns:a16="http://schemas.microsoft.com/office/drawing/2014/main" id="{4E76BACE-B3D9-450C-ACF6-697CB77556FA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2" name="Rectangle 10">
          <a:extLst>
            <a:ext uri="{FF2B5EF4-FFF2-40B4-BE49-F238E27FC236}">
              <a16:creationId xmlns:a16="http://schemas.microsoft.com/office/drawing/2014/main" id="{4BF628AA-E639-4380-A4DE-446789D8A789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3" name="Rectangle 11">
          <a:extLst>
            <a:ext uri="{FF2B5EF4-FFF2-40B4-BE49-F238E27FC236}">
              <a16:creationId xmlns:a16="http://schemas.microsoft.com/office/drawing/2014/main" id="{6EDA06BE-E48D-460C-9DE8-41C17EAED8BF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4" name="Rectangle 12">
          <a:extLst>
            <a:ext uri="{FF2B5EF4-FFF2-40B4-BE49-F238E27FC236}">
              <a16:creationId xmlns:a16="http://schemas.microsoft.com/office/drawing/2014/main" id="{BE9BF9F6-7D23-493F-8680-54EB29D89137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5" name="Rectangle 13">
          <a:extLst>
            <a:ext uri="{FF2B5EF4-FFF2-40B4-BE49-F238E27FC236}">
              <a16:creationId xmlns:a16="http://schemas.microsoft.com/office/drawing/2014/main" id="{6506CC77-4E99-4BD3-A7C8-785DBF74E118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6" name="Rectangle 14">
          <a:extLst>
            <a:ext uri="{FF2B5EF4-FFF2-40B4-BE49-F238E27FC236}">
              <a16:creationId xmlns:a16="http://schemas.microsoft.com/office/drawing/2014/main" id="{CE0DA69F-E595-437C-863A-3BB4ECF4E4BA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7" name="Rectangle 15">
          <a:extLst>
            <a:ext uri="{FF2B5EF4-FFF2-40B4-BE49-F238E27FC236}">
              <a16:creationId xmlns:a16="http://schemas.microsoft.com/office/drawing/2014/main" id="{AE79DB9A-84BD-444E-BA30-09D55ADBF5A9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5548" name="Rectangle 16">
          <a:extLst>
            <a:ext uri="{FF2B5EF4-FFF2-40B4-BE49-F238E27FC236}">
              <a16:creationId xmlns:a16="http://schemas.microsoft.com/office/drawing/2014/main" id="{88934379-7D49-43F9-9D50-99D37A509638}"/>
            </a:ext>
          </a:extLst>
        </xdr:cNvPr>
        <xdr:cNvSpPr>
          <a:spLocks noChangeArrowheads="1"/>
        </xdr:cNvSpPr>
      </xdr:nvSpPr>
      <xdr:spPr bwMode="auto">
        <a:xfrm>
          <a:off x="14668500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11206</xdr:colOff>
      <xdr:row>1</xdr:row>
      <xdr:rowOff>8997</xdr:rowOff>
    </xdr:from>
    <xdr:to>
      <xdr:col>1</xdr:col>
      <xdr:colOff>1466825</xdr:colOff>
      <xdr:row>6</xdr:row>
      <xdr:rowOff>289448</xdr:rowOff>
    </xdr:to>
    <xdr:pic>
      <xdr:nvPicPr>
        <xdr:cNvPr id="8" name="Picture 18">
          <a:extLst>
            <a:ext uri="{FF2B5EF4-FFF2-40B4-BE49-F238E27FC236}">
              <a16:creationId xmlns:a16="http://schemas.microsoft.com/office/drawing/2014/main" id="{8B6783CC-12D5-4BE6-8FA1-B7142751D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311556"/>
          <a:ext cx="1463239" cy="1793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0</xdr:row>
      <xdr:rowOff>212911</xdr:rowOff>
    </xdr:from>
    <xdr:to>
      <xdr:col>0</xdr:col>
      <xdr:colOff>1355639</xdr:colOff>
      <xdr:row>6</xdr:row>
      <xdr:rowOff>247426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9F5DD88-693B-44AC-9CA0-616EB41FE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2" t="1668"/>
        <a:stretch/>
      </xdr:blipFill>
      <xdr:spPr bwMode="auto">
        <a:xfrm>
          <a:off x="67236" y="212911"/>
          <a:ext cx="1284593" cy="1987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2174" name="Rectangle 1">
          <a:extLst>
            <a:ext uri="{FF2B5EF4-FFF2-40B4-BE49-F238E27FC236}">
              <a16:creationId xmlns:a16="http://schemas.microsoft.com/office/drawing/2014/main" id="{32409D7A-E9B1-48BD-AB59-6C07FD0C5099}"/>
            </a:ext>
          </a:extLst>
        </xdr:cNvPr>
        <xdr:cNvSpPr>
          <a:spLocks noChangeArrowheads="1"/>
        </xdr:cNvSpPr>
      </xdr:nvSpPr>
      <xdr:spPr bwMode="auto">
        <a:xfrm>
          <a:off x="6810375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75" name="Rectangle 2">
          <a:extLst>
            <a:ext uri="{FF2B5EF4-FFF2-40B4-BE49-F238E27FC236}">
              <a16:creationId xmlns:a16="http://schemas.microsoft.com/office/drawing/2014/main" id="{25CD58BD-287E-4F88-8BA1-5A7C0FB2DD27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76" name="Rectangle 3">
          <a:extLst>
            <a:ext uri="{FF2B5EF4-FFF2-40B4-BE49-F238E27FC236}">
              <a16:creationId xmlns:a16="http://schemas.microsoft.com/office/drawing/2014/main" id="{4A41B76D-09BC-429F-B059-9C838A2E5CCA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77" name="Rectangle 4">
          <a:extLst>
            <a:ext uri="{FF2B5EF4-FFF2-40B4-BE49-F238E27FC236}">
              <a16:creationId xmlns:a16="http://schemas.microsoft.com/office/drawing/2014/main" id="{E6D2ED0A-70DD-47C8-AD12-28D6EB0B57AA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78" name="Rectangle 5">
          <a:extLst>
            <a:ext uri="{FF2B5EF4-FFF2-40B4-BE49-F238E27FC236}">
              <a16:creationId xmlns:a16="http://schemas.microsoft.com/office/drawing/2014/main" id="{16B06C21-6A25-482C-8E6B-BFC7F94F979D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79" name="Rectangle 6">
          <a:extLst>
            <a:ext uri="{FF2B5EF4-FFF2-40B4-BE49-F238E27FC236}">
              <a16:creationId xmlns:a16="http://schemas.microsoft.com/office/drawing/2014/main" id="{EB5EE728-5BBA-46D6-A3F1-76F20D2D8D84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0" name="Rectangle 7">
          <a:extLst>
            <a:ext uri="{FF2B5EF4-FFF2-40B4-BE49-F238E27FC236}">
              <a16:creationId xmlns:a16="http://schemas.microsoft.com/office/drawing/2014/main" id="{AADD45EF-A5B1-49C0-B6D2-0C18FF7F57CA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1" name="Rectangle 8">
          <a:extLst>
            <a:ext uri="{FF2B5EF4-FFF2-40B4-BE49-F238E27FC236}">
              <a16:creationId xmlns:a16="http://schemas.microsoft.com/office/drawing/2014/main" id="{465FDB2A-0B61-44A0-B8D5-84F30BCA2A7A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2" name="Rectangle 9">
          <a:extLst>
            <a:ext uri="{FF2B5EF4-FFF2-40B4-BE49-F238E27FC236}">
              <a16:creationId xmlns:a16="http://schemas.microsoft.com/office/drawing/2014/main" id="{1F83C5BC-8907-433E-B0D7-A2D1C9BB4EC9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3" name="Rectangle 10">
          <a:extLst>
            <a:ext uri="{FF2B5EF4-FFF2-40B4-BE49-F238E27FC236}">
              <a16:creationId xmlns:a16="http://schemas.microsoft.com/office/drawing/2014/main" id="{9FE8CA30-9132-4E84-90FC-B3FFB6162649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4" name="Rectangle 11">
          <a:extLst>
            <a:ext uri="{FF2B5EF4-FFF2-40B4-BE49-F238E27FC236}">
              <a16:creationId xmlns:a16="http://schemas.microsoft.com/office/drawing/2014/main" id="{C252F5A1-6A16-4DE8-814F-732770EB4295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5" name="Rectangle 12">
          <a:extLst>
            <a:ext uri="{FF2B5EF4-FFF2-40B4-BE49-F238E27FC236}">
              <a16:creationId xmlns:a16="http://schemas.microsoft.com/office/drawing/2014/main" id="{47526C0F-ABB6-4E02-87E3-F046A6A4FFE2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6" name="Rectangle 13">
          <a:extLst>
            <a:ext uri="{FF2B5EF4-FFF2-40B4-BE49-F238E27FC236}">
              <a16:creationId xmlns:a16="http://schemas.microsoft.com/office/drawing/2014/main" id="{7CA5A971-CAC8-46DF-86BE-55727D19E0DB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7" name="Rectangle 14">
          <a:extLst>
            <a:ext uri="{FF2B5EF4-FFF2-40B4-BE49-F238E27FC236}">
              <a16:creationId xmlns:a16="http://schemas.microsoft.com/office/drawing/2014/main" id="{D4069D53-D159-42B4-82A3-FAE540BD9EC9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8" name="Rectangle 15">
          <a:extLst>
            <a:ext uri="{FF2B5EF4-FFF2-40B4-BE49-F238E27FC236}">
              <a16:creationId xmlns:a16="http://schemas.microsoft.com/office/drawing/2014/main" id="{CCC967AA-9A20-40D8-83CB-298F7DA5BF80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2237</xdr:row>
      <xdr:rowOff>0</xdr:rowOff>
    </xdr:from>
    <xdr:to>
      <xdr:col>3</xdr:col>
      <xdr:colOff>0</xdr:colOff>
      <xdr:row>2237</xdr:row>
      <xdr:rowOff>0</xdr:rowOff>
    </xdr:to>
    <xdr:sp macro="" textlink="">
      <xdr:nvSpPr>
        <xdr:cNvPr id="772189" name="Rectangle 16">
          <a:extLst>
            <a:ext uri="{FF2B5EF4-FFF2-40B4-BE49-F238E27FC236}">
              <a16:creationId xmlns:a16="http://schemas.microsoft.com/office/drawing/2014/main" id="{4758E670-829B-4943-A186-36EED94B5410}"/>
            </a:ext>
          </a:extLst>
        </xdr:cNvPr>
        <xdr:cNvSpPr>
          <a:spLocks noChangeArrowheads="1"/>
        </xdr:cNvSpPr>
      </xdr:nvSpPr>
      <xdr:spPr bwMode="auto">
        <a:xfrm>
          <a:off x="6810375" y="30053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40005</xdr:colOff>
      <xdr:row>0</xdr:row>
      <xdr:rowOff>300990</xdr:rowOff>
    </xdr:from>
    <xdr:to>
      <xdr:col>1</xdr:col>
      <xdr:colOff>611505</xdr:colOff>
      <xdr:row>6</xdr:row>
      <xdr:rowOff>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9B56C-2195-42D1-AD5B-482DAF5D8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" y="300990"/>
          <a:ext cx="1257300" cy="153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5.BOQ%20&#3650;&#3588;&#3619;&#3591;&#3585;&#3634;&#3619;&#3585;&#3656;&#3629;&#3626;&#3619;&#3657;&#3634;&#3591;&#3629;&#3634;&#3588;&#3634;&#3619;&#3648;&#3619;&#3637;&#3618;&#3609;&#3649;&#3621;&#3632;&#3611;&#3599;&#3636;&#3610;&#3633;&#3605;&#3636;&#3585;&#3634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2106e1eb637d634/ONLINE_19%20&#3617;&#3607;&#3619;.&#3614;&#3619;&#3632;&#3609;&#3588;&#3619;&#3648;&#3627;&#3609;&#3639;&#3629;/&#3626;&#3656;&#3591;&#3591;&#3634;&#3609;/3.%20BOQ/BOQ_AOD_&#3591;&#3634;&#3609;&#3619;&#3632;&#3610;&#3610;_071125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f)"/>
      <sheetName val="SUMMARY (3)ใช้"/>
      <sheetName val="SUMMARY (f) (ใช้)"/>
      <sheetName val="ปร6"/>
      <sheetName val="ปร5.ก"/>
      <sheetName val="ปร5ข"/>
      <sheetName val="ปร4 พ"/>
      <sheetName val="กลุ่มงานที่1 "/>
      <sheetName val="1.งานวิศวกรรมโครงสร้าง"/>
      <sheetName val="2.งานสถาปัตยกรรม "/>
      <sheetName val="3.งานระบบสุขาภิบาลและดับเพลิง"/>
      <sheetName val="4.งานระบบไฟฟ้าและสื่อสาร"/>
      <sheetName val="5.งานระบบปรับอากาศและระบายอากาศ"/>
      <sheetName val="6.งานระบบลิฟต์"/>
      <sheetName val="7.กลุ่มงานที่ 2"/>
      <sheetName val="งานครุภัณฑ์จัดจ้างหรือสั่งทำ"/>
      <sheetName val="8.กลุ่มงานที่ 3"/>
      <sheetName val="งานภูมิทัศน์"/>
      <sheetName val="9.ส่วนงานที่2"/>
      <sheetName val="งานครุภัณฑ์จัดชื้อ"/>
      <sheetName val="10.ส่วนงานที่3 "/>
      <sheetName val="ค่าใช้จ่ายพิเศษ .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    </cell>
        </row>
        <row r="3">
          <cell r="B3" t="str">
            <v>หน่วยงานเจ้าของโครงการ/งานก่อสร้าง    มหาวิทยาลัยเทคโนโลยีราชมงคลพระนคร ศูนย์พระนครเหนือ</v>
          </cell>
        </row>
        <row r="4">
          <cell r="B4" t="str">
    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  <row r="5">
          <cell r="B5" t="str">
            <v>แบบเลขที่  RMUTP-DOA-63-4-PL001.</v>
          </cell>
        </row>
        <row r="6">
          <cell r="B6" t="str">
    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</sheetData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แบบแสดงรายการ ปริมาณงาน และราคา  </v>
          </cell>
          <cell r="B1"/>
          <cell r="C1"/>
          <cell r="D1"/>
          <cell r="E1"/>
          <cell r="F1"/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 xml:space="preserve">แบบแสดงรายการ ปริมาณงาน และราคา  </v>
          </cell>
          <cell r="B1"/>
          <cell r="C1"/>
          <cell r="D1"/>
          <cell r="E1"/>
          <cell r="F1"/>
        </row>
        <row r="3">
          <cell r="B3" t="str">
            <v>หน่วยงานเจ้าของโครงการ/งานก่อสร้าง    มหาวิทยาลัยเทคโนโลยีราชมงคลพระนคร ศูนย์พระนครเหนือ</v>
          </cell>
        </row>
        <row r="4">
          <cell r="B4" t="str">
    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  <row r="5">
          <cell r="B5" t="str">
            <v>แบบเลขที่  RMUTP-DOA-63-4-PL001.</v>
          </cell>
        </row>
        <row r="6">
          <cell r="B6" t="str">
    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f)"/>
      <sheetName val="SUMMARY (3)ใช้"/>
      <sheetName val="SUMMARY (f) (ใช้)"/>
      <sheetName val="ปร6"/>
      <sheetName val="ปร5.ก"/>
      <sheetName val="ปร5ข"/>
      <sheetName val="ปร4 พ"/>
      <sheetName val="กลุ่มงานที่1 "/>
      <sheetName val="1.งานวิศวกรรมโครงสร้าง"/>
      <sheetName val="2.งานสถาปัตยกรรม "/>
      <sheetName val="3.งานระบบสุขาภิบาลและดับเพลิง"/>
      <sheetName val="4.งานระบบไฟฟ้าและสื่อสาร"/>
      <sheetName val="5.งานระบบปรับอากาศและระบายอากาศ"/>
      <sheetName val="6.งานระบบลิฟต์"/>
      <sheetName val="7.กลุ่มงานที่ 2"/>
      <sheetName val="งานครุภัณฑ์จัดจ้างหรือสั่งชื้อ"/>
      <sheetName val="8.กลุ่มงานที่ 3"/>
      <sheetName val="งานภูมิทัศน์"/>
      <sheetName val="9.ส่วนงานที่2"/>
      <sheetName val="งานครุภัณฑ์จัดชื้อ"/>
      <sheetName val="10.ส่วนงานที่3 "/>
      <sheetName val="ค่าใช้จ่ายพิเศษ ."/>
    </sheetNames>
    <sheetDataSet>
      <sheetData sheetId="0"/>
      <sheetData sheetId="1"/>
      <sheetData sheetId="2"/>
      <sheetData sheetId="3">
        <row r="2">
          <cell r="B2" t="str">
    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รายการ</v>
          </cell>
        </row>
        <row r="3">
          <cell r="B3" t="str">
            <v>หน่วยงานเจ้าของโครงการ/งานก่อสร้าง    มหาวิทยาลัยเทคโนโลยีราชมงคลพระนคร ศูนย์พระนครเหนือ</v>
          </cell>
        </row>
        <row r="4">
          <cell r="B4" t="str">
    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  <row r="5">
          <cell r="B5" t="str">
            <v>แบบเลขที่  RMUTP-DOA-63-4-PL001.</v>
          </cell>
        </row>
        <row r="6">
          <cell r="B6" t="str">
    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    </cell>
        </row>
      </sheetData>
      <sheetData sheetId="4"/>
      <sheetData sheetId="5"/>
      <sheetData sheetId="6"/>
      <sheetData sheetId="7">
        <row r="1">
          <cell r="A1" t="str">
            <v xml:space="preserve">แบบแสดงรายการ ปริมาณงาน และราคา  </v>
          </cell>
          <cell r="B1"/>
          <cell r="C1"/>
          <cell r="D1"/>
          <cell r="E1"/>
          <cell r="F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U33"/>
  <sheetViews>
    <sheetView showGridLines="0" view="pageBreakPreview" topLeftCell="A4" zoomScale="55" zoomScaleNormal="60" zoomScaleSheetLayoutView="55" workbookViewId="0">
      <selection activeCell="K31" sqref="K31"/>
    </sheetView>
  </sheetViews>
  <sheetFormatPr defaultColWidth="9.42578125" defaultRowHeight="21.75"/>
  <cols>
    <col min="1" max="1" width="3.5703125" style="13" customWidth="1"/>
    <col min="2" max="2" width="9.42578125" style="34" customWidth="1"/>
    <col min="3" max="3" width="52.42578125" style="13" customWidth="1"/>
    <col min="4" max="4" width="12.5703125" style="2" customWidth="1"/>
    <col min="5" max="5" width="8.42578125" style="34" customWidth="1"/>
    <col min="6" max="6" width="16.42578125" style="10" customWidth="1"/>
    <col min="7" max="7" width="16.42578125" style="10" bestFit="1" customWidth="1"/>
    <col min="8" max="8" width="15.5703125" style="10" customWidth="1"/>
    <col min="9" max="9" width="17.5703125" style="10" customWidth="1"/>
    <col min="10" max="10" width="16.42578125" style="10" bestFit="1" customWidth="1"/>
    <col min="11" max="11" width="17.42578125" style="10" customWidth="1"/>
    <col min="12" max="12" width="13.5703125" style="13" customWidth="1"/>
    <col min="13" max="13" width="12.5703125" style="2" customWidth="1"/>
    <col min="14" max="14" width="8.42578125" style="34" customWidth="1"/>
    <col min="15" max="15" width="16.42578125" style="10" customWidth="1"/>
    <col min="16" max="16" width="16.42578125" style="10" bestFit="1" customWidth="1"/>
    <col min="17" max="17" width="15.5703125" style="10" customWidth="1"/>
    <col min="18" max="18" width="17.5703125" style="10" customWidth="1"/>
    <col min="19" max="19" width="16.42578125" style="10" bestFit="1" customWidth="1"/>
    <col min="20" max="20" width="17.42578125" style="10" customWidth="1"/>
    <col min="21" max="21" width="13.5703125" style="13" customWidth="1"/>
    <col min="22" max="16384" width="9.42578125" style="59"/>
  </cols>
  <sheetData>
    <row r="1" spans="1:21" ht="24.75" customHeight="1" thickTop="1">
      <c r="B1" s="2309"/>
      <c r="C1" s="37" t="s">
        <v>67</v>
      </c>
      <c r="D1" s="1"/>
      <c r="E1" s="11"/>
      <c r="F1" s="40"/>
      <c r="G1" s="11"/>
      <c r="H1" s="12"/>
      <c r="I1" s="2311" t="s">
        <v>70</v>
      </c>
      <c r="J1" s="2312"/>
      <c r="K1" s="2312"/>
      <c r="L1" s="2313"/>
      <c r="M1" s="1"/>
      <c r="N1" s="11"/>
      <c r="O1" s="40"/>
      <c r="P1" s="11"/>
      <c r="Q1" s="12"/>
      <c r="R1" s="2311" t="s">
        <v>70</v>
      </c>
      <c r="S1" s="2312"/>
      <c r="T1" s="2312"/>
      <c r="U1" s="2313"/>
    </row>
    <row r="2" spans="1:21" ht="24.75" customHeight="1">
      <c r="B2" s="2310"/>
      <c r="C2" s="38" t="s">
        <v>68</v>
      </c>
      <c r="E2" s="13"/>
      <c r="F2" s="39"/>
      <c r="G2" s="2313" t="s">
        <v>50</v>
      </c>
      <c r="H2" s="2313"/>
      <c r="I2" s="2313" t="s">
        <v>71</v>
      </c>
      <c r="J2" s="2313"/>
      <c r="K2" s="2313"/>
      <c r="L2" s="2313"/>
      <c r="N2" s="13"/>
      <c r="O2" s="39"/>
      <c r="P2" s="2313" t="s">
        <v>50</v>
      </c>
      <c r="Q2" s="2313"/>
      <c r="R2" s="2313" t="s">
        <v>71</v>
      </c>
      <c r="S2" s="2313"/>
      <c r="T2" s="2313"/>
      <c r="U2" s="2313"/>
    </row>
    <row r="3" spans="1:21" s="60" customFormat="1" ht="23.25">
      <c r="A3" s="14"/>
      <c r="B3" s="2307" t="s">
        <v>51</v>
      </c>
      <c r="C3" s="38" t="s">
        <v>66</v>
      </c>
      <c r="D3" s="2"/>
      <c r="E3" s="13"/>
      <c r="F3" s="41"/>
      <c r="G3" s="13"/>
      <c r="H3" s="3"/>
      <c r="I3" s="2313" t="s">
        <v>72</v>
      </c>
      <c r="J3" s="2313"/>
      <c r="K3" s="2313"/>
      <c r="L3" s="2313"/>
      <c r="M3" s="2"/>
      <c r="N3" s="13"/>
      <c r="O3" s="41"/>
      <c r="P3" s="13"/>
      <c r="Q3" s="3"/>
      <c r="R3" s="2313" t="s">
        <v>72</v>
      </c>
      <c r="S3" s="2313"/>
      <c r="T3" s="2313"/>
      <c r="U3" s="2313"/>
    </row>
    <row r="4" spans="1:21" s="61" customFormat="1" ht="22.5" thickBot="1">
      <c r="A4" s="19"/>
      <c r="B4" s="2308"/>
      <c r="C4" s="15" t="s">
        <v>69</v>
      </c>
      <c r="D4" s="16"/>
      <c r="E4" s="17"/>
      <c r="F4" s="42"/>
      <c r="G4" s="17"/>
      <c r="H4" s="18"/>
      <c r="I4" s="2313" t="s">
        <v>73</v>
      </c>
      <c r="J4" s="2313"/>
      <c r="K4" s="2313"/>
      <c r="L4" s="2313"/>
      <c r="M4" s="16"/>
      <c r="N4" s="17"/>
      <c r="O4" s="42"/>
      <c r="P4" s="17"/>
      <c r="Q4" s="18"/>
      <c r="R4" s="2313" t="s">
        <v>73</v>
      </c>
      <c r="S4" s="2313"/>
      <c r="T4" s="2313"/>
      <c r="U4" s="2313"/>
    </row>
    <row r="5" spans="1:21" s="69" customFormat="1" ht="32.25" thickTop="1" thickBot="1">
      <c r="A5" s="66"/>
      <c r="B5" s="67"/>
      <c r="C5" s="68"/>
      <c r="D5" s="2313" t="s">
        <v>41</v>
      </c>
      <c r="E5" s="2313"/>
      <c r="F5" s="2313"/>
      <c r="G5" s="2313"/>
      <c r="H5" s="2313"/>
      <c r="I5" s="2313"/>
      <c r="J5" s="2313"/>
      <c r="K5" s="2313"/>
      <c r="L5" s="2313"/>
      <c r="M5" s="2313" t="s">
        <v>1</v>
      </c>
      <c r="N5" s="2313"/>
      <c r="O5" s="2313"/>
      <c r="P5" s="2313"/>
      <c r="Q5" s="2313"/>
      <c r="R5" s="2313"/>
      <c r="S5" s="2313"/>
      <c r="T5" s="2313"/>
      <c r="U5" s="2313"/>
    </row>
    <row r="6" spans="1:21" ht="22.5" thickTop="1">
      <c r="B6" s="2313" t="s">
        <v>52</v>
      </c>
      <c r="C6" s="2315" t="s">
        <v>53</v>
      </c>
      <c r="D6" s="2313" t="s">
        <v>54</v>
      </c>
      <c r="E6" s="2315" t="s">
        <v>55</v>
      </c>
      <c r="F6" s="2314" t="s">
        <v>56</v>
      </c>
      <c r="G6" s="2314"/>
      <c r="H6" s="2314"/>
      <c r="I6" s="2314" t="s">
        <v>57</v>
      </c>
      <c r="J6" s="2314"/>
      <c r="K6" s="2314"/>
      <c r="L6" s="2313" t="s">
        <v>58</v>
      </c>
      <c r="M6" s="2313" t="s">
        <v>54</v>
      </c>
      <c r="N6" s="2315" t="s">
        <v>55</v>
      </c>
      <c r="O6" s="2314" t="s">
        <v>56</v>
      </c>
      <c r="P6" s="2314"/>
      <c r="Q6" s="2314"/>
      <c r="R6" s="2314" t="s">
        <v>57</v>
      </c>
      <c r="S6" s="2314"/>
      <c r="T6" s="2314"/>
      <c r="U6" s="2313" t="s">
        <v>58</v>
      </c>
    </row>
    <row r="7" spans="1:21">
      <c r="B7" s="2313"/>
      <c r="C7" s="2316"/>
      <c r="D7" s="2313"/>
      <c r="E7" s="2316"/>
      <c r="F7" s="4" t="s">
        <v>59</v>
      </c>
      <c r="G7" s="4" t="s">
        <v>60</v>
      </c>
      <c r="H7" s="4" t="s">
        <v>61</v>
      </c>
      <c r="I7" s="4" t="s">
        <v>62</v>
      </c>
      <c r="J7" s="4" t="s">
        <v>63</v>
      </c>
      <c r="K7" s="4" t="s">
        <v>64</v>
      </c>
      <c r="L7" s="2313"/>
      <c r="M7" s="2313"/>
      <c r="N7" s="2316"/>
      <c r="O7" s="4" t="s">
        <v>59</v>
      </c>
      <c r="P7" s="4" t="s">
        <v>60</v>
      </c>
      <c r="Q7" s="4" t="s">
        <v>61</v>
      </c>
      <c r="R7" s="4" t="s">
        <v>62</v>
      </c>
      <c r="S7" s="4" t="s">
        <v>63</v>
      </c>
      <c r="T7" s="4" t="s">
        <v>64</v>
      </c>
      <c r="U7" s="2313"/>
    </row>
    <row r="8" spans="1:21" s="62" customFormat="1">
      <c r="A8" s="23"/>
      <c r="B8" s="64"/>
      <c r="C8" s="20" t="s">
        <v>79</v>
      </c>
      <c r="D8" s="5"/>
      <c r="E8" s="21"/>
      <c r="F8" s="6"/>
      <c r="G8" s="6"/>
      <c r="H8" s="6"/>
      <c r="I8" s="6"/>
      <c r="J8" s="6"/>
      <c r="K8" s="65"/>
      <c r="L8" s="22"/>
      <c r="M8" s="5"/>
      <c r="N8" s="21"/>
      <c r="O8" s="6"/>
      <c r="P8" s="6"/>
      <c r="Q8" s="6"/>
      <c r="R8" s="6"/>
      <c r="S8" s="6"/>
      <c r="T8" s="65"/>
      <c r="U8" s="22"/>
    </row>
    <row r="9" spans="1:21" s="78" customFormat="1" ht="24">
      <c r="A9" s="70"/>
      <c r="B9" s="71"/>
      <c r="C9" s="72"/>
      <c r="D9" s="73"/>
      <c r="E9" s="74"/>
      <c r="F9" s="75"/>
      <c r="G9" s="75"/>
      <c r="H9" s="75"/>
      <c r="I9" s="75"/>
      <c r="J9" s="75"/>
      <c r="K9" s="76"/>
      <c r="L9" s="77"/>
      <c r="M9" s="73"/>
      <c r="N9" s="74"/>
      <c r="O9" s="75"/>
      <c r="P9" s="75"/>
      <c r="Q9" s="75"/>
      <c r="R9" s="75"/>
      <c r="S9" s="75"/>
      <c r="T9" s="76"/>
      <c r="U9" s="77"/>
    </row>
    <row r="10" spans="1:21" s="63" customFormat="1" ht="24">
      <c r="A10" s="79"/>
      <c r="B10" s="71" t="s">
        <v>74</v>
      </c>
      <c r="C10" s="72" t="s">
        <v>80</v>
      </c>
      <c r="D10" s="80"/>
      <c r="E10" s="81"/>
      <c r="F10" s="76"/>
      <c r="G10" s="76"/>
      <c r="H10" s="76"/>
      <c r="I10" s="76"/>
      <c r="J10" s="76"/>
      <c r="K10" s="76" t="e">
        <f>'ส่วนงานที่1 '!#REF!</f>
        <v>#REF!</v>
      </c>
      <c r="L10" s="82"/>
      <c r="M10" s="80"/>
      <c r="N10" s="81"/>
      <c r="O10" s="76"/>
      <c r="P10" s="76"/>
      <c r="Q10" s="76"/>
      <c r="R10" s="76"/>
      <c r="S10" s="76"/>
      <c r="T10" s="76" t="e">
        <f>'ส่วนงานที่1 '!#REF!</f>
        <v>#REF!</v>
      </c>
      <c r="U10" s="82"/>
    </row>
    <row r="11" spans="1:21" s="63" customFormat="1" ht="24">
      <c r="A11" s="79"/>
      <c r="B11" s="71" t="s">
        <v>75</v>
      </c>
      <c r="C11" s="72" t="s">
        <v>65</v>
      </c>
      <c r="D11" s="80"/>
      <c r="E11" s="81"/>
      <c r="F11" s="76"/>
      <c r="G11" s="76"/>
      <c r="H11" s="76"/>
      <c r="I11" s="76"/>
      <c r="J11" s="76"/>
      <c r="K11" s="76" t="e">
        <f>#REF!</f>
        <v>#REF!</v>
      </c>
      <c r="L11" s="82"/>
      <c r="M11" s="80"/>
      <c r="N11" s="81"/>
      <c r="O11" s="76"/>
      <c r="P11" s="76"/>
      <c r="Q11" s="76"/>
      <c r="R11" s="76"/>
      <c r="S11" s="76"/>
      <c r="T11" s="76" t="e">
        <f>#REF!</f>
        <v>#REF!</v>
      </c>
      <c r="U11" s="82"/>
    </row>
    <row r="12" spans="1:21" s="63" customFormat="1" ht="24">
      <c r="A12" s="79"/>
      <c r="B12" s="71" t="s">
        <v>76</v>
      </c>
      <c r="C12" s="72" t="s">
        <v>81</v>
      </c>
      <c r="D12" s="80"/>
      <c r="E12" s="81"/>
      <c r="F12" s="76"/>
      <c r="G12" s="76"/>
      <c r="H12" s="76"/>
      <c r="I12" s="76"/>
      <c r="J12" s="76"/>
      <c r="K12" s="76" t="e">
        <f>#REF!</f>
        <v>#REF!</v>
      </c>
      <c r="L12" s="82"/>
      <c r="M12" s="80"/>
      <c r="N12" s="81"/>
      <c r="O12" s="76"/>
      <c r="P12" s="76"/>
      <c r="Q12" s="76"/>
      <c r="R12" s="76"/>
      <c r="S12" s="76"/>
      <c r="T12" s="76" t="e">
        <f>#REF!</f>
        <v>#REF!</v>
      </c>
      <c r="U12" s="82"/>
    </row>
    <row r="13" spans="1:21" s="63" customFormat="1" ht="24">
      <c r="A13" s="79"/>
      <c r="B13" s="83"/>
      <c r="C13" s="84"/>
      <c r="D13" s="85"/>
      <c r="E13" s="86"/>
      <c r="F13" s="87"/>
      <c r="G13" s="87"/>
      <c r="H13" s="87"/>
      <c r="I13" s="87"/>
      <c r="J13" s="87"/>
      <c r="K13" s="87"/>
      <c r="L13" s="88"/>
      <c r="M13" s="85"/>
      <c r="N13" s="86"/>
      <c r="O13" s="87"/>
      <c r="P13" s="87"/>
      <c r="Q13" s="87"/>
      <c r="R13" s="87"/>
      <c r="S13" s="87"/>
      <c r="T13" s="87"/>
      <c r="U13" s="88"/>
    </row>
    <row r="14" spans="1:21" s="63" customFormat="1" ht="24">
      <c r="A14" s="79"/>
      <c r="B14" s="96"/>
      <c r="C14" s="97" t="s">
        <v>64</v>
      </c>
      <c r="D14" s="98"/>
      <c r="E14" s="99"/>
      <c r="F14" s="100"/>
      <c r="G14" s="100"/>
      <c r="H14" s="100"/>
      <c r="I14" s="100"/>
      <c r="J14" s="100"/>
      <c r="K14" s="100" t="e">
        <f>SUM(K10:K13)</f>
        <v>#REF!</v>
      </c>
      <c r="L14" s="101"/>
      <c r="M14" s="98"/>
      <c r="N14" s="99"/>
      <c r="O14" s="100"/>
      <c r="P14" s="100"/>
      <c r="Q14" s="100"/>
      <c r="R14" s="100"/>
      <c r="S14" s="100"/>
      <c r="T14" s="100"/>
      <c r="U14" s="102"/>
    </row>
    <row r="15" spans="1:21" s="63" customFormat="1" ht="24">
      <c r="A15" s="79"/>
      <c r="B15" s="89"/>
      <c r="C15" s="90" t="s">
        <v>43</v>
      </c>
      <c r="D15" s="103">
        <v>1.1860999999999999</v>
      </c>
      <c r="E15" s="92"/>
      <c r="F15" s="93"/>
      <c r="G15" s="93"/>
      <c r="H15" s="93"/>
      <c r="I15" s="93"/>
      <c r="J15" s="93"/>
      <c r="K15" s="94" t="e">
        <f>K14*D15</f>
        <v>#REF!</v>
      </c>
      <c r="L15" s="95"/>
      <c r="M15" s="91"/>
      <c r="N15" s="92"/>
      <c r="O15" s="93"/>
      <c r="P15" s="93"/>
      <c r="Q15" s="93"/>
      <c r="R15" s="93"/>
      <c r="S15" s="93"/>
      <c r="T15" s="94"/>
      <c r="U15" s="95"/>
    </row>
    <row r="16" spans="1:21" s="63" customFormat="1" ht="24">
      <c r="A16" s="79"/>
      <c r="B16" s="96"/>
      <c r="C16" s="97" t="s">
        <v>64</v>
      </c>
      <c r="D16" s="98"/>
      <c r="E16" s="99"/>
      <c r="F16" s="100"/>
      <c r="G16" s="100"/>
      <c r="H16" s="100"/>
      <c r="I16" s="100"/>
      <c r="J16" s="100"/>
      <c r="K16" s="100" t="e">
        <f>SUM(K14:K15)</f>
        <v>#REF!</v>
      </c>
      <c r="L16" s="101"/>
      <c r="M16" s="98"/>
      <c r="N16" s="99"/>
      <c r="O16" s="100"/>
      <c r="P16" s="100"/>
      <c r="Q16" s="100"/>
      <c r="R16" s="100"/>
      <c r="S16" s="100"/>
      <c r="T16" s="100"/>
      <c r="U16" s="102"/>
    </row>
    <row r="17" spans="2:21">
      <c r="B17" s="24"/>
      <c r="C17" s="8"/>
      <c r="D17" s="46"/>
      <c r="E17" s="47"/>
      <c r="F17" s="48"/>
      <c r="G17" s="48"/>
      <c r="H17" s="48"/>
      <c r="I17" s="48"/>
      <c r="J17" s="48"/>
      <c r="K17" s="7"/>
      <c r="L17" s="49"/>
      <c r="M17" s="46"/>
      <c r="N17" s="47"/>
      <c r="O17" s="48"/>
      <c r="P17" s="48"/>
      <c r="Q17" s="48"/>
      <c r="R17" s="48"/>
      <c r="S17" s="48"/>
      <c r="T17" s="7"/>
      <c r="U17" s="49"/>
    </row>
    <row r="18" spans="2:21" s="78" customFormat="1" ht="24">
      <c r="B18" s="71" t="s">
        <v>77</v>
      </c>
      <c r="C18" s="72" t="s">
        <v>78</v>
      </c>
      <c r="D18" s="73"/>
      <c r="E18" s="74"/>
      <c r="F18" s="75"/>
      <c r="G18" s="75"/>
      <c r="H18" s="75"/>
      <c r="I18" s="75"/>
      <c r="J18" s="75"/>
      <c r="K18" s="76" t="e">
        <f>+#REF!</f>
        <v>#REF!</v>
      </c>
      <c r="L18" s="77"/>
      <c r="M18" s="73"/>
      <c r="N18" s="74"/>
      <c r="O18" s="75"/>
      <c r="P18" s="75"/>
      <c r="Q18" s="75"/>
      <c r="R18" s="75"/>
      <c r="S18" s="75"/>
      <c r="T18" s="76" t="e">
        <f>#REF!</f>
        <v>#REF!</v>
      </c>
      <c r="U18" s="77"/>
    </row>
    <row r="19" spans="2:21">
      <c r="B19" s="45"/>
      <c r="C19" s="8"/>
      <c r="D19" s="46"/>
      <c r="E19" s="47"/>
      <c r="F19" s="44"/>
      <c r="G19" s="44"/>
      <c r="H19" s="44"/>
      <c r="I19" s="44"/>
      <c r="J19" s="44"/>
      <c r="K19" s="7"/>
      <c r="L19" s="49"/>
      <c r="M19" s="46"/>
      <c r="N19" s="47"/>
      <c r="O19" s="44"/>
      <c r="P19" s="44"/>
      <c r="Q19" s="44"/>
      <c r="R19" s="44"/>
      <c r="S19" s="44"/>
      <c r="T19" s="7"/>
      <c r="U19" s="49"/>
    </row>
    <row r="20" spans="2:21" s="63" customFormat="1" ht="24">
      <c r="B20" s="96"/>
      <c r="C20" s="97" t="s">
        <v>64</v>
      </c>
      <c r="D20" s="98"/>
      <c r="E20" s="99"/>
      <c r="F20" s="100"/>
      <c r="G20" s="100"/>
      <c r="H20" s="100"/>
      <c r="I20" s="100"/>
      <c r="J20" s="100"/>
      <c r="K20" s="100" t="e">
        <f>+K18+K16</f>
        <v>#REF!</v>
      </c>
      <c r="L20" s="101"/>
      <c r="M20" s="98"/>
      <c r="N20" s="99"/>
      <c r="O20" s="100"/>
      <c r="P20" s="100"/>
      <c r="Q20" s="100"/>
      <c r="R20" s="100"/>
      <c r="S20" s="100"/>
      <c r="T20" s="100"/>
      <c r="U20" s="102"/>
    </row>
    <row r="21" spans="2:21">
      <c r="B21" s="45"/>
      <c r="C21" s="8"/>
      <c r="D21" s="26"/>
      <c r="E21" s="43"/>
      <c r="F21" s="48"/>
      <c r="G21" s="44"/>
      <c r="H21" s="44"/>
      <c r="I21" s="44"/>
      <c r="J21" s="44"/>
      <c r="K21" s="7"/>
      <c r="L21" s="49"/>
      <c r="M21" s="26"/>
      <c r="N21" s="43"/>
      <c r="O21" s="48"/>
      <c r="P21" s="44"/>
      <c r="Q21" s="44"/>
      <c r="R21" s="44"/>
      <c r="S21" s="44"/>
      <c r="T21" s="7"/>
      <c r="U21" s="49"/>
    </row>
    <row r="22" spans="2:21">
      <c r="B22" s="45"/>
      <c r="C22" s="8"/>
      <c r="D22" s="26"/>
      <c r="E22" s="43"/>
      <c r="F22" s="48"/>
      <c r="G22" s="44"/>
      <c r="H22" s="44"/>
      <c r="I22" s="44"/>
      <c r="J22" s="44"/>
      <c r="K22" s="7"/>
      <c r="L22" s="49"/>
      <c r="M22" s="26"/>
      <c r="N22" s="43"/>
      <c r="O22" s="48"/>
      <c r="P22" s="44"/>
      <c r="Q22" s="44"/>
      <c r="R22" s="44"/>
      <c r="S22" s="44"/>
      <c r="T22" s="7"/>
      <c r="U22" s="49"/>
    </row>
    <row r="23" spans="2:21">
      <c r="B23" s="24"/>
      <c r="C23" s="8"/>
      <c r="D23" s="26"/>
      <c r="E23" s="43"/>
      <c r="F23" s="48"/>
      <c r="G23" s="44"/>
      <c r="H23" s="44"/>
      <c r="I23" s="44"/>
      <c r="J23" s="44"/>
      <c r="K23" s="7"/>
      <c r="L23" s="49"/>
      <c r="M23" s="26"/>
      <c r="N23" s="43"/>
      <c r="O23" s="48"/>
      <c r="P23" s="44"/>
      <c r="Q23" s="44"/>
      <c r="R23" s="44"/>
      <c r="S23" s="44"/>
      <c r="T23" s="7"/>
      <c r="U23" s="49"/>
    </row>
    <row r="24" spans="2:21">
      <c r="B24" s="24"/>
      <c r="C24" s="8"/>
      <c r="D24" s="26"/>
      <c r="E24" s="43"/>
      <c r="F24" s="48"/>
      <c r="G24" s="44"/>
      <c r="H24" s="44"/>
      <c r="I24" s="44"/>
      <c r="J24" s="44"/>
      <c r="K24" s="7"/>
      <c r="L24" s="49"/>
      <c r="M24" s="26"/>
      <c r="N24" s="43"/>
      <c r="O24" s="48"/>
      <c r="P24" s="44"/>
      <c r="Q24" s="44"/>
      <c r="R24" s="44"/>
      <c r="S24" s="44"/>
      <c r="T24" s="7"/>
      <c r="U24" s="49"/>
    </row>
    <row r="25" spans="2:21">
      <c r="B25" s="24"/>
      <c r="C25" s="8"/>
      <c r="D25" s="26"/>
      <c r="E25" s="43"/>
      <c r="F25" s="48"/>
      <c r="G25" s="44"/>
      <c r="H25" s="44"/>
      <c r="I25" s="44"/>
      <c r="J25" s="44"/>
      <c r="K25" s="7"/>
      <c r="L25" s="49"/>
      <c r="M25" s="26"/>
      <c r="N25" s="43"/>
      <c r="O25" s="48"/>
      <c r="P25" s="44"/>
      <c r="Q25" s="44"/>
      <c r="R25" s="44"/>
      <c r="S25" s="44"/>
      <c r="T25" s="7"/>
      <c r="U25" s="49"/>
    </row>
    <row r="26" spans="2:21">
      <c r="B26" s="24"/>
      <c r="C26" s="8"/>
      <c r="D26" s="26"/>
      <c r="E26" s="43"/>
      <c r="F26" s="44"/>
      <c r="G26" s="48"/>
      <c r="H26" s="48"/>
      <c r="I26" s="48"/>
      <c r="J26" s="48"/>
      <c r="K26" s="7"/>
      <c r="L26" s="49"/>
      <c r="M26" s="26"/>
      <c r="N26" s="43"/>
      <c r="O26" s="44"/>
      <c r="P26" s="48"/>
      <c r="Q26" s="48"/>
      <c r="R26" s="48"/>
      <c r="S26" s="48"/>
      <c r="T26" s="7"/>
      <c r="U26" s="49"/>
    </row>
    <row r="27" spans="2:21">
      <c r="B27" s="51"/>
      <c r="C27" s="52"/>
      <c r="D27" s="53"/>
      <c r="E27" s="54"/>
      <c r="F27" s="55"/>
      <c r="G27" s="56"/>
      <c r="H27" s="56"/>
      <c r="I27" s="56"/>
      <c r="J27" s="56"/>
      <c r="K27" s="57"/>
      <c r="L27" s="58"/>
      <c r="M27" s="53"/>
      <c r="N27" s="54"/>
      <c r="O27" s="55"/>
      <c r="P27" s="56"/>
      <c r="Q27" s="56"/>
      <c r="R27" s="56"/>
      <c r="S27" s="56"/>
      <c r="T27" s="57"/>
      <c r="U27" s="58"/>
    </row>
    <row r="28" spans="2:21">
      <c r="B28" s="51"/>
      <c r="C28" s="52"/>
      <c r="D28" s="53"/>
      <c r="E28" s="54"/>
      <c r="F28" s="55"/>
      <c r="G28" s="56"/>
      <c r="H28" s="56"/>
      <c r="I28" s="56"/>
      <c r="J28" s="56"/>
      <c r="K28" s="57"/>
      <c r="L28" s="58"/>
      <c r="M28" s="53"/>
      <c r="N28" s="54"/>
      <c r="O28" s="55"/>
      <c r="P28" s="56"/>
      <c r="Q28" s="56"/>
      <c r="R28" s="56"/>
      <c r="S28" s="56"/>
      <c r="T28" s="57"/>
      <c r="U28" s="58"/>
    </row>
    <row r="29" spans="2:21">
      <c r="B29" s="51"/>
      <c r="C29" s="52"/>
      <c r="D29" s="53"/>
      <c r="E29" s="54"/>
      <c r="F29" s="55"/>
      <c r="G29" s="56"/>
      <c r="H29" s="56"/>
      <c r="I29" s="56"/>
      <c r="J29" s="56"/>
      <c r="K29" s="57"/>
      <c r="L29" s="58"/>
      <c r="M29" s="53"/>
      <c r="N29" s="54"/>
      <c r="O29" s="55"/>
      <c r="P29" s="56"/>
      <c r="Q29" s="56"/>
      <c r="R29" s="56"/>
      <c r="S29" s="56"/>
      <c r="T29" s="57"/>
      <c r="U29" s="58"/>
    </row>
    <row r="30" spans="2:21">
      <c r="B30" s="51"/>
      <c r="C30" s="52"/>
      <c r="D30" s="53"/>
      <c r="E30" s="54"/>
      <c r="F30" s="55"/>
      <c r="G30" s="56"/>
      <c r="H30" s="56"/>
      <c r="I30" s="56"/>
      <c r="J30" s="56"/>
      <c r="K30" s="57"/>
      <c r="L30" s="58"/>
      <c r="M30" s="53"/>
      <c r="N30" s="54"/>
      <c r="O30" s="55"/>
      <c r="P30" s="56"/>
      <c r="Q30" s="56"/>
      <c r="R30" s="56"/>
      <c r="S30" s="56"/>
      <c r="T30" s="57"/>
      <c r="U30" s="58"/>
    </row>
    <row r="31" spans="2:21">
      <c r="B31" s="51"/>
      <c r="C31" s="52"/>
      <c r="D31" s="53"/>
      <c r="E31" s="54"/>
      <c r="F31" s="55"/>
      <c r="G31" s="56"/>
      <c r="H31" s="56"/>
      <c r="I31" s="56"/>
      <c r="J31" s="56"/>
      <c r="K31" s="57"/>
      <c r="L31" s="58"/>
      <c r="M31" s="53"/>
      <c r="N31" s="54"/>
      <c r="O31" s="55"/>
      <c r="P31" s="56"/>
      <c r="Q31" s="56"/>
      <c r="R31" s="56"/>
      <c r="S31" s="56"/>
      <c r="T31" s="57"/>
      <c r="U31" s="58"/>
    </row>
    <row r="32" spans="2:21">
      <c r="B32" s="25"/>
      <c r="C32" s="35"/>
      <c r="D32" s="27"/>
      <c r="E32" s="28"/>
      <c r="F32" s="29"/>
      <c r="G32" s="29"/>
      <c r="H32" s="29"/>
      <c r="I32" s="29"/>
      <c r="J32" s="29"/>
      <c r="K32" s="29"/>
      <c r="L32" s="36"/>
      <c r="M32" s="27"/>
      <c r="N32" s="28"/>
      <c r="O32" s="29"/>
      <c r="P32" s="29"/>
      <c r="Q32" s="29"/>
      <c r="R32" s="29"/>
      <c r="S32" s="29"/>
      <c r="T32" s="29"/>
      <c r="U32" s="36"/>
    </row>
    <row r="33" spans="2:21" s="63" customFormat="1" ht="24.75" thickBot="1">
      <c r="B33" s="30"/>
      <c r="C33" s="31" t="s">
        <v>82</v>
      </c>
      <c r="D33" s="9"/>
      <c r="E33" s="31"/>
      <c r="F33" s="32"/>
      <c r="G33" s="32"/>
      <c r="H33" s="32"/>
      <c r="I33" s="32">
        <f>SUM(I9:I32)</f>
        <v>0</v>
      </c>
      <c r="J33" s="32">
        <f>SUM(J9:J32)</f>
        <v>0</v>
      </c>
      <c r="K33" s="104" t="e">
        <f>+K20</f>
        <v>#REF!</v>
      </c>
      <c r="L33" s="33"/>
      <c r="M33" s="9"/>
      <c r="N33" s="31"/>
      <c r="O33" s="32"/>
      <c r="P33" s="32"/>
      <c r="Q33" s="32"/>
      <c r="R33" s="32">
        <f>SUM(R9:R32)</f>
        <v>0</v>
      </c>
      <c r="S33" s="32">
        <f>SUM(S9:S32)</f>
        <v>0</v>
      </c>
      <c r="T33" s="32" t="e">
        <f>SUM(T9:T32)</f>
        <v>#REF!</v>
      </c>
      <c r="U33" s="33"/>
    </row>
  </sheetData>
  <autoFilter ref="B6:L33" xr:uid="{00000000-0009-0000-0000-000000000000}">
    <filterColumn colId="4" showButton="0"/>
    <filterColumn colId="5" showButton="0"/>
    <filterColumn colId="7" showButton="0"/>
    <filterColumn colId="8" showButton="0"/>
  </autoFilter>
  <mergeCells count="26">
    <mergeCell ref="D5:L5"/>
    <mergeCell ref="M5:U5"/>
    <mergeCell ref="R6:T6"/>
    <mergeCell ref="U6:U7"/>
    <mergeCell ref="B6:B7"/>
    <mergeCell ref="C6:C7"/>
    <mergeCell ref="D6:D7"/>
    <mergeCell ref="E6:E7"/>
    <mergeCell ref="F6:H6"/>
    <mergeCell ref="I6:K6"/>
    <mergeCell ref="L6:L7"/>
    <mergeCell ref="M6:M7"/>
    <mergeCell ref="N6:N7"/>
    <mergeCell ref="O6:Q6"/>
    <mergeCell ref="B3:B4"/>
    <mergeCell ref="B1:B2"/>
    <mergeCell ref="I1:L1"/>
    <mergeCell ref="I3:L3"/>
    <mergeCell ref="R1:U1"/>
    <mergeCell ref="G2:H2"/>
    <mergeCell ref="I2:L2"/>
    <mergeCell ref="P2:Q2"/>
    <mergeCell ref="R2:U2"/>
    <mergeCell ref="R3:U3"/>
    <mergeCell ref="I4:L4"/>
    <mergeCell ref="R4:U4"/>
  </mergeCells>
  <phoneticPr fontId="0" type="noConversion"/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N1776"/>
  <sheetViews>
    <sheetView view="pageBreakPreview" zoomScale="85" zoomScaleNormal="85" zoomScaleSheetLayoutView="85" workbookViewId="0">
      <pane ySplit="1" topLeftCell="A1738" activePane="bottomLeft" state="frozen"/>
      <selection activeCell="B25" sqref="B25:B26"/>
      <selection pane="bottomLeft" activeCell="C1764" sqref="C1764"/>
    </sheetView>
  </sheetViews>
  <sheetFormatPr defaultColWidth="16.5703125" defaultRowHeight="24"/>
  <cols>
    <col min="1" max="1" width="11.42578125" style="1840" customWidth="1"/>
    <col min="2" max="2" width="10.7109375" style="1840" customWidth="1"/>
    <col min="3" max="3" width="62" style="1843" customWidth="1"/>
    <col min="4" max="4" width="11.140625" style="2096" customWidth="1"/>
    <col min="5" max="5" width="9.42578125" style="2097" customWidth="1"/>
    <col min="6" max="7" width="15" style="1870" customWidth="1"/>
    <col min="8" max="10" width="17.85546875" style="1870" customWidth="1"/>
    <col min="11" max="11" width="15.42578125" style="1871" customWidth="1"/>
    <col min="12" max="12" width="34.7109375" style="1871" bestFit="1" customWidth="1"/>
    <col min="13" max="13" width="57.7109375" style="1902" customWidth="1"/>
    <col min="14" max="14" width="8.5703125" style="1840" customWidth="1"/>
    <col min="15" max="16384" width="16.5703125" style="1861"/>
  </cols>
  <sheetData>
    <row r="1" spans="1:14" s="1836" customFormat="1" ht="27">
      <c r="A1" s="2396" t="str">
        <f>'[1]กลุ่มงานที่1 '!A1:F1</f>
        <v xml:space="preserve">แบบแสดงรายการ ปริมาณงาน และราคา  </v>
      </c>
      <c r="B1" s="2396"/>
      <c r="C1" s="2396"/>
      <c r="D1" s="2396"/>
      <c r="E1" s="2396"/>
      <c r="F1" s="2396"/>
      <c r="G1" s="2396"/>
      <c r="H1" s="2396"/>
      <c r="I1" s="2396"/>
      <c r="J1" s="2396"/>
      <c r="K1" s="2396"/>
      <c r="L1" s="2098"/>
      <c r="M1" s="1835"/>
    </row>
    <row r="2" spans="1:14" s="1837" customFormat="1">
      <c r="A2" s="2384"/>
      <c r="C2" s="1838" t="str">
        <f>[1]ปร6!B2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D2" s="1839"/>
      <c r="F2" s="1840"/>
      <c r="H2" s="1841"/>
      <c r="J2" s="1842"/>
      <c r="K2" s="1840"/>
      <c r="L2" s="1840"/>
      <c r="N2" s="2384"/>
    </row>
    <row r="3" spans="1:14" s="1837" customFormat="1">
      <c r="A3" s="2384"/>
      <c r="C3" s="1843" t="str">
        <f>[1]ปร6!B3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D3" s="1839"/>
      <c r="H3" s="1841"/>
      <c r="J3" s="1842"/>
      <c r="N3" s="2384"/>
    </row>
    <row r="4" spans="1:14" s="1837" customFormat="1">
      <c r="A4" s="2384"/>
      <c r="C4" s="1843" t="str">
        <f>[1]ปร6!B4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4" s="1839"/>
      <c r="H4" s="1841"/>
      <c r="J4" s="1842"/>
      <c r="N4" s="2384"/>
    </row>
    <row r="5" spans="1:14" s="1837" customFormat="1">
      <c r="A5" s="2384"/>
      <c r="C5" s="1843" t="str">
        <f>[1]ปร6!B5</f>
        <v>แบบเลขที่  RMUTP-DOA-63-4-PL001.</v>
      </c>
      <c r="D5" s="1839"/>
      <c r="H5" s="1841"/>
      <c r="J5" s="1842"/>
      <c r="N5" s="2384"/>
    </row>
    <row r="6" spans="1:14" s="1844" customFormat="1">
      <c r="A6" s="2384"/>
      <c r="C6" s="1845" t="str">
        <f>[1]ปร6!B6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846"/>
      <c r="E6" s="1847"/>
      <c r="F6" s="1848"/>
      <c r="H6" s="1849"/>
      <c r="J6" s="1850"/>
      <c r="N6" s="2384"/>
    </row>
    <row r="7" spans="1:14" s="1844" customFormat="1">
      <c r="A7" s="2384"/>
      <c r="C7" s="1844" t="s">
        <v>2038</v>
      </c>
      <c r="D7" s="1846"/>
      <c r="E7" s="1851"/>
      <c r="F7" s="1848"/>
      <c r="H7" s="1849"/>
      <c r="J7" s="1850"/>
      <c r="K7" s="1852" t="s">
        <v>146</v>
      </c>
      <c r="L7" s="1852"/>
      <c r="N7" s="2384"/>
    </row>
    <row r="8" spans="1:14" s="1853" customFormat="1">
      <c r="A8" s="2384"/>
      <c r="B8" s="1840"/>
      <c r="D8" s="1854"/>
      <c r="E8" s="1840"/>
      <c r="F8" s="1855"/>
      <c r="G8" s="1855"/>
      <c r="H8" s="1855"/>
      <c r="I8" s="1855"/>
      <c r="J8" s="1855"/>
      <c r="K8" s="1847"/>
      <c r="L8" s="1847"/>
      <c r="M8" s="1856"/>
      <c r="N8" s="2384"/>
    </row>
    <row r="9" spans="1:14" s="1857" customFormat="1" ht="27">
      <c r="A9" s="2397" t="s">
        <v>52</v>
      </c>
      <c r="B9" s="2398" t="s">
        <v>53</v>
      </c>
      <c r="C9" s="2398"/>
      <c r="D9" s="2400" t="s">
        <v>54</v>
      </c>
      <c r="E9" s="2397" t="s">
        <v>55</v>
      </c>
      <c r="F9" s="2401" t="s">
        <v>1772</v>
      </c>
      <c r="G9" s="2401"/>
      <c r="H9" s="2401" t="s">
        <v>1772</v>
      </c>
      <c r="I9" s="2402"/>
      <c r="J9" s="2099" t="s">
        <v>64</v>
      </c>
      <c r="K9" s="2403" t="s">
        <v>58</v>
      </c>
      <c r="L9" s="2100"/>
      <c r="M9" s="2101"/>
      <c r="N9" s="2385"/>
    </row>
    <row r="10" spans="1:14" s="1857" customFormat="1" ht="27">
      <c r="A10" s="2397"/>
      <c r="B10" s="2399"/>
      <c r="C10" s="2399"/>
      <c r="D10" s="2400"/>
      <c r="E10" s="2397"/>
      <c r="F10" s="2102" t="s">
        <v>59</v>
      </c>
      <c r="G10" s="2102" t="s">
        <v>60</v>
      </c>
      <c r="H10" s="2102" t="s">
        <v>62</v>
      </c>
      <c r="I10" s="2103" t="s">
        <v>63</v>
      </c>
      <c r="J10" s="2104" t="s">
        <v>1874</v>
      </c>
      <c r="K10" s="2403"/>
      <c r="L10" s="2100"/>
      <c r="M10" s="2105"/>
      <c r="N10" s="2385"/>
    </row>
    <row r="11" spans="1:14" s="1857" customFormat="1" ht="27">
      <c r="A11" s="2106"/>
      <c r="B11" s="2107" t="s">
        <v>135</v>
      </c>
      <c r="C11" s="2108"/>
      <c r="D11" s="2109"/>
      <c r="E11" s="2106"/>
      <c r="F11" s="2102"/>
      <c r="G11" s="2102"/>
      <c r="H11" s="2102"/>
      <c r="I11" s="2102"/>
      <c r="J11" s="2110"/>
      <c r="K11" s="2106"/>
      <c r="L11" s="2100"/>
      <c r="M11" s="2105"/>
      <c r="N11" s="1858"/>
    </row>
    <row r="12" spans="1:14" s="1857" customFormat="1" ht="27">
      <c r="A12" s="2106"/>
      <c r="B12" s="2107" t="s">
        <v>1873</v>
      </c>
      <c r="C12" s="2108"/>
      <c r="D12" s="2109"/>
      <c r="E12" s="2106"/>
      <c r="F12" s="2102"/>
      <c r="G12" s="2102"/>
      <c r="H12" s="2102"/>
      <c r="I12" s="2102"/>
      <c r="J12" s="2111"/>
      <c r="K12" s="2106"/>
      <c r="L12" s="2100"/>
      <c r="M12" s="2105"/>
      <c r="N12" s="1858"/>
    </row>
    <row r="13" spans="1:14" s="1860" customFormat="1">
      <c r="A13" s="2112">
        <v>2</v>
      </c>
      <c r="B13" s="2390" t="s">
        <v>80</v>
      </c>
      <c r="C13" s="2390"/>
      <c r="D13" s="2113"/>
      <c r="E13" s="2114"/>
      <c r="F13" s="2115"/>
      <c r="G13" s="2115"/>
      <c r="H13" s="2115"/>
      <c r="I13" s="2115"/>
      <c r="J13" s="2115"/>
      <c r="K13" s="2116"/>
      <c r="L13" s="1871"/>
      <c r="M13" s="1892"/>
      <c r="N13" s="1859"/>
    </row>
    <row r="14" spans="1:14" s="1853" customFormat="1">
      <c r="A14" s="2112">
        <v>2.1</v>
      </c>
      <c r="B14" s="2390" t="s">
        <v>192</v>
      </c>
      <c r="C14" s="2390"/>
      <c r="D14" s="2117"/>
      <c r="E14" s="2118"/>
      <c r="F14" s="2119"/>
      <c r="G14" s="2119"/>
      <c r="H14" s="2119"/>
      <c r="I14" s="2119"/>
      <c r="J14" s="2119"/>
      <c r="K14" s="2120"/>
      <c r="L14" s="1871"/>
      <c r="M14" s="1951"/>
      <c r="N14" s="1859"/>
    </row>
    <row r="15" spans="1:14">
      <c r="A15" s="2121"/>
      <c r="B15" s="2388" t="s">
        <v>201</v>
      </c>
      <c r="C15" s="2388"/>
      <c r="D15" s="1898"/>
      <c r="E15" s="1899"/>
      <c r="F15" s="1900"/>
      <c r="G15" s="1900"/>
      <c r="H15" s="1900"/>
      <c r="I15" s="1900"/>
      <c r="J15" s="1900"/>
      <c r="K15" s="1907"/>
      <c r="N15" s="1859"/>
    </row>
    <row r="16" spans="1:14" s="1862" customFormat="1">
      <c r="A16" s="1903"/>
      <c r="B16" s="1904" t="s">
        <v>2</v>
      </c>
      <c r="C16" s="1905" t="s">
        <v>369</v>
      </c>
      <c r="D16" s="1898">
        <v>170.8</v>
      </c>
      <c r="E16" s="1899" t="s">
        <v>86</v>
      </c>
      <c r="F16" s="1900">
        <v>680</v>
      </c>
      <c r="G16" s="1900">
        <v>55</v>
      </c>
      <c r="H16" s="1906">
        <f>+F16*D16</f>
        <v>116144.00000000001</v>
      </c>
      <c r="I16" s="1906">
        <f>+G16*D16</f>
        <v>9394</v>
      </c>
      <c r="J16" s="1906">
        <f>+H16+I16</f>
        <v>125538.00000000001</v>
      </c>
      <c r="K16" s="1907"/>
      <c r="L16" s="1907" t="s">
        <v>1914</v>
      </c>
      <c r="M16" s="1885" t="s">
        <v>1076</v>
      </c>
      <c r="N16" s="1840"/>
    </row>
    <row r="17" spans="1:14" s="1862" customFormat="1">
      <c r="A17" s="1903"/>
      <c r="B17" s="1904"/>
      <c r="C17" s="1905" t="s">
        <v>726</v>
      </c>
      <c r="D17" s="1898">
        <v>113.6</v>
      </c>
      <c r="E17" s="1910" t="s">
        <v>84</v>
      </c>
      <c r="F17" s="1900">
        <v>179</v>
      </c>
      <c r="G17" s="1900">
        <v>50</v>
      </c>
      <c r="H17" s="1906">
        <f t="shared" ref="H17:H24" si="0">+F17*D17</f>
        <v>20334.399999999998</v>
      </c>
      <c r="I17" s="1906">
        <f t="shared" ref="I17:I24" si="1">+G17*D17</f>
        <v>5680</v>
      </c>
      <c r="J17" s="1906">
        <f t="shared" ref="J17:J24" si="2">+H17+I17</f>
        <v>26014.399999999998</v>
      </c>
      <c r="K17" s="1907"/>
      <c r="L17" s="1907" t="s">
        <v>1914</v>
      </c>
      <c r="M17" s="1885" t="s">
        <v>1076</v>
      </c>
    </row>
    <row r="18" spans="1:14">
      <c r="A18" s="1903"/>
      <c r="B18" s="1904" t="s">
        <v>367</v>
      </c>
      <c r="C18" s="1905" t="s">
        <v>1202</v>
      </c>
      <c r="D18" s="1898">
        <v>1013.7</v>
      </c>
      <c r="E18" s="1899" t="s">
        <v>86</v>
      </c>
      <c r="F18" s="1900">
        <v>570</v>
      </c>
      <c r="G18" s="1900">
        <v>75</v>
      </c>
      <c r="H18" s="1906">
        <f t="shared" si="0"/>
        <v>577809</v>
      </c>
      <c r="I18" s="1906">
        <f t="shared" si="1"/>
        <v>76027.5</v>
      </c>
      <c r="J18" s="1906">
        <f t="shared" si="2"/>
        <v>653836.5</v>
      </c>
      <c r="K18" s="1907"/>
      <c r="L18" s="1907" t="s">
        <v>1916</v>
      </c>
      <c r="M18" s="1885" t="s">
        <v>654</v>
      </c>
      <c r="N18" s="1861"/>
    </row>
    <row r="19" spans="1:14" s="1862" customFormat="1">
      <c r="A19" s="1903"/>
      <c r="B19" s="1904" t="s">
        <v>3</v>
      </c>
      <c r="C19" s="1905" t="s">
        <v>723</v>
      </c>
      <c r="D19" s="1898">
        <v>105.2</v>
      </c>
      <c r="E19" s="1899" t="s">
        <v>86</v>
      </c>
      <c r="F19" s="1900">
        <v>606</v>
      </c>
      <c r="G19" s="1900">
        <v>222</v>
      </c>
      <c r="H19" s="1906">
        <f>+F19*D19</f>
        <v>63751.200000000004</v>
      </c>
      <c r="I19" s="1906">
        <f>+G19*D19</f>
        <v>23354.400000000001</v>
      </c>
      <c r="J19" s="1906">
        <f>+H19+I19</f>
        <v>87105.600000000006</v>
      </c>
      <c r="K19" s="1907"/>
      <c r="L19" s="1871"/>
      <c r="M19" s="1885" t="s">
        <v>1879</v>
      </c>
    </row>
    <row r="20" spans="1:14" s="1862" customFormat="1">
      <c r="A20" s="1903"/>
      <c r="B20" s="1904" t="s">
        <v>137</v>
      </c>
      <c r="C20" s="1905" t="s">
        <v>724</v>
      </c>
      <c r="D20" s="1898">
        <v>7.2</v>
      </c>
      <c r="E20" s="1899" t="s">
        <v>86</v>
      </c>
      <c r="F20" s="1900">
        <v>606</v>
      </c>
      <c r="G20" s="1900">
        <v>222</v>
      </c>
      <c r="H20" s="1906">
        <f>+F20*D20</f>
        <v>4363.2</v>
      </c>
      <c r="I20" s="1906">
        <f>+G20*D20</f>
        <v>1598.4</v>
      </c>
      <c r="J20" s="1906">
        <f>+H20+I20</f>
        <v>5961.6</v>
      </c>
      <c r="K20" s="1907"/>
      <c r="L20" s="1871"/>
      <c r="M20" s="1885" t="s">
        <v>1879</v>
      </c>
    </row>
    <row r="21" spans="1:14" s="1862" customFormat="1">
      <c r="A21" s="1903"/>
      <c r="B21" s="1904" t="s">
        <v>4</v>
      </c>
      <c r="C21" s="1905" t="s">
        <v>149</v>
      </c>
      <c r="D21" s="1898">
        <v>20.8</v>
      </c>
      <c r="E21" s="1899" t="s">
        <v>86</v>
      </c>
      <c r="F21" s="1900">
        <v>113</v>
      </c>
      <c r="G21" s="1900">
        <v>87</v>
      </c>
      <c r="H21" s="1906">
        <f>+F21*D21</f>
        <v>2350.4</v>
      </c>
      <c r="I21" s="1906">
        <f>+G21*D21</f>
        <v>1809.6000000000001</v>
      </c>
      <c r="J21" s="1906">
        <f>+H21+I21</f>
        <v>4160</v>
      </c>
      <c r="K21" s="1907"/>
      <c r="L21" s="1871"/>
      <c r="M21" s="1885" t="s">
        <v>1879</v>
      </c>
    </row>
    <row r="22" spans="1:14" s="1862" customFormat="1">
      <c r="A22" s="1903"/>
      <c r="B22" s="1904" t="s">
        <v>108</v>
      </c>
      <c r="C22" s="1905" t="s">
        <v>725</v>
      </c>
      <c r="D22" s="1898">
        <v>199.1</v>
      </c>
      <c r="E22" s="1899" t="s">
        <v>86</v>
      </c>
      <c r="F22" s="1900">
        <v>123</v>
      </c>
      <c r="G22" s="1900">
        <v>82</v>
      </c>
      <c r="H22" s="1906">
        <f t="shared" si="0"/>
        <v>24489.3</v>
      </c>
      <c r="I22" s="1906">
        <f t="shared" si="1"/>
        <v>16326.199999999999</v>
      </c>
      <c r="J22" s="1906">
        <f t="shared" si="2"/>
        <v>40815.5</v>
      </c>
      <c r="K22" s="1907"/>
      <c r="L22" s="1871"/>
      <c r="M22" s="1885" t="s">
        <v>1875</v>
      </c>
    </row>
    <row r="23" spans="1:14" s="1862" customFormat="1">
      <c r="A23" s="1903"/>
      <c r="B23" s="1904" t="s">
        <v>655</v>
      </c>
      <c r="C23" s="1905" t="s">
        <v>1242</v>
      </c>
      <c r="D23" s="1898">
        <v>399</v>
      </c>
      <c r="E23" s="1899" t="s">
        <v>86</v>
      </c>
      <c r="F23" s="1900">
        <v>606</v>
      </c>
      <c r="G23" s="1900">
        <v>222</v>
      </c>
      <c r="H23" s="1906">
        <f>+F23*D23</f>
        <v>241794</v>
      </c>
      <c r="I23" s="1906">
        <f>+G23*D23</f>
        <v>88578</v>
      </c>
      <c r="J23" s="1906">
        <f>+H23+I23</f>
        <v>330372</v>
      </c>
      <c r="K23" s="1907"/>
      <c r="L23" s="1871"/>
      <c r="M23" s="1885" t="s">
        <v>1879</v>
      </c>
    </row>
    <row r="24" spans="1:14">
      <c r="A24" s="1903"/>
      <c r="B24" s="1904"/>
      <c r="C24" s="1905" t="s">
        <v>727</v>
      </c>
      <c r="D24" s="1898">
        <f>D19+D20+D23</f>
        <v>511.4</v>
      </c>
      <c r="E24" s="1899" t="s">
        <v>86</v>
      </c>
      <c r="F24" s="1900">
        <v>109</v>
      </c>
      <c r="G24" s="1900">
        <v>64</v>
      </c>
      <c r="H24" s="1906">
        <f t="shared" si="0"/>
        <v>55742.6</v>
      </c>
      <c r="I24" s="1906">
        <f t="shared" si="1"/>
        <v>32729.599999999999</v>
      </c>
      <c r="J24" s="1906">
        <f t="shared" si="2"/>
        <v>88472.2</v>
      </c>
      <c r="K24" s="1907"/>
      <c r="M24" s="1885" t="s">
        <v>1879</v>
      </c>
      <c r="N24" s="1861"/>
    </row>
    <row r="25" spans="1:14" s="2132" customFormat="1">
      <c r="A25" s="2122"/>
      <c r="B25" s="2064" t="s">
        <v>366</v>
      </c>
      <c r="C25" s="2123"/>
      <c r="D25" s="2124"/>
      <c r="E25" s="2125"/>
      <c r="F25" s="2126"/>
      <c r="G25" s="2126"/>
      <c r="H25" s="2127"/>
      <c r="I25" s="2127"/>
      <c r="J25" s="2127"/>
      <c r="K25" s="2128"/>
      <c r="L25" s="2129"/>
      <c r="M25" s="2130"/>
      <c r="N25" s="2131"/>
    </row>
    <row r="26" spans="1:14">
      <c r="A26" s="1903"/>
      <c r="B26" s="1904" t="s">
        <v>733</v>
      </c>
      <c r="C26" s="1905" t="s">
        <v>1241</v>
      </c>
      <c r="D26" s="1898">
        <v>371.66</v>
      </c>
      <c r="E26" s="1899" t="s">
        <v>86</v>
      </c>
      <c r="F26" s="1900">
        <v>273</v>
      </c>
      <c r="G26" s="1900">
        <v>53</v>
      </c>
      <c r="H26" s="1906">
        <f>+F26*D26</f>
        <v>101463.18000000001</v>
      </c>
      <c r="I26" s="1906">
        <f>+G26*D26</f>
        <v>19697.98</v>
      </c>
      <c r="J26" s="1906">
        <f>+H26+I26</f>
        <v>121161.16</v>
      </c>
      <c r="K26" s="1907"/>
      <c r="M26" s="1885" t="s">
        <v>1879</v>
      </c>
      <c r="N26" s="1861"/>
    </row>
    <row r="27" spans="1:14">
      <c r="A27" s="1903"/>
      <c r="B27" s="1904" t="s">
        <v>735</v>
      </c>
      <c r="C27" s="1905" t="s">
        <v>1768</v>
      </c>
      <c r="D27" s="1898">
        <v>348.09</v>
      </c>
      <c r="E27" s="1899" t="s">
        <v>86</v>
      </c>
      <c r="F27" s="1900">
        <v>754</v>
      </c>
      <c r="G27" s="1900">
        <v>75</v>
      </c>
      <c r="H27" s="1906">
        <f>+F27*D27</f>
        <v>262459.86</v>
      </c>
      <c r="I27" s="1906">
        <f>+G27*D27</f>
        <v>26106.749999999996</v>
      </c>
      <c r="J27" s="1906">
        <f>+H27+I27</f>
        <v>288566.61</v>
      </c>
      <c r="K27" s="1907"/>
      <c r="M27" s="1885" t="s">
        <v>1879</v>
      </c>
      <c r="N27" s="1861"/>
    </row>
    <row r="28" spans="1:14" s="2132" customFormat="1">
      <c r="A28" s="2122"/>
      <c r="B28" s="2064" t="s">
        <v>365</v>
      </c>
      <c r="C28" s="2123"/>
      <c r="D28" s="2124"/>
      <c r="E28" s="2125"/>
      <c r="F28" s="2126"/>
      <c r="G28" s="2126"/>
      <c r="H28" s="2127"/>
      <c r="I28" s="2127"/>
      <c r="J28" s="2127"/>
      <c r="K28" s="2128"/>
      <c r="L28" s="2129"/>
      <c r="M28" s="2130"/>
      <c r="N28" s="2131"/>
    </row>
    <row r="29" spans="1:14" s="1862" customFormat="1" ht="48">
      <c r="A29" s="1911"/>
      <c r="B29" s="1912">
        <v>1</v>
      </c>
      <c r="C29" s="1913" t="s">
        <v>736</v>
      </c>
      <c r="D29" s="1914">
        <v>66</v>
      </c>
      <c r="E29" s="1915" t="s">
        <v>86</v>
      </c>
      <c r="F29" s="1916">
        <v>165</v>
      </c>
      <c r="G29" s="1916">
        <v>240</v>
      </c>
      <c r="H29" s="1916">
        <f>+F29*D29</f>
        <v>10890</v>
      </c>
      <c r="I29" s="1916">
        <f>+G29*D29</f>
        <v>15840</v>
      </c>
      <c r="J29" s="1916">
        <f>+H29+I29</f>
        <v>26730</v>
      </c>
      <c r="K29" s="1917"/>
      <c r="L29" s="2048"/>
      <c r="M29" s="1918" t="s">
        <v>1879</v>
      </c>
      <c r="N29" s="1852"/>
    </row>
    <row r="30" spans="1:14" s="1862" customFormat="1">
      <c r="A30" s="1911"/>
      <c r="B30" s="1912">
        <v>2</v>
      </c>
      <c r="C30" s="1913" t="s">
        <v>738</v>
      </c>
      <c r="D30" s="1920">
        <v>31.7</v>
      </c>
      <c r="E30" s="1921" t="s">
        <v>86</v>
      </c>
      <c r="F30" s="1922">
        <v>155</v>
      </c>
      <c r="G30" s="1922">
        <v>155</v>
      </c>
      <c r="H30" s="1916">
        <f t="shared" ref="H30:H46" si="3">+F30*D30</f>
        <v>4913.5</v>
      </c>
      <c r="I30" s="1916">
        <f t="shared" ref="I30:I46" si="4">+G30*D30</f>
        <v>4913.5</v>
      </c>
      <c r="J30" s="1916">
        <f t="shared" ref="J30:J46" si="5">+H30+I30</f>
        <v>9827</v>
      </c>
      <c r="K30" s="1917"/>
      <c r="L30" s="2048"/>
      <c r="M30" s="1918" t="s">
        <v>1879</v>
      </c>
    </row>
    <row r="31" spans="1:14" s="1862" customFormat="1">
      <c r="A31" s="1911"/>
      <c r="B31" s="1912">
        <v>3</v>
      </c>
      <c r="C31" s="1913" t="s">
        <v>737</v>
      </c>
      <c r="D31" s="1920">
        <v>14.8</v>
      </c>
      <c r="E31" s="1921" t="s">
        <v>86</v>
      </c>
      <c r="F31" s="1922">
        <v>135</v>
      </c>
      <c r="G31" s="1922">
        <v>155</v>
      </c>
      <c r="H31" s="1916">
        <f>+F31*D31</f>
        <v>1998</v>
      </c>
      <c r="I31" s="1916">
        <f>+G31*D31</f>
        <v>2294</v>
      </c>
      <c r="J31" s="1916">
        <f>+H31+I31</f>
        <v>4292</v>
      </c>
      <c r="K31" s="1917"/>
      <c r="L31" s="2048"/>
      <c r="M31" s="1918" t="s">
        <v>1879</v>
      </c>
    </row>
    <row r="32" spans="1:14" s="1862" customFormat="1">
      <c r="A32" s="1863"/>
      <c r="B32" s="1864"/>
      <c r="C32" s="1865"/>
      <c r="D32" s="1866"/>
      <c r="E32" s="1867"/>
      <c r="F32" s="1868"/>
      <c r="G32" s="1868"/>
      <c r="H32" s="1868"/>
      <c r="I32" s="1868"/>
      <c r="J32" s="1868"/>
      <c r="K32" s="1869"/>
      <c r="L32" s="2048"/>
      <c r="M32" s="1918"/>
    </row>
    <row r="33" spans="1:14" s="1862" customFormat="1">
      <c r="A33" s="1840"/>
      <c r="B33" s="1860"/>
      <c r="C33" s="2133" t="s">
        <v>133</v>
      </c>
      <c r="D33" s="2134"/>
      <c r="E33" s="2135"/>
      <c r="F33" s="2136"/>
      <c r="G33" s="2137"/>
      <c r="H33" s="2137"/>
      <c r="I33" s="2137"/>
      <c r="J33" s="2137"/>
      <c r="K33" s="2137"/>
      <c r="L33" s="2048"/>
      <c r="M33" s="1918"/>
    </row>
    <row r="34" spans="1:14" s="1862" customFormat="1">
      <c r="A34" s="1840"/>
      <c r="B34" s="2138"/>
      <c r="C34" s="2139" t="s">
        <v>1769</v>
      </c>
      <c r="D34" s="2140"/>
      <c r="E34" s="1861"/>
      <c r="F34" s="2135"/>
      <c r="G34" s="2139" t="s">
        <v>134</v>
      </c>
      <c r="H34" s="2138"/>
      <c r="I34" s="2138"/>
      <c r="J34" s="2138"/>
      <c r="K34" s="2138"/>
      <c r="L34" s="2048"/>
      <c r="M34" s="1918"/>
    </row>
    <row r="35" spans="1:14" s="1862" customFormat="1">
      <c r="A35" s="1840"/>
      <c r="B35" s="1871"/>
      <c r="C35" s="2141" t="s">
        <v>1970</v>
      </c>
      <c r="D35" s="2140"/>
      <c r="E35" s="2142"/>
      <c r="F35" s="2143"/>
      <c r="G35" s="2144" t="s">
        <v>1971</v>
      </c>
      <c r="H35" s="2145"/>
      <c r="I35" s="2145"/>
      <c r="J35" s="2145"/>
      <c r="K35" s="2145"/>
      <c r="L35" s="2048"/>
      <c r="M35" s="1918"/>
    </row>
    <row r="36" spans="1:14" s="1862" customFormat="1">
      <c r="A36" s="1837"/>
      <c r="B36" s="2138"/>
      <c r="C36" s="2139" t="s">
        <v>2031</v>
      </c>
      <c r="D36" s="2140"/>
      <c r="E36" s="1837"/>
      <c r="F36" s="2146"/>
      <c r="G36" s="2139" t="s">
        <v>2031</v>
      </c>
      <c r="H36" s="1837"/>
      <c r="I36" s="1837"/>
      <c r="J36" s="1837"/>
      <c r="K36" s="1837"/>
      <c r="L36" s="2048"/>
      <c r="M36" s="1918"/>
    </row>
    <row r="37" spans="1:14" s="1862" customFormat="1">
      <c r="A37" s="1952"/>
      <c r="B37" s="1871"/>
      <c r="C37" s="2147" t="s">
        <v>1984</v>
      </c>
      <c r="D37" s="2140"/>
      <c r="E37" s="1837"/>
      <c r="F37" s="2135"/>
      <c r="G37" s="2147" t="s">
        <v>1985</v>
      </c>
      <c r="H37" s="1952"/>
      <c r="I37" s="1952"/>
      <c r="J37" s="1952"/>
      <c r="K37" s="1952"/>
      <c r="L37" s="2048"/>
      <c r="M37" s="1918"/>
    </row>
    <row r="38" spans="1:14" s="1862" customFormat="1">
      <c r="A38" s="1952"/>
      <c r="B38" s="1952"/>
      <c r="C38" s="2139" t="s">
        <v>670</v>
      </c>
      <c r="D38" s="2139"/>
      <c r="E38" s="2143"/>
      <c r="F38" s="2143"/>
      <c r="G38" s="1952"/>
      <c r="H38" s="1952"/>
      <c r="I38" s="1952"/>
      <c r="J38" s="1952"/>
      <c r="K38" s="1952"/>
      <c r="L38" s="2048"/>
      <c r="M38" s="1918"/>
    </row>
    <row r="39" spans="1:14" s="1862" customFormat="1">
      <c r="A39" s="1840"/>
      <c r="B39" s="1840"/>
      <c r="C39" s="2147" t="s">
        <v>1972</v>
      </c>
      <c r="D39" s="2147"/>
      <c r="E39" s="2146"/>
      <c r="F39" s="2146"/>
      <c r="G39" s="1870"/>
      <c r="H39" s="1870"/>
      <c r="I39" s="1870"/>
      <c r="J39" s="1870"/>
      <c r="K39" s="1871"/>
      <c r="L39" s="2048"/>
      <c r="M39" s="1918"/>
    </row>
    <row r="40" spans="1:14" s="1862" customFormat="1" ht="48">
      <c r="A40" s="1911"/>
      <c r="B40" s="1912">
        <v>4</v>
      </c>
      <c r="C40" s="1913" t="s">
        <v>1767</v>
      </c>
      <c r="D40" s="1920">
        <v>36.5</v>
      </c>
      <c r="E40" s="1921" t="s">
        <v>86</v>
      </c>
      <c r="F40" s="1922">
        <v>540</v>
      </c>
      <c r="G40" s="1922">
        <v>271</v>
      </c>
      <c r="H40" s="1916">
        <f t="shared" si="3"/>
        <v>19710</v>
      </c>
      <c r="I40" s="1916">
        <f t="shared" si="4"/>
        <v>9891.5</v>
      </c>
      <c r="J40" s="1916">
        <f t="shared" si="5"/>
        <v>29601.5</v>
      </c>
      <c r="K40" s="1917"/>
      <c r="L40" s="1917" t="s">
        <v>1939</v>
      </c>
      <c r="M40" s="1918" t="s">
        <v>1076</v>
      </c>
      <c r="N40" s="1852"/>
    </row>
    <row r="41" spans="1:14" s="1862" customFormat="1" ht="48">
      <c r="A41" s="1911"/>
      <c r="B41" s="1912">
        <v>5</v>
      </c>
      <c r="C41" s="1913" t="s">
        <v>739</v>
      </c>
      <c r="D41" s="1920">
        <v>467.3</v>
      </c>
      <c r="E41" s="1921" t="s">
        <v>86</v>
      </c>
      <c r="F41" s="1922">
        <v>165</v>
      </c>
      <c r="G41" s="1922">
        <v>240</v>
      </c>
      <c r="H41" s="1916">
        <f t="shared" si="3"/>
        <v>77104.5</v>
      </c>
      <c r="I41" s="1916">
        <f t="shared" si="4"/>
        <v>112152</v>
      </c>
      <c r="J41" s="1916">
        <f t="shared" si="5"/>
        <v>189256.5</v>
      </c>
      <c r="K41" s="1917"/>
      <c r="L41" s="2048"/>
      <c r="M41" s="1918" t="s">
        <v>1879</v>
      </c>
      <c r="N41" s="1852"/>
    </row>
    <row r="42" spans="1:14" s="1862" customFormat="1" ht="48">
      <c r="A42" s="2148"/>
      <c r="B42" s="2149">
        <v>6</v>
      </c>
      <c r="C42" s="2150" t="s">
        <v>740</v>
      </c>
      <c r="D42" s="2151">
        <v>101.9</v>
      </c>
      <c r="E42" s="2152" t="s">
        <v>86</v>
      </c>
      <c r="F42" s="2153">
        <v>285</v>
      </c>
      <c r="G42" s="2153">
        <v>240</v>
      </c>
      <c r="H42" s="2153">
        <f t="shared" si="3"/>
        <v>29041.5</v>
      </c>
      <c r="I42" s="2153">
        <f t="shared" si="4"/>
        <v>24456</v>
      </c>
      <c r="J42" s="2153">
        <f t="shared" si="5"/>
        <v>53497.5</v>
      </c>
      <c r="K42" s="2154"/>
      <c r="L42" s="2048"/>
      <c r="M42" s="1918" t="s">
        <v>1879</v>
      </c>
      <c r="N42" s="1852"/>
    </row>
    <row r="43" spans="1:14" s="1862" customFormat="1">
      <c r="A43" s="1911"/>
      <c r="B43" s="1912">
        <v>10</v>
      </c>
      <c r="C43" s="1913" t="s">
        <v>1747</v>
      </c>
      <c r="D43" s="1920">
        <v>896.8</v>
      </c>
      <c r="E43" s="1921" t="s">
        <v>86</v>
      </c>
      <c r="F43" s="1922">
        <v>75</v>
      </c>
      <c r="G43" s="1922">
        <v>82</v>
      </c>
      <c r="H43" s="1916">
        <f>+F43*D43</f>
        <v>67260</v>
      </c>
      <c r="I43" s="1916">
        <f>+G43*D43</f>
        <v>73537.599999999991</v>
      </c>
      <c r="J43" s="1916">
        <f>+H43+I43</f>
        <v>140797.59999999998</v>
      </c>
      <c r="K43" s="1917"/>
      <c r="L43" s="2048"/>
      <c r="M43" s="1918" t="s">
        <v>1879</v>
      </c>
      <c r="N43" s="1852"/>
    </row>
    <row r="44" spans="1:14">
      <c r="A44" s="1897"/>
      <c r="B44" s="2008">
        <v>11</v>
      </c>
      <c r="C44" s="2019" t="s">
        <v>1747</v>
      </c>
      <c r="D44" s="1898">
        <v>394.9</v>
      </c>
      <c r="E44" s="1899" t="s">
        <v>86</v>
      </c>
      <c r="F44" s="1900">
        <v>75</v>
      </c>
      <c r="G44" s="1900">
        <v>82</v>
      </c>
      <c r="H44" s="1900">
        <f>+F44*D44</f>
        <v>29617.5</v>
      </c>
      <c r="I44" s="1900">
        <f>+G44*D44</f>
        <v>32381.8</v>
      </c>
      <c r="J44" s="1900">
        <f>+H44+I44</f>
        <v>61999.3</v>
      </c>
      <c r="K44" s="1901"/>
      <c r="M44" s="1885" t="s">
        <v>1879</v>
      </c>
      <c r="N44" s="1861"/>
    </row>
    <row r="45" spans="1:14">
      <c r="A45" s="1903"/>
      <c r="B45" s="1904" t="s">
        <v>620</v>
      </c>
      <c r="C45" s="1905" t="s">
        <v>1008</v>
      </c>
      <c r="D45" s="1909">
        <v>385.9</v>
      </c>
      <c r="E45" s="1910" t="s">
        <v>84</v>
      </c>
      <c r="F45" s="1906">
        <v>79</v>
      </c>
      <c r="G45" s="1906">
        <v>46</v>
      </c>
      <c r="H45" s="1906">
        <f t="shared" si="3"/>
        <v>30486.1</v>
      </c>
      <c r="I45" s="1906">
        <f t="shared" si="4"/>
        <v>17751.399999999998</v>
      </c>
      <c r="J45" s="1906">
        <f t="shared" si="5"/>
        <v>48237.5</v>
      </c>
      <c r="K45" s="1907"/>
      <c r="M45" s="1885" t="s">
        <v>1879</v>
      </c>
      <c r="N45" s="1861"/>
    </row>
    <row r="46" spans="1:14">
      <c r="A46" s="1903"/>
      <c r="B46" s="1904" t="s">
        <v>621</v>
      </c>
      <c r="C46" s="1905" t="s">
        <v>1009</v>
      </c>
      <c r="D46" s="1909">
        <v>287.39999999999998</v>
      </c>
      <c r="E46" s="1910" t="s">
        <v>84</v>
      </c>
      <c r="F46" s="1906">
        <v>120</v>
      </c>
      <c r="G46" s="1906">
        <v>64</v>
      </c>
      <c r="H46" s="1906">
        <f t="shared" si="3"/>
        <v>34488</v>
      </c>
      <c r="I46" s="1906">
        <f t="shared" si="4"/>
        <v>18393.599999999999</v>
      </c>
      <c r="J46" s="1906">
        <f t="shared" si="5"/>
        <v>52881.599999999999</v>
      </c>
      <c r="K46" s="1907"/>
      <c r="M46" s="1885" t="s">
        <v>1879</v>
      </c>
      <c r="N46" s="1861"/>
    </row>
    <row r="47" spans="1:14">
      <c r="A47" s="1903"/>
      <c r="B47" s="1904" t="s">
        <v>1007</v>
      </c>
      <c r="C47" s="1905" t="s">
        <v>1010</v>
      </c>
      <c r="D47" s="1909">
        <v>90.2</v>
      </c>
      <c r="E47" s="1910" t="s">
        <v>84</v>
      </c>
      <c r="F47" s="1906">
        <v>120</v>
      </c>
      <c r="G47" s="1906">
        <v>81</v>
      </c>
      <c r="H47" s="1906">
        <f>+F47*D47</f>
        <v>10824</v>
      </c>
      <c r="I47" s="1906">
        <f>+G47*D47</f>
        <v>7306.2</v>
      </c>
      <c r="J47" s="1906">
        <f>+H47+I47</f>
        <v>18130.2</v>
      </c>
      <c r="K47" s="1907"/>
      <c r="M47" s="1885" t="s">
        <v>1879</v>
      </c>
      <c r="N47" s="1861"/>
    </row>
    <row r="48" spans="1:14">
      <c r="A48" s="1903"/>
      <c r="B48" s="1904"/>
      <c r="C48" s="1905" t="s">
        <v>1078</v>
      </c>
      <c r="D48" s="1898">
        <v>222</v>
      </c>
      <c r="E48" s="1910" t="s">
        <v>113</v>
      </c>
      <c r="F48" s="1900">
        <v>0</v>
      </c>
      <c r="G48" s="1900">
        <v>15</v>
      </c>
      <c r="H48" s="1906">
        <f>+F48*D48</f>
        <v>0</v>
      </c>
      <c r="I48" s="1906">
        <f>+G48*D48</f>
        <v>3330</v>
      </c>
      <c r="J48" s="1906">
        <f>+H48+I48</f>
        <v>3330</v>
      </c>
      <c r="K48" s="1907"/>
      <c r="M48" s="1885" t="s">
        <v>1015</v>
      </c>
      <c r="N48" s="1861"/>
    </row>
    <row r="49" spans="1:14" s="2132" customFormat="1">
      <c r="A49" s="2122"/>
      <c r="B49" s="2064" t="s">
        <v>205</v>
      </c>
      <c r="C49" s="2123"/>
      <c r="D49" s="2124"/>
      <c r="E49" s="2125"/>
      <c r="F49" s="2126"/>
      <c r="G49" s="2126"/>
      <c r="H49" s="2127"/>
      <c r="I49" s="2127"/>
      <c r="J49" s="2127"/>
      <c r="K49" s="2128"/>
      <c r="L49" s="2129"/>
      <c r="M49" s="2130"/>
      <c r="N49" s="2131"/>
    </row>
    <row r="50" spans="1:14" s="1872" customFormat="1">
      <c r="A50" s="1926"/>
      <c r="B50" s="1927" t="s">
        <v>941</v>
      </c>
      <c r="C50" s="1928" t="s">
        <v>1773</v>
      </c>
      <c r="D50" s="1929">
        <f>D43</f>
        <v>896.8</v>
      </c>
      <c r="E50" s="1926" t="s">
        <v>86</v>
      </c>
      <c r="F50" s="1930">
        <v>35</v>
      </c>
      <c r="G50" s="1930">
        <v>30</v>
      </c>
      <c r="H50" s="1930">
        <f>F50*D50</f>
        <v>31388</v>
      </c>
      <c r="I50" s="1930">
        <f>G50*D50</f>
        <v>26904</v>
      </c>
      <c r="J50" s="1931">
        <f>H50+I50</f>
        <v>58292</v>
      </c>
      <c r="K50" s="1931"/>
      <c r="L50" s="2155"/>
      <c r="M50" s="1885" t="s">
        <v>1879</v>
      </c>
    </row>
    <row r="51" spans="1:14" s="1872" customFormat="1">
      <c r="A51" s="1926"/>
      <c r="B51" s="1927" t="s">
        <v>942</v>
      </c>
      <c r="C51" s="1928" t="s">
        <v>1774</v>
      </c>
      <c r="D51" s="1929">
        <f>D44</f>
        <v>394.9</v>
      </c>
      <c r="E51" s="1926" t="s">
        <v>86</v>
      </c>
      <c r="F51" s="1930">
        <v>44</v>
      </c>
      <c r="G51" s="1930">
        <v>34</v>
      </c>
      <c r="H51" s="1930">
        <f>F51*D51</f>
        <v>17375.599999999999</v>
      </c>
      <c r="I51" s="1930">
        <f>G51*D51</f>
        <v>13426.599999999999</v>
      </c>
      <c r="J51" s="1931">
        <f>H51+I51</f>
        <v>30802.199999999997</v>
      </c>
      <c r="K51" s="1931"/>
      <c r="L51" s="2155"/>
      <c r="M51" s="1885" t="s">
        <v>1879</v>
      </c>
    </row>
    <row r="52" spans="1:14" s="1873" customFormat="1" ht="48">
      <c r="A52" s="1938"/>
      <c r="B52" s="1939" t="s">
        <v>944</v>
      </c>
      <c r="C52" s="1940" t="s">
        <v>1775</v>
      </c>
      <c r="D52" s="1941">
        <f>D67</f>
        <v>19</v>
      </c>
      <c r="E52" s="1938" t="s">
        <v>86</v>
      </c>
      <c r="F52" s="1942">
        <v>33</v>
      </c>
      <c r="G52" s="1942">
        <v>30</v>
      </c>
      <c r="H52" s="1942">
        <f>F52*D52</f>
        <v>627</v>
      </c>
      <c r="I52" s="1942">
        <f>G52*D52</f>
        <v>570</v>
      </c>
      <c r="J52" s="1943">
        <f>H52+I52</f>
        <v>1197</v>
      </c>
      <c r="K52" s="1943"/>
      <c r="L52" s="2156"/>
      <c r="M52" s="1918" t="s">
        <v>1879</v>
      </c>
    </row>
    <row r="53" spans="1:14" s="1873" customFormat="1" ht="48">
      <c r="A53" s="1944"/>
      <c r="B53" s="1945" t="s">
        <v>945</v>
      </c>
      <c r="C53" s="1946" t="s">
        <v>1776</v>
      </c>
      <c r="D53" s="1947">
        <f>D57</f>
        <v>314.39999999999998</v>
      </c>
      <c r="E53" s="1944" t="s">
        <v>86</v>
      </c>
      <c r="F53" s="1948">
        <v>33</v>
      </c>
      <c r="G53" s="1948">
        <v>30</v>
      </c>
      <c r="H53" s="1948">
        <f>F53*D53</f>
        <v>10375.199999999999</v>
      </c>
      <c r="I53" s="1948">
        <f>G53*D53</f>
        <v>9432</v>
      </c>
      <c r="J53" s="1949">
        <f>H53+I53</f>
        <v>19807.199999999997</v>
      </c>
      <c r="K53" s="1949"/>
      <c r="L53" s="2156"/>
      <c r="M53" s="1918" t="s">
        <v>1879</v>
      </c>
    </row>
    <row r="54" spans="1:14" s="1872" customFormat="1">
      <c r="A54" s="1926"/>
      <c r="B54" s="1927" t="s">
        <v>946</v>
      </c>
      <c r="C54" s="1928" t="s">
        <v>1777</v>
      </c>
      <c r="D54" s="1929">
        <v>181.1</v>
      </c>
      <c r="E54" s="1926" t="s">
        <v>86</v>
      </c>
      <c r="F54" s="1950">
        <v>58</v>
      </c>
      <c r="G54" s="1950">
        <v>35</v>
      </c>
      <c r="H54" s="1930">
        <f>F54*D54</f>
        <v>10503.8</v>
      </c>
      <c r="I54" s="1930">
        <f>G54*D54</f>
        <v>6338.5</v>
      </c>
      <c r="J54" s="1931">
        <f>H54+I54</f>
        <v>16842.3</v>
      </c>
      <c r="K54" s="1931"/>
      <c r="L54" s="2155"/>
      <c r="M54" s="1885" t="s">
        <v>1879</v>
      </c>
    </row>
    <row r="55" spans="1:14" s="1853" customFormat="1">
      <c r="A55" s="1903"/>
      <c r="B55" s="2386" t="s">
        <v>204</v>
      </c>
      <c r="C55" s="2386"/>
      <c r="D55" s="1909"/>
      <c r="E55" s="1910"/>
      <c r="F55" s="1906"/>
      <c r="G55" s="1906"/>
      <c r="H55" s="1906"/>
      <c r="I55" s="1906"/>
      <c r="J55" s="1906"/>
      <c r="K55" s="1907"/>
      <c r="L55" s="1871"/>
      <c r="M55" s="1951"/>
    </row>
    <row r="56" spans="1:14" s="1853" customFormat="1">
      <c r="A56" s="1903"/>
      <c r="B56" s="1904" t="s">
        <v>197</v>
      </c>
      <c r="C56" s="1905" t="s">
        <v>937</v>
      </c>
      <c r="D56" s="1909">
        <v>693.9</v>
      </c>
      <c r="E56" s="1910" t="s">
        <v>86</v>
      </c>
      <c r="F56" s="1906">
        <v>177</v>
      </c>
      <c r="G56" s="1906">
        <v>134</v>
      </c>
      <c r="H56" s="1906">
        <f>+F56*D56</f>
        <v>122820.3</v>
      </c>
      <c r="I56" s="1906">
        <f>+G56*D56</f>
        <v>92982.599999999991</v>
      </c>
      <c r="J56" s="1906">
        <f>+H56+I56</f>
        <v>215802.9</v>
      </c>
      <c r="K56" s="1907"/>
      <c r="L56" s="1871"/>
      <c r="M56" s="1885" t="s">
        <v>1076</v>
      </c>
    </row>
    <row r="57" spans="1:14" s="1853" customFormat="1">
      <c r="A57" s="1903"/>
      <c r="B57" s="1904" t="s">
        <v>373</v>
      </c>
      <c r="C57" s="1905" t="s">
        <v>938</v>
      </c>
      <c r="D57" s="1909">
        <v>314.39999999999998</v>
      </c>
      <c r="E57" s="1910" t="s">
        <v>86</v>
      </c>
      <c r="F57" s="1906">
        <v>100</v>
      </c>
      <c r="G57" s="1906">
        <v>82</v>
      </c>
      <c r="H57" s="1906">
        <f>+F57*D57</f>
        <v>31439.999999999996</v>
      </c>
      <c r="I57" s="1906">
        <f>+G57*D57</f>
        <v>25780.799999999999</v>
      </c>
      <c r="J57" s="1906">
        <f>+H57+I57</f>
        <v>57220.799999999996</v>
      </c>
      <c r="K57" s="1907"/>
      <c r="L57" s="1871"/>
      <c r="M57" s="1885" t="s">
        <v>1879</v>
      </c>
    </row>
    <row r="58" spans="1:14" s="1853" customFormat="1">
      <c r="A58" s="1863"/>
      <c r="B58" s="1864"/>
      <c r="C58" s="1865"/>
      <c r="D58" s="1866"/>
      <c r="E58" s="1867"/>
      <c r="F58" s="1868"/>
      <c r="G58" s="1868"/>
      <c r="H58" s="1868"/>
      <c r="I58" s="1868"/>
      <c r="J58" s="1868"/>
      <c r="K58" s="1869"/>
      <c r="L58" s="1871"/>
      <c r="M58" s="1885"/>
    </row>
    <row r="59" spans="1:14" s="1853" customFormat="1">
      <c r="A59" s="1840"/>
      <c r="B59" s="1860"/>
      <c r="C59" s="2133" t="s">
        <v>133</v>
      </c>
      <c r="D59" s="2134"/>
      <c r="E59" s="2135"/>
      <c r="F59" s="2136"/>
      <c r="G59" s="2137"/>
      <c r="H59" s="2137"/>
      <c r="I59" s="2137"/>
      <c r="J59" s="2137"/>
      <c r="K59" s="2137"/>
      <c r="L59" s="1871"/>
      <c r="M59" s="1885"/>
    </row>
    <row r="60" spans="1:14" s="1853" customFormat="1">
      <c r="A60" s="1840"/>
      <c r="B60" s="2138"/>
      <c r="C60" s="2139" t="s">
        <v>1769</v>
      </c>
      <c r="D60" s="2140"/>
      <c r="E60" s="1861"/>
      <c r="F60" s="2135"/>
      <c r="G60" s="2139" t="s">
        <v>134</v>
      </c>
      <c r="H60" s="2138"/>
      <c r="I60" s="2138"/>
      <c r="J60" s="2138"/>
      <c r="K60" s="2138"/>
      <c r="L60" s="1871"/>
      <c r="M60" s="1885"/>
    </row>
    <row r="61" spans="1:14" s="1853" customFormat="1">
      <c r="A61" s="1840"/>
      <c r="B61" s="1871"/>
      <c r="C61" s="2141" t="s">
        <v>1970</v>
      </c>
      <c r="D61" s="2140"/>
      <c r="E61" s="2142"/>
      <c r="F61" s="2143"/>
      <c r="G61" s="2144" t="s">
        <v>1971</v>
      </c>
      <c r="H61" s="2145"/>
      <c r="I61" s="2145"/>
      <c r="J61" s="2145"/>
      <c r="K61" s="2145"/>
      <c r="L61" s="1871"/>
      <c r="M61" s="1885"/>
    </row>
    <row r="62" spans="1:14" s="1853" customFormat="1">
      <c r="A62" s="1837"/>
      <c r="B62" s="2138"/>
      <c r="C62" s="2139" t="s">
        <v>2031</v>
      </c>
      <c r="D62" s="2140"/>
      <c r="E62" s="1837"/>
      <c r="F62" s="2146"/>
      <c r="G62" s="2139" t="s">
        <v>2031</v>
      </c>
      <c r="H62" s="1837"/>
      <c r="I62" s="1837"/>
      <c r="J62" s="1837"/>
      <c r="K62" s="1837"/>
      <c r="L62" s="1871"/>
      <c r="M62" s="1885"/>
    </row>
    <row r="63" spans="1:14" s="1853" customFormat="1">
      <c r="A63" s="1952"/>
      <c r="B63" s="1871"/>
      <c r="C63" s="2147" t="s">
        <v>1984</v>
      </c>
      <c r="D63" s="2140"/>
      <c r="E63" s="1837"/>
      <c r="F63" s="2135"/>
      <c r="G63" s="2147" t="s">
        <v>1985</v>
      </c>
      <c r="H63" s="1952"/>
      <c r="I63" s="1952"/>
      <c r="J63" s="1952"/>
      <c r="K63" s="1952"/>
      <c r="L63" s="1871"/>
      <c r="M63" s="1885"/>
    </row>
    <row r="64" spans="1:14" s="1853" customFormat="1">
      <c r="A64" s="1952"/>
      <c r="B64" s="1952"/>
      <c r="C64" s="2139" t="s">
        <v>670</v>
      </c>
      <c r="D64" s="2139"/>
      <c r="E64" s="2143"/>
      <c r="F64" s="2143"/>
      <c r="G64" s="1952"/>
      <c r="H64" s="1952"/>
      <c r="I64" s="1952"/>
      <c r="J64" s="1952"/>
      <c r="K64" s="1952"/>
      <c r="L64" s="1871"/>
      <c r="M64" s="1885"/>
    </row>
    <row r="65" spans="1:14" s="1853" customFormat="1">
      <c r="A65" s="1840"/>
      <c r="B65" s="1840"/>
      <c r="C65" s="2147" t="s">
        <v>1972</v>
      </c>
      <c r="D65" s="2147"/>
      <c r="E65" s="2146"/>
      <c r="F65" s="2146"/>
      <c r="G65" s="1870"/>
      <c r="H65" s="1870"/>
      <c r="I65" s="1870"/>
      <c r="J65" s="1870"/>
      <c r="K65" s="1871"/>
      <c r="L65" s="1871"/>
      <c r="M65" s="1885"/>
    </row>
    <row r="66" spans="1:14" s="1853" customFormat="1">
      <c r="A66" s="1903"/>
      <c r="B66" s="1904" t="s">
        <v>374</v>
      </c>
      <c r="C66" s="1905" t="s">
        <v>1238</v>
      </c>
      <c r="D66" s="1909">
        <v>12</v>
      </c>
      <c r="E66" s="1910" t="s">
        <v>86</v>
      </c>
      <c r="F66" s="1906">
        <v>298</v>
      </c>
      <c r="G66" s="1906">
        <v>75</v>
      </c>
      <c r="H66" s="1906">
        <f>+F66*D66</f>
        <v>3576</v>
      </c>
      <c r="I66" s="1906">
        <f>+G66*D66</f>
        <v>900</v>
      </c>
      <c r="J66" s="1906">
        <f>+H66+I66</f>
        <v>4476</v>
      </c>
      <c r="K66" s="1907"/>
      <c r="L66" s="1871"/>
      <c r="M66" s="1885" t="s">
        <v>1879</v>
      </c>
    </row>
    <row r="67" spans="1:14" s="1853" customFormat="1">
      <c r="A67" s="1903"/>
      <c r="B67" s="1904" t="s">
        <v>375</v>
      </c>
      <c r="C67" s="1905" t="s">
        <v>1235</v>
      </c>
      <c r="D67" s="1909">
        <v>19</v>
      </c>
      <c r="E67" s="1910" t="s">
        <v>86</v>
      </c>
      <c r="F67" s="1906">
        <v>343</v>
      </c>
      <c r="G67" s="1906">
        <v>75</v>
      </c>
      <c r="H67" s="1906">
        <f>+F67*D67</f>
        <v>6517</v>
      </c>
      <c r="I67" s="1906">
        <f>+G67*D67</f>
        <v>1425</v>
      </c>
      <c r="J67" s="1906">
        <f>+H67+I67</f>
        <v>7942</v>
      </c>
      <c r="K67" s="1907"/>
      <c r="L67" s="1871"/>
      <c r="M67" s="1885" t="s">
        <v>1879</v>
      </c>
    </row>
    <row r="68" spans="1:14" s="1853" customFormat="1">
      <c r="A68" s="1903"/>
      <c r="B68" s="1904"/>
      <c r="C68" s="1905" t="s">
        <v>1199</v>
      </c>
      <c r="D68" s="1909">
        <v>3</v>
      </c>
      <c r="E68" s="1910" t="s">
        <v>5</v>
      </c>
      <c r="F68" s="1906">
        <v>500</v>
      </c>
      <c r="G68" s="1906">
        <v>100</v>
      </c>
      <c r="H68" s="1906">
        <f>+F68*D68</f>
        <v>1500</v>
      </c>
      <c r="I68" s="1906">
        <f>+G68*D68</f>
        <v>300</v>
      </c>
      <c r="J68" s="1906">
        <f>+H68+I68</f>
        <v>1800</v>
      </c>
      <c r="K68" s="1907"/>
      <c r="L68" s="1871"/>
      <c r="M68" s="2018" t="s">
        <v>1076</v>
      </c>
    </row>
    <row r="69" spans="1:14" s="2132" customFormat="1">
      <c r="A69" s="2122"/>
      <c r="B69" s="2064" t="s">
        <v>202</v>
      </c>
      <c r="C69" s="2123"/>
      <c r="D69" s="2124"/>
      <c r="E69" s="2125"/>
      <c r="F69" s="2126"/>
      <c r="G69" s="2126"/>
      <c r="H69" s="2127"/>
      <c r="I69" s="2127"/>
      <c r="J69" s="2127"/>
      <c r="K69" s="2128"/>
      <c r="L69" s="2129"/>
      <c r="M69" s="2130"/>
      <c r="N69" s="2131"/>
    </row>
    <row r="70" spans="1:14" s="2132" customFormat="1">
      <c r="A70" s="2122"/>
      <c r="B70" s="2064" t="s">
        <v>110</v>
      </c>
      <c r="C70" s="2123"/>
      <c r="D70" s="2124"/>
      <c r="E70" s="2125"/>
      <c r="F70" s="2126"/>
      <c r="G70" s="2126"/>
      <c r="H70" s="2127"/>
      <c r="I70" s="2127"/>
      <c r="J70" s="2127"/>
      <c r="K70" s="2128"/>
      <c r="L70" s="2129"/>
      <c r="M70" s="2130"/>
      <c r="N70" s="2131"/>
    </row>
    <row r="71" spans="1:14">
      <c r="A71" s="1903"/>
      <c r="B71" s="1904" t="s">
        <v>608</v>
      </c>
      <c r="C71" s="1905" t="s">
        <v>887</v>
      </c>
      <c r="D71" s="1909">
        <v>1</v>
      </c>
      <c r="E71" s="1910" t="s">
        <v>5</v>
      </c>
      <c r="F71" s="1906">
        <v>260000</v>
      </c>
      <c r="G71" s="1906">
        <v>20000</v>
      </c>
      <c r="H71" s="1906">
        <f t="shared" ref="H71:H78" si="6">+F71*D71</f>
        <v>260000</v>
      </c>
      <c r="I71" s="1906">
        <f>+G71*D71</f>
        <v>20000</v>
      </c>
      <c r="J71" s="1906">
        <f t="shared" ref="J71:J78" si="7">+H71+I71</f>
        <v>280000</v>
      </c>
      <c r="K71" s="1907"/>
      <c r="L71" s="1907" t="s">
        <v>1919</v>
      </c>
      <c r="M71" s="1952" t="s">
        <v>622</v>
      </c>
      <c r="N71" s="1861"/>
    </row>
    <row r="72" spans="1:14" s="1874" customFormat="1">
      <c r="A72" s="1903"/>
      <c r="B72" s="1904" t="s">
        <v>610</v>
      </c>
      <c r="C72" s="1905" t="s">
        <v>887</v>
      </c>
      <c r="D72" s="1909">
        <v>1</v>
      </c>
      <c r="E72" s="1910" t="s">
        <v>5</v>
      </c>
      <c r="F72" s="1906">
        <v>202000</v>
      </c>
      <c r="G72" s="1906">
        <v>19500</v>
      </c>
      <c r="H72" s="1906">
        <f t="shared" si="6"/>
        <v>202000</v>
      </c>
      <c r="I72" s="1906">
        <f t="shared" ref="I72:I78" si="8">+G72*D72</f>
        <v>19500</v>
      </c>
      <c r="J72" s="1906">
        <f t="shared" si="7"/>
        <v>221500</v>
      </c>
      <c r="K72" s="1907"/>
      <c r="L72" s="1907" t="s">
        <v>1919</v>
      </c>
      <c r="M72" s="1952" t="s">
        <v>622</v>
      </c>
    </row>
    <row r="73" spans="1:14" s="1874" customFormat="1">
      <c r="A73" s="1903"/>
      <c r="B73" s="1904" t="s">
        <v>619</v>
      </c>
      <c r="C73" s="1905" t="s">
        <v>891</v>
      </c>
      <c r="D73" s="1909">
        <v>2</v>
      </c>
      <c r="E73" s="1910" t="s">
        <v>5</v>
      </c>
      <c r="F73" s="1906">
        <v>185000</v>
      </c>
      <c r="G73" s="1906">
        <v>10000</v>
      </c>
      <c r="H73" s="1906">
        <f t="shared" si="6"/>
        <v>370000</v>
      </c>
      <c r="I73" s="1906">
        <f t="shared" si="8"/>
        <v>20000</v>
      </c>
      <c r="J73" s="1906">
        <f t="shared" si="7"/>
        <v>390000</v>
      </c>
      <c r="K73" s="1907"/>
      <c r="L73" s="1907" t="s">
        <v>1919</v>
      </c>
      <c r="M73" s="1952" t="s">
        <v>622</v>
      </c>
    </row>
    <row r="74" spans="1:14" s="1853" customFormat="1">
      <c r="A74" s="1903"/>
      <c r="B74" s="1904" t="s">
        <v>888</v>
      </c>
      <c r="C74" s="1905" t="s">
        <v>892</v>
      </c>
      <c r="D74" s="1909">
        <v>4</v>
      </c>
      <c r="E74" s="1910" t="s">
        <v>5</v>
      </c>
      <c r="F74" s="1906">
        <v>21891</v>
      </c>
      <c r="G74" s="1906">
        <v>450</v>
      </c>
      <c r="H74" s="1906">
        <f t="shared" si="6"/>
        <v>87564</v>
      </c>
      <c r="I74" s="1906">
        <f t="shared" si="8"/>
        <v>1800</v>
      </c>
      <c r="J74" s="1906">
        <f t="shared" si="7"/>
        <v>89364</v>
      </c>
      <c r="K74" s="1907"/>
      <c r="L74" s="1871"/>
      <c r="M74" s="1952" t="s">
        <v>1926</v>
      </c>
    </row>
    <row r="75" spans="1:14">
      <c r="A75" s="2000"/>
      <c r="B75" s="2004" t="s">
        <v>612</v>
      </c>
      <c r="C75" s="2005" t="s">
        <v>893</v>
      </c>
      <c r="D75" s="1956">
        <v>2</v>
      </c>
      <c r="E75" s="2006" t="s">
        <v>5</v>
      </c>
      <c r="F75" s="2007">
        <v>12306</v>
      </c>
      <c r="G75" s="2007">
        <v>450</v>
      </c>
      <c r="H75" s="2007">
        <f t="shared" si="6"/>
        <v>24612</v>
      </c>
      <c r="I75" s="2007">
        <f t="shared" si="8"/>
        <v>900</v>
      </c>
      <c r="J75" s="2007">
        <f t="shared" si="7"/>
        <v>25512</v>
      </c>
      <c r="K75" s="1907"/>
      <c r="M75" s="1952" t="s">
        <v>1926</v>
      </c>
    </row>
    <row r="76" spans="1:14">
      <c r="A76" s="2000"/>
      <c r="B76" s="2004" t="s">
        <v>889</v>
      </c>
      <c r="C76" s="2005" t="s">
        <v>894</v>
      </c>
      <c r="D76" s="1956">
        <v>1</v>
      </c>
      <c r="E76" s="2006" t="s">
        <v>5</v>
      </c>
      <c r="F76" s="2007">
        <v>11865</v>
      </c>
      <c r="G76" s="2007">
        <f>F76*0.3</f>
        <v>3559.5</v>
      </c>
      <c r="H76" s="2007">
        <f t="shared" si="6"/>
        <v>11865</v>
      </c>
      <c r="I76" s="2007">
        <f t="shared" si="8"/>
        <v>3559.5</v>
      </c>
      <c r="J76" s="2007">
        <f t="shared" si="7"/>
        <v>15424.5</v>
      </c>
      <c r="K76" s="1907"/>
      <c r="L76" s="1871" t="s">
        <v>1968</v>
      </c>
      <c r="M76" s="1952" t="s">
        <v>622</v>
      </c>
    </row>
    <row r="77" spans="1:14" s="1853" customFormat="1">
      <c r="A77" s="1897"/>
      <c r="B77" s="2008" t="s">
        <v>604</v>
      </c>
      <c r="C77" s="2019" t="s">
        <v>990</v>
      </c>
      <c r="D77" s="1898">
        <v>3</v>
      </c>
      <c r="E77" s="1899" t="s">
        <v>5</v>
      </c>
      <c r="F77" s="1900">
        <v>22000</v>
      </c>
      <c r="G77" s="1900">
        <f>F77*0.3</f>
        <v>6600</v>
      </c>
      <c r="H77" s="1900">
        <f t="shared" si="6"/>
        <v>66000</v>
      </c>
      <c r="I77" s="1900">
        <f t="shared" si="8"/>
        <v>19800</v>
      </c>
      <c r="J77" s="1900">
        <f t="shared" si="7"/>
        <v>85800</v>
      </c>
      <c r="K77" s="1907"/>
      <c r="L77" s="2157" t="s">
        <v>1968</v>
      </c>
      <c r="M77" s="1952" t="s">
        <v>622</v>
      </c>
    </row>
    <row r="78" spans="1:14" s="1853" customFormat="1">
      <c r="A78" s="1903"/>
      <c r="B78" s="1904" t="s">
        <v>890</v>
      </c>
      <c r="C78" s="1905" t="s">
        <v>896</v>
      </c>
      <c r="D78" s="1898">
        <v>1</v>
      </c>
      <c r="E78" s="1899" t="s">
        <v>5</v>
      </c>
      <c r="F78" s="1900">
        <v>21100</v>
      </c>
      <c r="G78" s="1900">
        <v>1450</v>
      </c>
      <c r="H78" s="1906">
        <f t="shared" si="6"/>
        <v>21100</v>
      </c>
      <c r="I78" s="1906">
        <f t="shared" si="8"/>
        <v>1450</v>
      </c>
      <c r="J78" s="1906">
        <f t="shared" si="7"/>
        <v>22550</v>
      </c>
      <c r="K78" s="1907"/>
      <c r="L78" s="1907" t="s">
        <v>1941</v>
      </c>
      <c r="M78" s="1952" t="s">
        <v>1942</v>
      </c>
    </row>
    <row r="79" spans="1:14" s="2132" customFormat="1">
      <c r="A79" s="2122"/>
      <c r="B79" s="2064" t="s">
        <v>111</v>
      </c>
      <c r="C79" s="2123"/>
      <c r="D79" s="2124"/>
      <c r="E79" s="2125"/>
      <c r="F79" s="2126"/>
      <c r="G79" s="2126"/>
      <c r="H79" s="2127"/>
      <c r="I79" s="2127"/>
      <c r="J79" s="2127"/>
      <c r="K79" s="2128"/>
      <c r="L79" s="2129"/>
      <c r="M79" s="2130"/>
      <c r="N79" s="2131"/>
    </row>
    <row r="80" spans="1:14">
      <c r="A80" s="1903"/>
      <c r="B80" s="1904" t="s">
        <v>6</v>
      </c>
      <c r="C80" s="1905" t="s">
        <v>898</v>
      </c>
      <c r="D80" s="1898">
        <v>1</v>
      </c>
      <c r="E80" s="1899" t="s">
        <v>5</v>
      </c>
      <c r="F80" s="1900">
        <v>134600</v>
      </c>
      <c r="G80" s="1900">
        <f t="shared" ref="G80:G87" si="9">F80*0.3</f>
        <v>40380</v>
      </c>
      <c r="H80" s="1906">
        <f t="shared" ref="H80:H87" si="10">+F80*D80</f>
        <v>134600</v>
      </c>
      <c r="I80" s="1906">
        <f t="shared" ref="I80:I87" si="11">+G80*D80</f>
        <v>40380</v>
      </c>
      <c r="J80" s="1906">
        <f t="shared" ref="J80:J86" si="12">+H80+I80</f>
        <v>174980</v>
      </c>
      <c r="K80" s="1907"/>
      <c r="L80" s="1907" t="s">
        <v>1935</v>
      </c>
      <c r="M80" s="1952" t="s">
        <v>622</v>
      </c>
    </row>
    <row r="81" spans="1:14">
      <c r="A81" s="1903"/>
      <c r="B81" s="1904" t="s">
        <v>1011</v>
      </c>
      <c r="C81" s="1905" t="s">
        <v>898</v>
      </c>
      <c r="D81" s="1898">
        <v>1</v>
      </c>
      <c r="E81" s="1899" t="s">
        <v>5</v>
      </c>
      <c r="F81" s="1900">
        <v>27100</v>
      </c>
      <c r="G81" s="1900">
        <f t="shared" si="9"/>
        <v>8130</v>
      </c>
      <c r="H81" s="1906">
        <f t="shared" si="10"/>
        <v>27100</v>
      </c>
      <c r="I81" s="1906">
        <f t="shared" si="11"/>
        <v>8130</v>
      </c>
      <c r="J81" s="1906">
        <f t="shared" si="12"/>
        <v>35230</v>
      </c>
      <c r="K81" s="1907"/>
      <c r="L81" s="1907" t="s">
        <v>1935</v>
      </c>
      <c r="M81" s="1952" t="s">
        <v>622</v>
      </c>
    </row>
    <row r="82" spans="1:14">
      <c r="A82" s="1903"/>
      <c r="B82" s="1904" t="s">
        <v>1012</v>
      </c>
      <c r="C82" s="1905" t="s">
        <v>898</v>
      </c>
      <c r="D82" s="1909">
        <v>1</v>
      </c>
      <c r="E82" s="1910" t="s">
        <v>5</v>
      </c>
      <c r="F82" s="1906">
        <v>23100</v>
      </c>
      <c r="G82" s="1906">
        <f t="shared" si="9"/>
        <v>6930</v>
      </c>
      <c r="H82" s="1906">
        <f t="shared" si="10"/>
        <v>23100</v>
      </c>
      <c r="I82" s="1906">
        <f t="shared" si="11"/>
        <v>6930</v>
      </c>
      <c r="J82" s="1906">
        <f t="shared" si="12"/>
        <v>30030</v>
      </c>
      <c r="K82" s="1907"/>
      <c r="L82" s="1907" t="s">
        <v>1935</v>
      </c>
      <c r="M82" s="1952" t="s">
        <v>622</v>
      </c>
    </row>
    <row r="83" spans="1:14">
      <c r="A83" s="1903"/>
      <c r="B83" s="1904" t="s">
        <v>1013</v>
      </c>
      <c r="C83" s="1905" t="s">
        <v>898</v>
      </c>
      <c r="D83" s="1909">
        <v>1</v>
      </c>
      <c r="E83" s="1910" t="s">
        <v>5</v>
      </c>
      <c r="F83" s="1906">
        <v>51300</v>
      </c>
      <c r="G83" s="1906">
        <f t="shared" si="9"/>
        <v>15390</v>
      </c>
      <c r="H83" s="1906">
        <f t="shared" si="10"/>
        <v>51300</v>
      </c>
      <c r="I83" s="1906">
        <f t="shared" si="11"/>
        <v>15390</v>
      </c>
      <c r="J83" s="1906">
        <f t="shared" si="12"/>
        <v>66690</v>
      </c>
      <c r="K83" s="1907"/>
      <c r="L83" s="1907" t="s">
        <v>1935</v>
      </c>
      <c r="M83" s="1952" t="s">
        <v>622</v>
      </c>
    </row>
    <row r="84" spans="1:14">
      <c r="A84" s="1903"/>
      <c r="B84" s="1904" t="s">
        <v>908</v>
      </c>
      <c r="C84" s="1905" t="s">
        <v>899</v>
      </c>
      <c r="D84" s="1909">
        <v>2</v>
      </c>
      <c r="E84" s="1910" t="s">
        <v>5</v>
      </c>
      <c r="F84" s="1906">
        <v>28900</v>
      </c>
      <c r="G84" s="1906">
        <f t="shared" si="9"/>
        <v>8670</v>
      </c>
      <c r="H84" s="1906">
        <f t="shared" si="10"/>
        <v>57800</v>
      </c>
      <c r="I84" s="1906">
        <f t="shared" si="11"/>
        <v>17340</v>
      </c>
      <c r="J84" s="1906">
        <f t="shared" si="12"/>
        <v>75140</v>
      </c>
      <c r="K84" s="1907"/>
      <c r="L84" s="1907" t="s">
        <v>1935</v>
      </c>
      <c r="M84" s="1952" t="s">
        <v>622</v>
      </c>
    </row>
    <row r="85" spans="1:14">
      <c r="A85" s="1903"/>
      <c r="B85" s="1904" t="s">
        <v>7</v>
      </c>
      <c r="C85" s="1905" t="s">
        <v>900</v>
      </c>
      <c r="D85" s="1909">
        <v>2</v>
      </c>
      <c r="E85" s="1910" t="s">
        <v>5</v>
      </c>
      <c r="F85" s="1906">
        <v>6600</v>
      </c>
      <c r="G85" s="1906">
        <f t="shared" si="9"/>
        <v>1980</v>
      </c>
      <c r="H85" s="1906">
        <f t="shared" si="10"/>
        <v>13200</v>
      </c>
      <c r="I85" s="1906">
        <f t="shared" si="11"/>
        <v>3960</v>
      </c>
      <c r="J85" s="1906">
        <f t="shared" si="12"/>
        <v>17160</v>
      </c>
      <c r="K85" s="1907"/>
      <c r="L85" s="1907" t="s">
        <v>1935</v>
      </c>
      <c r="M85" s="1952" t="s">
        <v>622</v>
      </c>
    </row>
    <row r="86" spans="1:14">
      <c r="A86" s="1903"/>
      <c r="B86" s="1904" t="s">
        <v>897</v>
      </c>
      <c r="C86" s="1905" t="s">
        <v>901</v>
      </c>
      <c r="D86" s="1909">
        <v>2</v>
      </c>
      <c r="E86" s="1910" t="s">
        <v>5</v>
      </c>
      <c r="F86" s="1906">
        <v>5715</v>
      </c>
      <c r="G86" s="1906">
        <f t="shared" si="9"/>
        <v>1714.5</v>
      </c>
      <c r="H86" s="1906">
        <f t="shared" si="10"/>
        <v>11430</v>
      </c>
      <c r="I86" s="1906">
        <f t="shared" si="11"/>
        <v>3429</v>
      </c>
      <c r="J86" s="1906">
        <f t="shared" si="12"/>
        <v>14859</v>
      </c>
      <c r="K86" s="1907"/>
      <c r="L86" s="1907"/>
      <c r="M86" s="1952" t="s">
        <v>622</v>
      </c>
    </row>
    <row r="87" spans="1:14">
      <c r="A87" s="1903"/>
      <c r="B87" s="1904" t="s">
        <v>1079</v>
      </c>
      <c r="C87" s="1905" t="s">
        <v>898</v>
      </c>
      <c r="D87" s="1909">
        <v>1</v>
      </c>
      <c r="E87" s="1910" t="s">
        <v>5</v>
      </c>
      <c r="F87" s="1906">
        <v>2127500</v>
      </c>
      <c r="G87" s="1906">
        <f t="shared" si="9"/>
        <v>638250</v>
      </c>
      <c r="H87" s="1906">
        <f t="shared" si="10"/>
        <v>2127500</v>
      </c>
      <c r="I87" s="1906">
        <f t="shared" si="11"/>
        <v>638250</v>
      </c>
      <c r="J87" s="1906">
        <f>+H87+I87</f>
        <v>2765750</v>
      </c>
      <c r="K87" s="1907"/>
      <c r="L87" s="1907" t="s">
        <v>1935</v>
      </c>
      <c r="M87" s="1952" t="s">
        <v>622</v>
      </c>
      <c r="N87" s="1861"/>
    </row>
    <row r="88" spans="1:14">
      <c r="A88" s="1863"/>
      <c r="B88" s="1864"/>
      <c r="C88" s="1865"/>
      <c r="D88" s="1866"/>
      <c r="E88" s="1867"/>
      <c r="F88" s="1868"/>
      <c r="G88" s="1868"/>
      <c r="H88" s="1868"/>
      <c r="I88" s="1868"/>
      <c r="J88" s="1868"/>
      <c r="K88" s="1869"/>
      <c r="M88" s="1952"/>
      <c r="N88" s="1861"/>
    </row>
    <row r="89" spans="1:14">
      <c r="B89" s="1860"/>
      <c r="C89" s="2133" t="s">
        <v>133</v>
      </c>
      <c r="D89" s="2134"/>
      <c r="E89" s="2135"/>
      <c r="F89" s="2136"/>
      <c r="G89" s="2137"/>
      <c r="H89" s="2137"/>
      <c r="I89" s="2137"/>
      <c r="J89" s="2137"/>
      <c r="K89" s="2137"/>
      <c r="M89" s="1952"/>
      <c r="N89" s="1861"/>
    </row>
    <row r="90" spans="1:14">
      <c r="B90" s="2138"/>
      <c r="C90" s="2139" t="s">
        <v>1769</v>
      </c>
      <c r="D90" s="2140"/>
      <c r="E90" s="1861"/>
      <c r="F90" s="2135"/>
      <c r="G90" s="2139" t="s">
        <v>134</v>
      </c>
      <c r="H90" s="2138"/>
      <c r="I90" s="2138"/>
      <c r="J90" s="2138"/>
      <c r="K90" s="2138"/>
      <c r="M90" s="1952"/>
      <c r="N90" s="1861"/>
    </row>
    <row r="91" spans="1:14">
      <c r="B91" s="1871"/>
      <c r="C91" s="2141" t="s">
        <v>1970</v>
      </c>
      <c r="D91" s="2140"/>
      <c r="E91" s="2142"/>
      <c r="F91" s="2143"/>
      <c r="G91" s="2144" t="s">
        <v>1971</v>
      </c>
      <c r="H91" s="2145"/>
      <c r="I91" s="2145"/>
      <c r="J91" s="2145"/>
      <c r="K91" s="2145"/>
      <c r="M91" s="1952"/>
      <c r="N91" s="1861"/>
    </row>
    <row r="92" spans="1:14">
      <c r="A92" s="1837"/>
      <c r="B92" s="2138"/>
      <c r="C92" s="2139" t="s">
        <v>2031</v>
      </c>
      <c r="D92" s="2140"/>
      <c r="E92" s="1837"/>
      <c r="F92" s="2146"/>
      <c r="G92" s="2139" t="s">
        <v>2031</v>
      </c>
      <c r="H92" s="1837"/>
      <c r="I92" s="1837"/>
      <c r="J92" s="1837"/>
      <c r="K92" s="1837"/>
      <c r="M92" s="1952"/>
      <c r="N92" s="1861"/>
    </row>
    <row r="93" spans="1:14">
      <c r="A93" s="1952"/>
      <c r="B93" s="1871"/>
      <c r="C93" s="2147" t="s">
        <v>1984</v>
      </c>
      <c r="D93" s="2140"/>
      <c r="E93" s="1837"/>
      <c r="F93" s="2135"/>
      <c r="G93" s="2147" t="s">
        <v>1985</v>
      </c>
      <c r="H93" s="1952"/>
      <c r="I93" s="1952"/>
      <c r="J93" s="1952"/>
      <c r="K93" s="1952"/>
      <c r="M93" s="1952"/>
      <c r="N93" s="1861"/>
    </row>
    <row r="94" spans="1:14">
      <c r="A94" s="1952"/>
      <c r="B94" s="1952"/>
      <c r="C94" s="2139" t="s">
        <v>670</v>
      </c>
      <c r="D94" s="2139"/>
      <c r="E94" s="2143"/>
      <c r="F94" s="2143"/>
      <c r="G94" s="1952"/>
      <c r="H94" s="1952"/>
      <c r="I94" s="1952"/>
      <c r="J94" s="1952"/>
      <c r="K94" s="1952"/>
      <c r="M94" s="1952"/>
      <c r="N94" s="1861"/>
    </row>
    <row r="95" spans="1:14">
      <c r="C95" s="2147" t="s">
        <v>1972</v>
      </c>
      <c r="D95" s="2147"/>
      <c r="E95" s="2146"/>
      <c r="F95" s="2146"/>
      <c r="M95" s="1952"/>
      <c r="N95" s="1861"/>
    </row>
    <row r="96" spans="1:14">
      <c r="A96" s="1903"/>
      <c r="B96" s="2386" t="s">
        <v>671</v>
      </c>
      <c r="C96" s="2386"/>
      <c r="D96" s="1909"/>
      <c r="E96" s="1910"/>
      <c r="F96" s="1906"/>
      <c r="G96" s="1906"/>
      <c r="H96" s="1906"/>
      <c r="I96" s="1906"/>
      <c r="J96" s="1906"/>
      <c r="K96" s="1907"/>
    </row>
    <row r="97" spans="1:14" s="1976" customFormat="1">
      <c r="A97" s="1965"/>
      <c r="B97" s="1966"/>
      <c r="C97" s="1967" t="s">
        <v>879</v>
      </c>
      <c r="D97" s="1909">
        <v>1</v>
      </c>
      <c r="E97" s="1968" t="s">
        <v>5</v>
      </c>
      <c r="F97" s="1969">
        <v>7690</v>
      </c>
      <c r="G97" s="1970">
        <v>450</v>
      </c>
      <c r="H97" s="1969">
        <f t="shared" ref="H97:H115" si="13">F97*D97</f>
        <v>7690</v>
      </c>
      <c r="I97" s="1969">
        <f t="shared" ref="I97:I115" si="14">G97*D97</f>
        <v>450</v>
      </c>
      <c r="J97" s="1969">
        <f t="shared" ref="J97:J105" si="15">SUM(H97:I97)</f>
        <v>8140</v>
      </c>
      <c r="K97" s="1907"/>
      <c r="L97" s="1971" t="s">
        <v>1899</v>
      </c>
      <c r="M97" s="1952" t="s">
        <v>1907</v>
      </c>
    </row>
    <row r="98" spans="1:14" s="1872" customFormat="1">
      <c r="A98" s="1972"/>
      <c r="B98" s="1973"/>
      <c r="C98" s="1974" t="s">
        <v>866</v>
      </c>
      <c r="D98" s="1930">
        <f>D97</f>
        <v>1</v>
      </c>
      <c r="E98" s="1909" t="s">
        <v>5</v>
      </c>
      <c r="F98" s="1968">
        <v>120</v>
      </c>
      <c r="G98" s="1975">
        <v>0</v>
      </c>
      <c r="H98" s="1975">
        <f t="shared" si="13"/>
        <v>120</v>
      </c>
      <c r="I98" s="1975">
        <f t="shared" si="14"/>
        <v>0</v>
      </c>
      <c r="J98" s="1975">
        <f t="shared" si="15"/>
        <v>120</v>
      </c>
      <c r="K98" s="1907"/>
      <c r="L98" s="1976"/>
      <c r="M98" s="1885" t="s">
        <v>1879</v>
      </c>
    </row>
    <row r="99" spans="1:14" s="1872" customFormat="1">
      <c r="A99" s="1972"/>
      <c r="B99" s="1973"/>
      <c r="C99" s="1974" t="s">
        <v>867</v>
      </c>
      <c r="D99" s="1930">
        <f>D97</f>
        <v>1</v>
      </c>
      <c r="E99" s="1909" t="s">
        <v>5</v>
      </c>
      <c r="F99" s="1968">
        <v>80</v>
      </c>
      <c r="G99" s="1975">
        <v>35</v>
      </c>
      <c r="H99" s="1975">
        <f t="shared" si="13"/>
        <v>80</v>
      </c>
      <c r="I99" s="1975">
        <f t="shared" si="14"/>
        <v>35</v>
      </c>
      <c r="J99" s="1975">
        <f t="shared" si="15"/>
        <v>115</v>
      </c>
      <c r="K99" s="1907"/>
      <c r="L99" s="1976"/>
      <c r="M99" s="1885" t="s">
        <v>1879</v>
      </c>
    </row>
    <row r="100" spans="1:14" s="1872" customFormat="1">
      <c r="A100" s="1972"/>
      <c r="B100" s="1973"/>
      <c r="C100" s="1974" t="s">
        <v>886</v>
      </c>
      <c r="D100" s="1930">
        <v>1</v>
      </c>
      <c r="E100" s="1909" t="s">
        <v>5</v>
      </c>
      <c r="F100" s="1968">
        <v>3500</v>
      </c>
      <c r="G100" s="1975">
        <v>450</v>
      </c>
      <c r="H100" s="1975">
        <f t="shared" si="13"/>
        <v>3500</v>
      </c>
      <c r="I100" s="1975">
        <f t="shared" si="14"/>
        <v>450</v>
      </c>
      <c r="J100" s="1975">
        <f t="shared" si="15"/>
        <v>3950</v>
      </c>
      <c r="K100" s="1978"/>
      <c r="L100" s="1976"/>
      <c r="M100" s="1885" t="s">
        <v>1879</v>
      </c>
    </row>
    <row r="101" spans="1:14" s="1872" customFormat="1">
      <c r="A101" s="1972"/>
      <c r="B101" s="1973"/>
      <c r="C101" s="1974" t="s">
        <v>880</v>
      </c>
      <c r="D101" s="1930">
        <f>D100</f>
        <v>1</v>
      </c>
      <c r="E101" s="1909" t="s">
        <v>5</v>
      </c>
      <c r="F101" s="1968">
        <v>900</v>
      </c>
      <c r="G101" s="1975">
        <v>150</v>
      </c>
      <c r="H101" s="1975">
        <f t="shared" si="13"/>
        <v>900</v>
      </c>
      <c r="I101" s="1975">
        <f t="shared" si="14"/>
        <v>150</v>
      </c>
      <c r="J101" s="1975">
        <f t="shared" si="15"/>
        <v>1050</v>
      </c>
      <c r="K101" s="1978"/>
      <c r="L101" s="1976"/>
      <c r="M101" s="1885" t="s">
        <v>1879</v>
      </c>
    </row>
    <row r="102" spans="1:14" s="1872" customFormat="1">
      <c r="A102" s="1960"/>
      <c r="B102" s="1961"/>
      <c r="C102" s="1962" t="s">
        <v>881</v>
      </c>
      <c r="D102" s="1950">
        <f>D100</f>
        <v>1</v>
      </c>
      <c r="E102" s="1898" t="s">
        <v>5</v>
      </c>
      <c r="F102" s="1963">
        <v>210</v>
      </c>
      <c r="G102" s="1964">
        <v>0</v>
      </c>
      <c r="H102" s="1964">
        <f t="shared" si="13"/>
        <v>210</v>
      </c>
      <c r="I102" s="1964">
        <f t="shared" si="14"/>
        <v>0</v>
      </c>
      <c r="J102" s="1964">
        <f t="shared" si="15"/>
        <v>210</v>
      </c>
      <c r="K102" s="2066"/>
      <c r="L102" s="1976"/>
      <c r="M102" s="1885" t="s">
        <v>1879</v>
      </c>
    </row>
    <row r="103" spans="1:14" s="1872" customFormat="1">
      <c r="A103" s="1972"/>
      <c r="B103" s="1973"/>
      <c r="C103" s="1974" t="s">
        <v>882</v>
      </c>
      <c r="D103" s="1930">
        <f>D100</f>
        <v>1</v>
      </c>
      <c r="E103" s="1909" t="s">
        <v>5</v>
      </c>
      <c r="F103" s="1968">
        <v>310</v>
      </c>
      <c r="G103" s="1975">
        <v>0</v>
      </c>
      <c r="H103" s="1975">
        <f t="shared" si="13"/>
        <v>310</v>
      </c>
      <c r="I103" s="1975">
        <f t="shared" si="14"/>
        <v>0</v>
      </c>
      <c r="J103" s="1975">
        <f t="shared" si="15"/>
        <v>310</v>
      </c>
      <c r="K103" s="1978"/>
      <c r="L103" s="1976"/>
      <c r="M103" s="1885" t="s">
        <v>1879</v>
      </c>
    </row>
    <row r="104" spans="1:14" s="1872" customFormat="1">
      <c r="A104" s="1972"/>
      <c r="B104" s="1973"/>
      <c r="C104" s="1974" t="s">
        <v>873</v>
      </c>
      <c r="D104" s="1930">
        <f>D100</f>
        <v>1</v>
      </c>
      <c r="E104" s="1909" t="s">
        <v>5</v>
      </c>
      <c r="F104" s="1968">
        <v>120</v>
      </c>
      <c r="G104" s="1975">
        <v>0</v>
      </c>
      <c r="H104" s="1975">
        <f t="shared" si="13"/>
        <v>120</v>
      </c>
      <c r="I104" s="1975">
        <f t="shared" si="14"/>
        <v>0</v>
      </c>
      <c r="J104" s="1975">
        <f t="shared" si="15"/>
        <v>120</v>
      </c>
      <c r="K104" s="1978"/>
      <c r="L104" s="1976"/>
      <c r="M104" s="1885" t="s">
        <v>1879</v>
      </c>
    </row>
    <row r="105" spans="1:14" s="1872" customFormat="1">
      <c r="A105" s="1972"/>
      <c r="B105" s="1973"/>
      <c r="C105" s="1974" t="s">
        <v>867</v>
      </c>
      <c r="D105" s="1930">
        <f>D100</f>
        <v>1</v>
      </c>
      <c r="E105" s="1909" t="s">
        <v>5</v>
      </c>
      <c r="F105" s="1968">
        <v>80</v>
      </c>
      <c r="G105" s="1975">
        <v>35</v>
      </c>
      <c r="H105" s="1975">
        <f t="shared" si="13"/>
        <v>80</v>
      </c>
      <c r="I105" s="1975">
        <f t="shared" si="14"/>
        <v>35</v>
      </c>
      <c r="J105" s="1975">
        <f t="shared" si="15"/>
        <v>115</v>
      </c>
      <c r="K105" s="1978"/>
      <c r="L105" s="1976"/>
      <c r="M105" s="1885" t="s">
        <v>1879</v>
      </c>
    </row>
    <row r="106" spans="1:14">
      <c r="A106" s="1903"/>
      <c r="B106" s="1904"/>
      <c r="C106" s="1905" t="s">
        <v>883</v>
      </c>
      <c r="D106" s="1898">
        <v>1</v>
      </c>
      <c r="E106" s="1899" t="s">
        <v>5</v>
      </c>
      <c r="F106" s="1900">
        <v>3400</v>
      </c>
      <c r="G106" s="1900">
        <v>105</v>
      </c>
      <c r="H106" s="1906">
        <f>+F106*D106</f>
        <v>3400</v>
      </c>
      <c r="I106" s="1906">
        <f>+G106*D106</f>
        <v>105</v>
      </c>
      <c r="J106" s="1906">
        <f>+H106+I106</f>
        <v>3505</v>
      </c>
      <c r="K106" s="1978"/>
      <c r="L106" s="1976"/>
      <c r="M106" s="1885" t="s">
        <v>1879</v>
      </c>
      <c r="N106" s="1861"/>
    </row>
    <row r="107" spans="1:14">
      <c r="A107" s="1903"/>
      <c r="B107" s="1904"/>
      <c r="C107" s="1905" t="s">
        <v>884</v>
      </c>
      <c r="D107" s="1898">
        <v>1</v>
      </c>
      <c r="E107" s="1899" t="s">
        <v>5</v>
      </c>
      <c r="F107" s="1900">
        <v>3400</v>
      </c>
      <c r="G107" s="1900">
        <v>105</v>
      </c>
      <c r="H107" s="1906">
        <f>+F107*D107</f>
        <v>3400</v>
      </c>
      <c r="I107" s="1906">
        <f>+G107*D107</f>
        <v>105</v>
      </c>
      <c r="J107" s="1906">
        <f>+H107+I107</f>
        <v>3505</v>
      </c>
      <c r="K107" s="1978"/>
      <c r="L107" s="1976"/>
      <c r="M107" s="1885" t="s">
        <v>1879</v>
      </c>
      <c r="N107" s="1861"/>
    </row>
    <row r="108" spans="1:14">
      <c r="A108" s="1903"/>
      <c r="B108" s="1904"/>
      <c r="C108" s="1905" t="s">
        <v>885</v>
      </c>
      <c r="D108" s="1898">
        <v>1</v>
      </c>
      <c r="E108" s="1899" t="s">
        <v>5</v>
      </c>
      <c r="F108" s="1900">
        <v>220</v>
      </c>
      <c r="G108" s="1900">
        <v>70</v>
      </c>
      <c r="H108" s="1906">
        <f>+F108*D108</f>
        <v>220</v>
      </c>
      <c r="I108" s="1906">
        <f>+G108*D108</f>
        <v>70</v>
      </c>
      <c r="J108" s="1906">
        <f>+H108+I108</f>
        <v>290</v>
      </c>
      <c r="K108" s="1978"/>
      <c r="L108" s="1976"/>
      <c r="M108" s="1885" t="s">
        <v>1879</v>
      </c>
      <c r="N108" s="1861"/>
    </row>
    <row r="109" spans="1:14" s="1872" customFormat="1">
      <c r="A109" s="1972"/>
      <c r="B109" s="1973"/>
      <c r="C109" s="1974" t="s">
        <v>874</v>
      </c>
      <c r="D109" s="1930">
        <v>1</v>
      </c>
      <c r="E109" s="1909" t="s">
        <v>5</v>
      </c>
      <c r="F109" s="1968">
        <v>1142</v>
      </c>
      <c r="G109" s="1975">
        <v>70</v>
      </c>
      <c r="H109" s="1975">
        <f t="shared" si="13"/>
        <v>1142</v>
      </c>
      <c r="I109" s="1975">
        <f t="shared" si="14"/>
        <v>70</v>
      </c>
      <c r="J109" s="1975">
        <f t="shared" ref="J109:J115" si="16">SUM(H109:I109)</f>
        <v>1212</v>
      </c>
      <c r="K109" s="1978"/>
      <c r="L109" s="1976" t="s">
        <v>1899</v>
      </c>
      <c r="M109" s="1885" t="s">
        <v>1898</v>
      </c>
    </row>
    <row r="110" spans="1:14" s="1872" customFormat="1">
      <c r="A110" s="1972"/>
      <c r="B110" s="1973"/>
      <c r="C110" s="1974" t="s">
        <v>377</v>
      </c>
      <c r="D110" s="1930">
        <v>1</v>
      </c>
      <c r="E110" s="1909" t="s">
        <v>5</v>
      </c>
      <c r="F110" s="1968">
        <v>300</v>
      </c>
      <c r="G110" s="1975">
        <v>70</v>
      </c>
      <c r="H110" s="1975">
        <f t="shared" si="13"/>
        <v>300</v>
      </c>
      <c r="I110" s="1975">
        <f t="shared" si="14"/>
        <v>70</v>
      </c>
      <c r="J110" s="1975">
        <f t="shared" si="16"/>
        <v>370</v>
      </c>
      <c r="K110" s="1978"/>
      <c r="L110" s="1976"/>
      <c r="M110" s="1885" t="s">
        <v>1879</v>
      </c>
    </row>
    <row r="111" spans="1:14" s="1872" customFormat="1">
      <c r="A111" s="1972"/>
      <c r="B111" s="1973"/>
      <c r="C111" s="1974" t="s">
        <v>867</v>
      </c>
      <c r="D111" s="1930">
        <v>1</v>
      </c>
      <c r="E111" s="1909" t="s">
        <v>5</v>
      </c>
      <c r="F111" s="1968">
        <v>80</v>
      </c>
      <c r="G111" s="1975">
        <v>35</v>
      </c>
      <c r="H111" s="1975">
        <f t="shared" si="13"/>
        <v>80</v>
      </c>
      <c r="I111" s="1975">
        <f t="shared" si="14"/>
        <v>35</v>
      </c>
      <c r="J111" s="1975">
        <f t="shared" si="16"/>
        <v>115</v>
      </c>
      <c r="K111" s="1978"/>
      <c r="L111" s="1976"/>
      <c r="M111" s="1885" t="s">
        <v>1879</v>
      </c>
    </row>
    <row r="112" spans="1:14">
      <c r="A112" s="1903"/>
      <c r="B112" s="1904"/>
      <c r="C112" s="1993" t="s">
        <v>376</v>
      </c>
      <c r="D112" s="1981">
        <v>1</v>
      </c>
      <c r="E112" s="1903" t="s">
        <v>5</v>
      </c>
      <c r="F112" s="1996">
        <v>390</v>
      </c>
      <c r="G112" s="1996">
        <v>120</v>
      </c>
      <c r="H112" s="1975">
        <f>F112*D112</f>
        <v>390</v>
      </c>
      <c r="I112" s="1975">
        <f>G112*D112</f>
        <v>120</v>
      </c>
      <c r="J112" s="1975">
        <f>SUM(H112:I112)</f>
        <v>510</v>
      </c>
      <c r="K112" s="1978"/>
      <c r="L112" s="1976"/>
      <c r="M112" s="1885" t="s">
        <v>1879</v>
      </c>
      <c r="N112" s="1861"/>
    </row>
    <row r="113" spans="1:14" s="1872" customFormat="1">
      <c r="A113" s="1972"/>
      <c r="B113" s="1973"/>
      <c r="C113" s="1974" t="s">
        <v>875</v>
      </c>
      <c r="D113" s="1930">
        <v>1</v>
      </c>
      <c r="E113" s="1909" t="s">
        <v>5</v>
      </c>
      <c r="F113" s="1968">
        <v>125</v>
      </c>
      <c r="G113" s="1975">
        <v>25</v>
      </c>
      <c r="H113" s="1975">
        <f t="shared" si="13"/>
        <v>125</v>
      </c>
      <c r="I113" s="1975">
        <f t="shared" si="14"/>
        <v>25</v>
      </c>
      <c r="J113" s="1975">
        <f t="shared" si="16"/>
        <v>150</v>
      </c>
      <c r="K113" s="1978"/>
      <c r="L113" s="1976"/>
      <c r="M113" s="1885" t="s">
        <v>1879</v>
      </c>
    </row>
    <row r="114" spans="1:14" s="1872" customFormat="1">
      <c r="A114" s="1972"/>
      <c r="B114" s="1973"/>
      <c r="C114" s="1974" t="s">
        <v>878</v>
      </c>
      <c r="D114" s="1930">
        <v>1</v>
      </c>
      <c r="E114" s="1909" t="s">
        <v>5</v>
      </c>
      <c r="F114" s="1968">
        <v>150</v>
      </c>
      <c r="G114" s="1975">
        <v>75</v>
      </c>
      <c r="H114" s="1975">
        <f t="shared" si="13"/>
        <v>150</v>
      </c>
      <c r="I114" s="1975">
        <f t="shared" si="14"/>
        <v>75</v>
      </c>
      <c r="J114" s="1975">
        <f t="shared" si="16"/>
        <v>225</v>
      </c>
      <c r="K114" s="1978"/>
      <c r="L114" s="1976"/>
      <c r="M114" s="1885" t="s">
        <v>1879</v>
      </c>
    </row>
    <row r="115" spans="1:14" s="1872" customFormat="1">
      <c r="A115" s="1972"/>
      <c r="B115" s="1973"/>
      <c r="C115" s="1980" t="s">
        <v>1778</v>
      </c>
      <c r="D115" s="1981">
        <v>1.2</v>
      </c>
      <c r="E115" s="1982" t="s">
        <v>86</v>
      </c>
      <c r="F115" s="1983">
        <v>2850</v>
      </c>
      <c r="G115" s="1984">
        <v>198</v>
      </c>
      <c r="H115" s="1975">
        <f t="shared" si="13"/>
        <v>3420</v>
      </c>
      <c r="I115" s="1975">
        <f t="shared" si="14"/>
        <v>237.6</v>
      </c>
      <c r="J115" s="1975">
        <f t="shared" si="16"/>
        <v>3657.6</v>
      </c>
      <c r="L115" s="1971" t="s">
        <v>1922</v>
      </c>
      <c r="M115" s="1872" t="s">
        <v>1898</v>
      </c>
    </row>
    <row r="116" spans="1:14" s="1872" customFormat="1">
      <c r="A116" s="1985"/>
      <c r="B116" s="1986"/>
      <c r="C116" s="1974" t="s">
        <v>877</v>
      </c>
      <c r="D116" s="1930">
        <v>0.8</v>
      </c>
      <c r="E116" s="1909" t="s">
        <v>86</v>
      </c>
      <c r="F116" s="1968">
        <v>3028</v>
      </c>
      <c r="G116" s="1975">
        <v>392</v>
      </c>
      <c r="H116" s="1987">
        <f>ROUND(F116*D116,2)</f>
        <v>2422.4</v>
      </c>
      <c r="I116" s="1987">
        <f>ROUND(G116*D116,2)</f>
        <v>313.60000000000002</v>
      </c>
      <c r="J116" s="1988">
        <f>+H116+I116</f>
        <v>2736</v>
      </c>
      <c r="K116" s="1978"/>
      <c r="L116" s="1976"/>
      <c r="M116" s="1872" t="s">
        <v>1898</v>
      </c>
    </row>
    <row r="117" spans="1:14" s="1872" customFormat="1">
      <c r="A117" s="1863"/>
      <c r="B117" s="1864"/>
      <c r="C117" s="1865"/>
      <c r="D117" s="1866"/>
      <c r="E117" s="1867"/>
      <c r="F117" s="1868"/>
      <c r="G117" s="1868"/>
      <c r="H117" s="1868"/>
      <c r="I117" s="1868"/>
      <c r="J117" s="1868"/>
      <c r="K117" s="1869"/>
      <c r="L117" s="1976"/>
    </row>
    <row r="118" spans="1:14" s="1872" customFormat="1">
      <c r="A118" s="1840"/>
      <c r="B118" s="1860"/>
      <c r="C118" s="2133" t="s">
        <v>133</v>
      </c>
      <c r="D118" s="2134"/>
      <c r="E118" s="2135"/>
      <c r="F118" s="2136"/>
      <c r="G118" s="2137"/>
      <c r="H118" s="2137"/>
      <c r="I118" s="2137"/>
      <c r="J118" s="2137"/>
      <c r="K118" s="2137"/>
      <c r="L118" s="1976"/>
    </row>
    <row r="119" spans="1:14" s="1872" customFormat="1">
      <c r="A119" s="1840"/>
      <c r="B119" s="2138"/>
      <c r="C119" s="2139" t="s">
        <v>1769</v>
      </c>
      <c r="D119" s="2140"/>
      <c r="E119" s="1861"/>
      <c r="F119" s="2135"/>
      <c r="G119" s="2139" t="s">
        <v>134</v>
      </c>
      <c r="H119" s="2138"/>
      <c r="I119" s="2138"/>
      <c r="J119" s="2138"/>
      <c r="K119" s="2138"/>
      <c r="L119" s="1976"/>
    </row>
    <row r="120" spans="1:14" s="1872" customFormat="1">
      <c r="A120" s="1840"/>
      <c r="B120" s="1871"/>
      <c r="C120" s="2141" t="s">
        <v>1970</v>
      </c>
      <c r="D120" s="2140"/>
      <c r="E120" s="2142"/>
      <c r="F120" s="2143"/>
      <c r="G120" s="2144" t="s">
        <v>1971</v>
      </c>
      <c r="H120" s="2145"/>
      <c r="I120" s="2145"/>
      <c r="J120" s="2145"/>
      <c r="K120" s="2145"/>
      <c r="L120" s="1976"/>
    </row>
    <row r="121" spans="1:14" s="1872" customFormat="1">
      <c r="A121" s="1837"/>
      <c r="B121" s="2138"/>
      <c r="C121" s="2139" t="s">
        <v>2031</v>
      </c>
      <c r="D121" s="2140"/>
      <c r="E121" s="1837"/>
      <c r="F121" s="2146"/>
      <c r="G121" s="2139" t="s">
        <v>2031</v>
      </c>
      <c r="H121" s="1837"/>
      <c r="I121" s="1837"/>
      <c r="J121" s="1837"/>
      <c r="K121" s="1837"/>
      <c r="L121" s="1976"/>
    </row>
    <row r="122" spans="1:14" s="1872" customFormat="1">
      <c r="A122" s="1952"/>
      <c r="B122" s="1871"/>
      <c r="C122" s="2147" t="s">
        <v>1984</v>
      </c>
      <c r="D122" s="2140"/>
      <c r="E122" s="1837"/>
      <c r="F122" s="2135"/>
      <c r="G122" s="2147" t="s">
        <v>1985</v>
      </c>
      <c r="H122" s="1952"/>
      <c r="I122" s="1952"/>
      <c r="J122" s="1952"/>
      <c r="K122" s="1952"/>
      <c r="L122" s="1976"/>
    </row>
    <row r="123" spans="1:14" s="1872" customFormat="1">
      <c r="A123" s="1952"/>
      <c r="B123" s="1952"/>
      <c r="C123" s="2139" t="s">
        <v>670</v>
      </c>
      <c r="D123" s="2139"/>
      <c r="E123" s="2143"/>
      <c r="F123" s="2143"/>
      <c r="G123" s="1952"/>
      <c r="H123" s="1952"/>
      <c r="I123" s="1952"/>
      <c r="J123" s="1952"/>
      <c r="K123" s="1952"/>
      <c r="L123" s="1976"/>
    </row>
    <row r="124" spans="1:14" s="1872" customFormat="1">
      <c r="A124" s="1840"/>
      <c r="B124" s="1840"/>
      <c r="C124" s="2147" t="s">
        <v>1972</v>
      </c>
      <c r="D124" s="2147"/>
      <c r="E124" s="2146"/>
      <c r="F124" s="2146"/>
      <c r="G124" s="1870"/>
      <c r="H124" s="1870"/>
      <c r="I124" s="1870"/>
      <c r="J124" s="1870"/>
      <c r="K124" s="1871"/>
      <c r="L124" s="1976"/>
    </row>
    <row r="125" spans="1:14">
      <c r="A125" s="1897"/>
      <c r="B125" s="2386" t="s">
        <v>249</v>
      </c>
      <c r="C125" s="2392"/>
      <c r="D125" s="1898"/>
      <c r="E125" s="1899"/>
      <c r="F125" s="1900"/>
      <c r="G125" s="1900"/>
      <c r="H125" s="1900"/>
      <c r="I125" s="1900"/>
      <c r="J125" s="1900"/>
      <c r="K125" s="2066"/>
      <c r="L125" s="1976"/>
    </row>
    <row r="126" spans="1:14">
      <c r="A126" s="1903"/>
      <c r="B126" s="1904" t="s">
        <v>277</v>
      </c>
      <c r="C126" s="1905" t="s">
        <v>378</v>
      </c>
      <c r="D126" s="1909"/>
      <c r="E126" s="1910"/>
      <c r="F126" s="1906"/>
      <c r="G126" s="1906"/>
      <c r="H126" s="1906"/>
      <c r="I126" s="1906"/>
      <c r="J126" s="1906"/>
      <c r="K126" s="1978"/>
      <c r="L126" s="1976"/>
    </row>
    <row r="127" spans="1:14" s="1862" customFormat="1" ht="48">
      <c r="A127" s="1911"/>
      <c r="B127" s="1912" t="s">
        <v>107</v>
      </c>
      <c r="C127" s="1990" t="s">
        <v>1915</v>
      </c>
      <c r="D127" s="1991">
        <v>24.8</v>
      </c>
      <c r="E127" s="1911" t="s">
        <v>86</v>
      </c>
      <c r="F127" s="1922">
        <v>606</v>
      </c>
      <c r="G127" s="1922">
        <v>222</v>
      </c>
      <c r="H127" s="1916">
        <f t="shared" ref="H127:H133" si="17">+F127*D127</f>
        <v>15028.800000000001</v>
      </c>
      <c r="I127" s="1916">
        <f t="shared" ref="I127:I133" si="18">+G127*D127</f>
        <v>5505.6</v>
      </c>
      <c r="J127" s="1916">
        <f t="shared" ref="J127:J133" si="19">+H127+I127</f>
        <v>20534.400000000001</v>
      </c>
      <c r="K127" s="1917"/>
      <c r="L127" s="2048"/>
      <c r="M127" s="1992" t="s">
        <v>1879</v>
      </c>
      <c r="N127" s="1852"/>
    </row>
    <row r="128" spans="1:14">
      <c r="A128" s="1903"/>
      <c r="B128" s="1904" t="s">
        <v>107</v>
      </c>
      <c r="C128" s="1993" t="s">
        <v>948</v>
      </c>
      <c r="D128" s="1981">
        <v>24.8</v>
      </c>
      <c r="E128" s="1903" t="s">
        <v>86</v>
      </c>
      <c r="F128" s="1995">
        <v>0</v>
      </c>
      <c r="G128" s="1996">
        <v>200</v>
      </c>
      <c r="H128" s="1906">
        <f t="shared" si="17"/>
        <v>0</v>
      </c>
      <c r="I128" s="1906">
        <f t="shared" si="18"/>
        <v>4960</v>
      </c>
      <c r="J128" s="1906">
        <f t="shared" si="19"/>
        <v>4960</v>
      </c>
      <c r="K128" s="1907"/>
      <c r="M128" s="1885" t="s">
        <v>1016</v>
      </c>
    </row>
    <row r="129" spans="1:14">
      <c r="A129" s="1965"/>
      <c r="B129" s="1997" t="s">
        <v>107</v>
      </c>
      <c r="C129" s="1993" t="s">
        <v>1081</v>
      </c>
      <c r="D129" s="1998">
        <v>45.5</v>
      </c>
      <c r="E129" s="1999" t="s">
        <v>87</v>
      </c>
      <c r="F129" s="1975">
        <v>28.9</v>
      </c>
      <c r="G129" s="1975">
        <v>10</v>
      </c>
      <c r="H129" s="1906">
        <f t="shared" si="17"/>
        <v>1314.95</v>
      </c>
      <c r="I129" s="1906">
        <f t="shared" si="18"/>
        <v>455</v>
      </c>
      <c r="J129" s="1906">
        <f t="shared" si="19"/>
        <v>1769.95</v>
      </c>
      <c r="K129" s="1907"/>
      <c r="M129" s="1885" t="s">
        <v>1021</v>
      </c>
    </row>
    <row r="130" spans="1:14">
      <c r="A130" s="1965"/>
      <c r="B130" s="1997" t="s">
        <v>107</v>
      </c>
      <c r="C130" s="1993" t="s">
        <v>1084</v>
      </c>
      <c r="D130" s="1998">
        <v>330.3</v>
      </c>
      <c r="E130" s="1999" t="s">
        <v>87</v>
      </c>
      <c r="F130" s="1975">
        <v>28.9</v>
      </c>
      <c r="G130" s="1975">
        <v>10</v>
      </c>
      <c r="H130" s="1906">
        <f>+F130*D130</f>
        <v>9545.67</v>
      </c>
      <c r="I130" s="1906">
        <f>+G130*D130</f>
        <v>3303</v>
      </c>
      <c r="J130" s="1906">
        <f>+H130+I130</f>
        <v>12848.67</v>
      </c>
      <c r="K130" s="1907"/>
      <c r="M130" s="1885" t="s">
        <v>1021</v>
      </c>
    </row>
    <row r="131" spans="1:14">
      <c r="A131" s="1965"/>
      <c r="B131" s="1997" t="s">
        <v>107</v>
      </c>
      <c r="C131" s="1993" t="s">
        <v>1083</v>
      </c>
      <c r="D131" s="1998">
        <v>45.15</v>
      </c>
      <c r="E131" s="1999" t="s">
        <v>87</v>
      </c>
      <c r="F131" s="1975">
        <v>31</v>
      </c>
      <c r="G131" s="1975">
        <v>10</v>
      </c>
      <c r="H131" s="1906">
        <f t="shared" si="17"/>
        <v>1399.6499999999999</v>
      </c>
      <c r="I131" s="1906">
        <f t="shared" si="18"/>
        <v>451.5</v>
      </c>
      <c r="J131" s="1906">
        <f t="shared" si="19"/>
        <v>1851.1499999999999</v>
      </c>
      <c r="K131" s="1907"/>
      <c r="M131" s="1885" t="s">
        <v>1016</v>
      </c>
    </row>
    <row r="132" spans="1:14">
      <c r="A132" s="1965"/>
      <c r="B132" s="1997" t="s">
        <v>107</v>
      </c>
      <c r="C132" s="1993" t="s">
        <v>956</v>
      </c>
      <c r="D132" s="1998">
        <v>18</v>
      </c>
      <c r="E132" s="1999" t="s">
        <v>109</v>
      </c>
      <c r="F132" s="1975">
        <v>108</v>
      </c>
      <c r="G132" s="1975">
        <v>18</v>
      </c>
      <c r="H132" s="1906">
        <f t="shared" si="17"/>
        <v>1944</v>
      </c>
      <c r="I132" s="1906">
        <f t="shared" si="18"/>
        <v>324</v>
      </c>
      <c r="J132" s="1906">
        <f t="shared" si="19"/>
        <v>2268</v>
      </c>
      <c r="K132" s="1907"/>
      <c r="M132" s="1885" t="s">
        <v>1021</v>
      </c>
    </row>
    <row r="133" spans="1:14">
      <c r="A133" s="2000"/>
      <c r="B133" s="1997" t="s">
        <v>107</v>
      </c>
      <c r="C133" s="1993" t="s">
        <v>1059</v>
      </c>
      <c r="D133" s="1998">
        <v>72</v>
      </c>
      <c r="E133" s="1999" t="s">
        <v>27</v>
      </c>
      <c r="F133" s="1975">
        <v>131.32</v>
      </c>
      <c r="G133" s="1975">
        <v>40</v>
      </c>
      <c r="H133" s="1906">
        <f t="shared" si="17"/>
        <v>9455.0399999999991</v>
      </c>
      <c r="I133" s="1906">
        <f t="shared" si="18"/>
        <v>2880</v>
      </c>
      <c r="J133" s="1906">
        <f t="shared" si="19"/>
        <v>12335.039999999999</v>
      </c>
      <c r="K133" s="1907"/>
      <c r="M133" s="1885" t="s">
        <v>654</v>
      </c>
    </row>
    <row r="134" spans="1:14">
      <c r="A134" s="1903"/>
      <c r="B134" s="1904" t="s">
        <v>379</v>
      </c>
      <c r="C134" s="1905" t="s">
        <v>378</v>
      </c>
      <c r="D134" s="1909"/>
      <c r="E134" s="1910"/>
      <c r="F134" s="1900"/>
      <c r="G134" s="1900"/>
      <c r="H134" s="1906"/>
      <c r="I134" s="1906"/>
      <c r="J134" s="1906"/>
      <c r="K134" s="1907"/>
    </row>
    <row r="135" spans="1:14" s="1862" customFormat="1" ht="48">
      <c r="A135" s="1911"/>
      <c r="B135" s="1912" t="s">
        <v>107</v>
      </c>
      <c r="C135" s="1990" t="s">
        <v>1915</v>
      </c>
      <c r="D135" s="1991">
        <v>27.6</v>
      </c>
      <c r="E135" s="1911" t="s">
        <v>86</v>
      </c>
      <c r="F135" s="1922">
        <v>606</v>
      </c>
      <c r="G135" s="1922">
        <v>222</v>
      </c>
      <c r="H135" s="1916">
        <f>+F135*D135</f>
        <v>16725.600000000002</v>
      </c>
      <c r="I135" s="1916">
        <f>+G135*D135</f>
        <v>6127.2000000000007</v>
      </c>
      <c r="J135" s="1916">
        <f>+H135+I135</f>
        <v>22852.800000000003</v>
      </c>
      <c r="K135" s="1917"/>
      <c r="L135" s="2048"/>
      <c r="M135" s="1992" t="s">
        <v>1879</v>
      </c>
      <c r="N135" s="1852"/>
    </row>
    <row r="136" spans="1:14" s="1862" customFormat="1">
      <c r="A136" s="1911"/>
      <c r="B136" s="1912" t="s">
        <v>107</v>
      </c>
      <c r="C136" s="1990" t="s">
        <v>948</v>
      </c>
      <c r="D136" s="1981">
        <v>33.200000000000003</v>
      </c>
      <c r="E136" s="1911" t="s">
        <v>86</v>
      </c>
      <c r="F136" s="2069">
        <v>0</v>
      </c>
      <c r="G136" s="2070">
        <v>200</v>
      </c>
      <c r="H136" s="1916">
        <f>+F136*D136</f>
        <v>0</v>
      </c>
      <c r="I136" s="1916">
        <f>+G136*D136</f>
        <v>6640.0000000000009</v>
      </c>
      <c r="J136" s="1916">
        <f>+H136+I136</f>
        <v>6640.0000000000009</v>
      </c>
      <c r="K136" s="1917"/>
      <c r="L136" s="2048"/>
      <c r="M136" s="1918" t="s">
        <v>1016</v>
      </c>
      <c r="N136" s="1852"/>
    </row>
    <row r="137" spans="1:14" s="1873" customFormat="1">
      <c r="A137" s="2158"/>
      <c r="B137" s="2159" t="s">
        <v>107</v>
      </c>
      <c r="C137" s="2160" t="s">
        <v>1779</v>
      </c>
      <c r="D137" s="1942">
        <v>72.400000000000006</v>
      </c>
      <c r="E137" s="1914" t="s">
        <v>87</v>
      </c>
      <c r="F137" s="1914">
        <v>32.1</v>
      </c>
      <c r="G137" s="1942">
        <v>10</v>
      </c>
      <c r="H137" s="1942">
        <f>F137*D137</f>
        <v>2324.0400000000004</v>
      </c>
      <c r="I137" s="1942">
        <f>G137*D137</f>
        <v>724</v>
      </c>
      <c r="J137" s="1942">
        <f>H137+I137</f>
        <v>3048.0400000000004</v>
      </c>
      <c r="K137" s="2161"/>
    </row>
    <row r="138" spans="1:14" s="1862" customFormat="1">
      <c r="A138" s="1911"/>
      <c r="B138" s="1912" t="s">
        <v>1969</v>
      </c>
      <c r="C138" s="1913" t="s">
        <v>1080</v>
      </c>
      <c r="D138" s="1914"/>
      <c r="E138" s="1915"/>
      <c r="F138" s="1922"/>
      <c r="G138" s="1922"/>
      <c r="H138" s="1916"/>
      <c r="I138" s="1916"/>
      <c r="J138" s="1916"/>
      <c r="K138" s="1917"/>
      <c r="L138" s="2048"/>
      <c r="M138" s="2162"/>
      <c r="N138" s="1852"/>
    </row>
    <row r="139" spans="1:14" s="1862" customFormat="1" ht="48">
      <c r="A139" s="1911"/>
      <c r="B139" s="1912" t="s">
        <v>107</v>
      </c>
      <c r="C139" s="1990" t="s">
        <v>1929</v>
      </c>
      <c r="D139" s="1991">
        <v>51.41</v>
      </c>
      <c r="E139" s="1911" t="s">
        <v>86</v>
      </c>
      <c r="F139" s="1922">
        <v>606</v>
      </c>
      <c r="G139" s="1922">
        <v>222</v>
      </c>
      <c r="H139" s="1916">
        <f>+F139*D139</f>
        <v>31154.46</v>
      </c>
      <c r="I139" s="1916">
        <f>+G139*D139</f>
        <v>11413.019999999999</v>
      </c>
      <c r="J139" s="1916">
        <f>+H139+I139</f>
        <v>42567.479999999996</v>
      </c>
      <c r="K139" s="1917"/>
      <c r="L139" s="2048"/>
      <c r="M139" s="1992" t="s">
        <v>1879</v>
      </c>
      <c r="N139" s="1852"/>
    </row>
    <row r="140" spans="1:14" s="1862" customFormat="1">
      <c r="A140" s="1911"/>
      <c r="B140" s="1912" t="s">
        <v>107</v>
      </c>
      <c r="C140" s="1990" t="s">
        <v>948</v>
      </c>
      <c r="D140" s="1981">
        <v>101.5</v>
      </c>
      <c r="E140" s="1911" t="s">
        <v>86</v>
      </c>
      <c r="F140" s="2069">
        <v>0</v>
      </c>
      <c r="G140" s="2070">
        <v>200</v>
      </c>
      <c r="H140" s="1916">
        <f>+F140*D140</f>
        <v>0</v>
      </c>
      <c r="I140" s="1916">
        <f>+G140*D140</f>
        <v>20300</v>
      </c>
      <c r="J140" s="1916">
        <f>+H140+I140</f>
        <v>20300</v>
      </c>
      <c r="K140" s="1917"/>
      <c r="L140" s="2048"/>
      <c r="M140" s="1918" t="s">
        <v>1016</v>
      </c>
      <c r="N140" s="1852"/>
    </row>
    <row r="141" spans="1:14" s="1862" customFormat="1">
      <c r="A141" s="2148"/>
      <c r="B141" s="2149" t="s">
        <v>1166</v>
      </c>
      <c r="C141" s="2150" t="s">
        <v>1080</v>
      </c>
      <c r="D141" s="2151"/>
      <c r="E141" s="2152"/>
      <c r="F141" s="2087"/>
      <c r="G141" s="2087"/>
      <c r="H141" s="2153"/>
      <c r="I141" s="2153"/>
      <c r="J141" s="2153"/>
      <c r="K141" s="2154"/>
      <c r="L141" s="2048"/>
      <c r="M141" s="2162"/>
      <c r="N141" s="1852"/>
    </row>
    <row r="142" spans="1:14" s="1862" customFormat="1" ht="48">
      <c r="A142" s="2083"/>
      <c r="B142" s="2163" t="s">
        <v>107</v>
      </c>
      <c r="C142" s="2164" t="s">
        <v>1929</v>
      </c>
      <c r="D142" s="2082">
        <v>2.1</v>
      </c>
      <c r="E142" s="2083" t="s">
        <v>86</v>
      </c>
      <c r="F142" s="2085">
        <v>606</v>
      </c>
      <c r="G142" s="2085">
        <v>222</v>
      </c>
      <c r="H142" s="2085">
        <f>+F142*D142</f>
        <v>1272.6000000000001</v>
      </c>
      <c r="I142" s="2085">
        <f>+G142*D142</f>
        <v>466.20000000000005</v>
      </c>
      <c r="J142" s="2085">
        <f>+H142+I142</f>
        <v>1738.8000000000002</v>
      </c>
      <c r="K142" s="2086"/>
      <c r="L142" s="2048"/>
      <c r="M142" s="1992" t="s">
        <v>1879</v>
      </c>
      <c r="N142" s="1852"/>
    </row>
    <row r="143" spans="1:14" s="1862" customFormat="1">
      <c r="A143" s="1863"/>
      <c r="B143" s="1864"/>
      <c r="C143" s="1865"/>
      <c r="D143" s="1866"/>
      <c r="E143" s="1867"/>
      <c r="F143" s="1868"/>
      <c r="G143" s="1868"/>
      <c r="H143" s="1868"/>
      <c r="I143" s="1868"/>
      <c r="J143" s="1868"/>
      <c r="K143" s="1869"/>
      <c r="L143" s="2048"/>
      <c r="M143" s="1992"/>
      <c r="N143" s="1852"/>
    </row>
    <row r="144" spans="1:14" s="1862" customFormat="1">
      <c r="A144" s="1840"/>
      <c r="B144" s="1860"/>
      <c r="C144" s="2133" t="s">
        <v>133</v>
      </c>
      <c r="D144" s="2134"/>
      <c r="E144" s="2135"/>
      <c r="F144" s="2136"/>
      <c r="G144" s="2137"/>
      <c r="H144" s="2137"/>
      <c r="I144" s="2137"/>
      <c r="J144" s="2137"/>
      <c r="K144" s="2137"/>
      <c r="L144" s="2048"/>
      <c r="M144" s="1992"/>
      <c r="N144" s="1852"/>
    </row>
    <row r="145" spans="1:14" s="1862" customFormat="1">
      <c r="A145" s="1840"/>
      <c r="B145" s="2138"/>
      <c r="C145" s="2139" t="s">
        <v>1769</v>
      </c>
      <c r="D145" s="2140"/>
      <c r="E145" s="1861"/>
      <c r="F145" s="2135"/>
      <c r="G145" s="2139" t="s">
        <v>134</v>
      </c>
      <c r="H145" s="2138"/>
      <c r="I145" s="2138"/>
      <c r="J145" s="2138"/>
      <c r="K145" s="2138"/>
      <c r="L145" s="2048"/>
      <c r="M145" s="1992"/>
      <c r="N145" s="1852"/>
    </row>
    <row r="146" spans="1:14" s="1862" customFormat="1">
      <c r="A146" s="1840"/>
      <c r="B146" s="1871"/>
      <c r="C146" s="2141" t="s">
        <v>1970</v>
      </c>
      <c r="D146" s="2140"/>
      <c r="E146" s="2142"/>
      <c r="F146" s="2143"/>
      <c r="G146" s="2144" t="s">
        <v>1971</v>
      </c>
      <c r="H146" s="2145"/>
      <c r="I146" s="2145"/>
      <c r="J146" s="2145"/>
      <c r="K146" s="2145"/>
      <c r="L146" s="2048"/>
      <c r="M146" s="1992"/>
      <c r="N146" s="1852"/>
    </row>
    <row r="147" spans="1:14" s="1862" customFormat="1">
      <c r="A147" s="1837"/>
      <c r="B147" s="2138"/>
      <c r="C147" s="2139" t="s">
        <v>2031</v>
      </c>
      <c r="D147" s="2140"/>
      <c r="E147" s="1837"/>
      <c r="F147" s="2146"/>
      <c r="G147" s="2139" t="s">
        <v>2031</v>
      </c>
      <c r="H147" s="1837"/>
      <c r="I147" s="1837"/>
      <c r="J147" s="1837"/>
      <c r="K147" s="1837"/>
      <c r="L147" s="2048"/>
      <c r="M147" s="1992"/>
      <c r="N147" s="1852"/>
    </row>
    <row r="148" spans="1:14" s="1862" customFormat="1">
      <c r="A148" s="1952"/>
      <c r="B148" s="1871"/>
      <c r="C148" s="2147" t="s">
        <v>1984</v>
      </c>
      <c r="D148" s="2140"/>
      <c r="E148" s="1837"/>
      <c r="F148" s="2135"/>
      <c r="G148" s="2147" t="s">
        <v>1985</v>
      </c>
      <c r="H148" s="1952"/>
      <c r="I148" s="1952"/>
      <c r="J148" s="1952"/>
      <c r="K148" s="1952"/>
      <c r="L148" s="2048"/>
      <c r="M148" s="1992"/>
      <c r="N148" s="1852"/>
    </row>
    <row r="149" spans="1:14" s="1862" customFormat="1">
      <c r="A149" s="1952"/>
      <c r="B149" s="1952"/>
      <c r="C149" s="2139" t="s">
        <v>670</v>
      </c>
      <c r="D149" s="2139"/>
      <c r="E149" s="2143"/>
      <c r="F149" s="2143"/>
      <c r="G149" s="1952"/>
      <c r="H149" s="1952"/>
      <c r="I149" s="1952"/>
      <c r="J149" s="1952"/>
      <c r="K149" s="1952"/>
      <c r="L149" s="2048"/>
      <c r="M149" s="1992"/>
      <c r="N149" s="1852"/>
    </row>
    <row r="150" spans="1:14" s="1862" customFormat="1">
      <c r="A150" s="1840"/>
      <c r="B150" s="1840"/>
      <c r="C150" s="2147" t="s">
        <v>1972</v>
      </c>
      <c r="D150" s="2147"/>
      <c r="E150" s="2146"/>
      <c r="F150" s="2146"/>
      <c r="G150" s="1870"/>
      <c r="H150" s="1870"/>
      <c r="I150" s="1870"/>
      <c r="J150" s="1870"/>
      <c r="K150" s="1871"/>
      <c r="L150" s="2048"/>
      <c r="M150" s="1992"/>
      <c r="N150" s="1852"/>
    </row>
    <row r="151" spans="1:14" s="1862" customFormat="1">
      <c r="A151" s="1923"/>
      <c r="B151" s="1924" t="s">
        <v>107</v>
      </c>
      <c r="C151" s="2165" t="s">
        <v>948</v>
      </c>
      <c r="D151" s="1991">
        <v>5</v>
      </c>
      <c r="E151" s="1923" t="s">
        <v>86</v>
      </c>
      <c r="F151" s="2166">
        <v>0</v>
      </c>
      <c r="G151" s="2167">
        <v>200</v>
      </c>
      <c r="H151" s="1922">
        <f>+F151*D151</f>
        <v>0</v>
      </c>
      <c r="I151" s="1922">
        <f>+G151*D151</f>
        <v>1000</v>
      </c>
      <c r="J151" s="1922">
        <f>+H151+I151</f>
        <v>1000</v>
      </c>
      <c r="K151" s="2042"/>
      <c r="L151" s="2048"/>
      <c r="M151" s="1918" t="s">
        <v>1016</v>
      </c>
      <c r="N151" s="1852"/>
    </row>
    <row r="152" spans="1:14" s="1862" customFormat="1">
      <c r="A152" s="1911"/>
      <c r="B152" s="1912" t="s">
        <v>1167</v>
      </c>
      <c r="C152" s="1913" t="s">
        <v>1080</v>
      </c>
      <c r="D152" s="1914"/>
      <c r="E152" s="1915"/>
      <c r="F152" s="1922"/>
      <c r="G152" s="1922"/>
      <c r="H152" s="1916"/>
      <c r="I152" s="1916"/>
      <c r="J152" s="1916"/>
      <c r="K152" s="1917"/>
      <c r="L152" s="2048"/>
      <c r="M152" s="2162"/>
      <c r="N152" s="1852"/>
    </row>
    <row r="153" spans="1:14" s="1862" customFormat="1" ht="48">
      <c r="A153" s="1911"/>
      <c r="B153" s="1912" t="s">
        <v>107</v>
      </c>
      <c r="C153" s="1990" t="s">
        <v>1929</v>
      </c>
      <c r="D153" s="1991">
        <v>1.6</v>
      </c>
      <c r="E153" s="1911" t="s">
        <v>86</v>
      </c>
      <c r="F153" s="1922">
        <v>606</v>
      </c>
      <c r="G153" s="1922">
        <v>222</v>
      </c>
      <c r="H153" s="1916">
        <f>+F153*D153</f>
        <v>969.6</v>
      </c>
      <c r="I153" s="1916">
        <f>+G153*D153</f>
        <v>355.20000000000005</v>
      </c>
      <c r="J153" s="1916">
        <f>+H153+I153</f>
        <v>1324.8000000000002</v>
      </c>
      <c r="K153" s="1917"/>
      <c r="L153" s="2048"/>
      <c r="M153" s="1992" t="s">
        <v>1879</v>
      </c>
      <c r="N153" s="1852"/>
    </row>
    <row r="154" spans="1:14">
      <c r="A154" s="1903"/>
      <c r="B154" s="1904" t="s">
        <v>107</v>
      </c>
      <c r="C154" s="1993" t="s">
        <v>948</v>
      </c>
      <c r="D154" s="1981">
        <v>3.4</v>
      </c>
      <c r="E154" s="1903" t="s">
        <v>86</v>
      </c>
      <c r="F154" s="1995">
        <v>0</v>
      </c>
      <c r="G154" s="1996">
        <v>200</v>
      </c>
      <c r="H154" s="1906">
        <f>+F154*D154</f>
        <v>0</v>
      </c>
      <c r="I154" s="1906">
        <f>+G154*D154</f>
        <v>680</v>
      </c>
      <c r="J154" s="1906">
        <f>+H154+I154</f>
        <v>680</v>
      </c>
      <c r="K154" s="1907"/>
      <c r="M154" s="1885" t="s">
        <v>1016</v>
      </c>
    </row>
    <row r="155" spans="1:14">
      <c r="A155" s="1903"/>
      <c r="B155" s="1904" t="s">
        <v>953</v>
      </c>
      <c r="C155" s="1905" t="s">
        <v>378</v>
      </c>
      <c r="D155" s="1909"/>
      <c r="E155" s="1910"/>
      <c r="F155" s="1906"/>
      <c r="G155" s="1906"/>
      <c r="H155" s="1906"/>
      <c r="I155" s="1906"/>
      <c r="J155" s="1906"/>
      <c r="K155" s="1907"/>
    </row>
    <row r="156" spans="1:14">
      <c r="A156" s="1903"/>
      <c r="B156" s="1904" t="s">
        <v>107</v>
      </c>
      <c r="C156" s="1993" t="s">
        <v>952</v>
      </c>
      <c r="D156" s="1991">
        <v>13.5</v>
      </c>
      <c r="E156" s="1903" t="s">
        <v>86</v>
      </c>
      <c r="F156" s="1900">
        <v>119</v>
      </c>
      <c r="G156" s="1900">
        <v>82</v>
      </c>
      <c r="H156" s="1906">
        <f>+F156*D156</f>
        <v>1606.5</v>
      </c>
      <c r="I156" s="1906">
        <f>+G156*D156</f>
        <v>1107</v>
      </c>
      <c r="J156" s="1906">
        <f>+H156+I156</f>
        <v>2713.5</v>
      </c>
      <c r="K156" s="1907"/>
      <c r="M156" s="1885" t="s">
        <v>1076</v>
      </c>
    </row>
    <row r="157" spans="1:14">
      <c r="A157" s="1903"/>
      <c r="B157" s="1904" t="s">
        <v>107</v>
      </c>
      <c r="C157" s="1993" t="s">
        <v>957</v>
      </c>
      <c r="D157" s="1981">
        <v>20.399999999999999</v>
      </c>
      <c r="E157" s="1994" t="s">
        <v>84</v>
      </c>
      <c r="F157" s="1995">
        <v>200</v>
      </c>
      <c r="G157" s="1996">
        <v>40</v>
      </c>
      <c r="H157" s="1906">
        <f>+F157*D157</f>
        <v>4079.9999999999995</v>
      </c>
      <c r="I157" s="1906">
        <f>+G157*D157</f>
        <v>816</v>
      </c>
      <c r="J157" s="1906">
        <f>+H157+I157</f>
        <v>4896</v>
      </c>
      <c r="K157" s="1907"/>
      <c r="M157" s="1885" t="s">
        <v>1016</v>
      </c>
    </row>
    <row r="158" spans="1:14" s="1875" customFormat="1">
      <c r="A158" s="1972"/>
      <c r="B158" s="2001" t="s">
        <v>107</v>
      </c>
      <c r="C158" s="2002" t="s">
        <v>1780</v>
      </c>
      <c r="D158" s="1930">
        <v>6.4</v>
      </c>
      <c r="E158" s="1909" t="s">
        <v>84</v>
      </c>
      <c r="F158" s="1909">
        <v>2100</v>
      </c>
      <c r="G158" s="1930">
        <v>250</v>
      </c>
      <c r="H158" s="1930">
        <f>F158*D158</f>
        <v>13440</v>
      </c>
      <c r="I158" s="1930">
        <f>G158*D158</f>
        <v>1600</v>
      </c>
      <c r="J158" s="1930">
        <f>H158+I158</f>
        <v>15040</v>
      </c>
      <c r="K158" s="2003"/>
    </row>
    <row r="159" spans="1:14" s="1875" customFormat="1">
      <c r="A159" s="1972"/>
      <c r="B159" s="2001" t="s">
        <v>107</v>
      </c>
      <c r="C159" s="2002" t="s">
        <v>955</v>
      </c>
      <c r="D159" s="1930">
        <v>10</v>
      </c>
      <c r="E159" s="1909" t="s">
        <v>109</v>
      </c>
      <c r="F159" s="1909">
        <v>45</v>
      </c>
      <c r="G159" s="1930">
        <v>7.5</v>
      </c>
      <c r="H159" s="1930">
        <f>F159*D159</f>
        <v>450</v>
      </c>
      <c r="I159" s="1930">
        <f>G159*D159</f>
        <v>75</v>
      </c>
      <c r="J159" s="1930">
        <f>H159+I159</f>
        <v>525</v>
      </c>
      <c r="K159" s="2003"/>
    </row>
    <row r="160" spans="1:14" s="1875" customFormat="1">
      <c r="A160" s="1972"/>
      <c r="B160" s="2001" t="s">
        <v>107</v>
      </c>
      <c r="C160" s="2002" t="s">
        <v>1060</v>
      </c>
      <c r="D160" s="1930">
        <v>40</v>
      </c>
      <c r="E160" s="1909" t="s">
        <v>27</v>
      </c>
      <c r="F160" s="1975">
        <v>99.84</v>
      </c>
      <c r="G160" s="1975">
        <v>0</v>
      </c>
      <c r="H160" s="1930">
        <f>F160*D160</f>
        <v>3993.6000000000004</v>
      </c>
      <c r="I160" s="1930">
        <f>G160*D160</f>
        <v>0</v>
      </c>
      <c r="J160" s="1930">
        <f>H160+I160</f>
        <v>3993.6000000000004</v>
      </c>
      <c r="K160" s="2003"/>
    </row>
    <row r="161" spans="1:13">
      <c r="A161" s="1903"/>
      <c r="B161" s="1904" t="s">
        <v>954</v>
      </c>
      <c r="C161" s="1905" t="s">
        <v>378</v>
      </c>
      <c r="D161" s="1909"/>
      <c r="E161" s="1910"/>
      <c r="F161" s="1906"/>
      <c r="G161" s="1906"/>
      <c r="H161" s="1906"/>
      <c r="I161" s="1906"/>
      <c r="J161" s="1906"/>
      <c r="K161" s="1907"/>
    </row>
    <row r="162" spans="1:13">
      <c r="A162" s="1903"/>
      <c r="B162" s="1904" t="s">
        <v>107</v>
      </c>
      <c r="C162" s="1993" t="s">
        <v>952</v>
      </c>
      <c r="D162" s="1991">
        <v>14.3</v>
      </c>
      <c r="E162" s="1903" t="s">
        <v>86</v>
      </c>
      <c r="F162" s="1900">
        <v>119</v>
      </c>
      <c r="G162" s="1900">
        <v>82</v>
      </c>
      <c r="H162" s="1906">
        <f>+F162*D162</f>
        <v>1701.7</v>
      </c>
      <c r="I162" s="1906">
        <f>+G162*D162</f>
        <v>1172.6000000000001</v>
      </c>
      <c r="J162" s="1906">
        <f>+H162+I162</f>
        <v>2874.3</v>
      </c>
      <c r="K162" s="1907"/>
      <c r="M162" s="1885" t="s">
        <v>1076</v>
      </c>
    </row>
    <row r="163" spans="1:13">
      <c r="A163" s="1903"/>
      <c r="B163" s="1904" t="s">
        <v>107</v>
      </c>
      <c r="C163" s="1993" t="s">
        <v>957</v>
      </c>
      <c r="D163" s="1981">
        <v>24.2</v>
      </c>
      <c r="E163" s="1994" t="s">
        <v>84</v>
      </c>
      <c r="F163" s="1995">
        <v>200</v>
      </c>
      <c r="G163" s="1996">
        <v>40</v>
      </c>
      <c r="H163" s="1906">
        <f>+F163*D163</f>
        <v>4840</v>
      </c>
      <c r="I163" s="1906">
        <f>+G163*D163</f>
        <v>968</v>
      </c>
      <c r="J163" s="1906">
        <f>+H163+I163</f>
        <v>5808</v>
      </c>
      <c r="K163" s="1907"/>
      <c r="M163" s="1885" t="s">
        <v>1016</v>
      </c>
    </row>
    <row r="164" spans="1:13" s="1875" customFormat="1">
      <c r="A164" s="1972"/>
      <c r="B164" s="2001" t="s">
        <v>107</v>
      </c>
      <c r="C164" s="2002" t="s">
        <v>1085</v>
      </c>
      <c r="D164" s="1930">
        <v>25.7</v>
      </c>
      <c r="E164" s="1909" t="s">
        <v>87</v>
      </c>
      <c r="F164" s="1909">
        <v>32.1</v>
      </c>
      <c r="G164" s="1930">
        <v>10</v>
      </c>
      <c r="H164" s="1930">
        <f>F164*D164</f>
        <v>824.97</v>
      </c>
      <c r="I164" s="1930">
        <f>G164*D164</f>
        <v>257</v>
      </c>
      <c r="J164" s="1930">
        <f>H164+I164</f>
        <v>1081.97</v>
      </c>
      <c r="K164" s="2003"/>
    </row>
    <row r="165" spans="1:13">
      <c r="A165" s="1903"/>
      <c r="B165" s="2386" t="s">
        <v>392</v>
      </c>
      <c r="C165" s="2386"/>
      <c r="D165" s="1909"/>
      <c r="E165" s="1910"/>
      <c r="F165" s="1906"/>
      <c r="G165" s="1906"/>
      <c r="H165" s="1906"/>
      <c r="I165" s="1906"/>
      <c r="J165" s="1906"/>
      <c r="K165" s="1907"/>
    </row>
    <row r="166" spans="1:13">
      <c r="A166" s="2000"/>
      <c r="B166" s="1997" t="s">
        <v>107</v>
      </c>
      <c r="C166" s="1993" t="s">
        <v>389</v>
      </c>
      <c r="D166" s="1998">
        <v>73.400000000000006</v>
      </c>
      <c r="E166" s="1999" t="s">
        <v>84</v>
      </c>
      <c r="F166" s="1909">
        <v>2100</v>
      </c>
      <c r="G166" s="1930">
        <v>250</v>
      </c>
      <c r="H166" s="1906">
        <f t="shared" ref="H166:H171" si="20">+F166*D166</f>
        <v>154140</v>
      </c>
      <c r="I166" s="1906">
        <f t="shared" ref="I166:I171" si="21">+G166*D166</f>
        <v>18350</v>
      </c>
      <c r="J166" s="1906">
        <f t="shared" ref="J166:J171" si="22">+H166+I166</f>
        <v>172490</v>
      </c>
      <c r="K166" s="1907"/>
      <c r="M166" s="1885" t="s">
        <v>1016</v>
      </c>
    </row>
    <row r="167" spans="1:13">
      <c r="A167" s="1965"/>
      <c r="B167" s="1997" t="s">
        <v>107</v>
      </c>
      <c r="C167" s="1993" t="s">
        <v>1081</v>
      </c>
      <c r="D167" s="1998">
        <v>190.1</v>
      </c>
      <c r="E167" s="1999" t="s">
        <v>87</v>
      </c>
      <c r="F167" s="1975">
        <v>28.9</v>
      </c>
      <c r="G167" s="1975">
        <v>10</v>
      </c>
      <c r="H167" s="1906">
        <f t="shared" si="20"/>
        <v>5493.8899999999994</v>
      </c>
      <c r="I167" s="1906">
        <f t="shared" si="21"/>
        <v>1901</v>
      </c>
      <c r="J167" s="1906">
        <f t="shared" si="22"/>
        <v>7394.8899999999994</v>
      </c>
      <c r="K167" s="1907"/>
      <c r="M167" s="1885" t="s">
        <v>1021</v>
      </c>
    </row>
    <row r="168" spans="1:13">
      <c r="A168" s="1965"/>
      <c r="B168" s="1997" t="s">
        <v>107</v>
      </c>
      <c r="C168" s="1993" t="s">
        <v>1082</v>
      </c>
      <c r="D168" s="1998">
        <v>950.7</v>
      </c>
      <c r="E168" s="1999" t="s">
        <v>87</v>
      </c>
      <c r="F168" s="1975">
        <v>28.9</v>
      </c>
      <c r="G168" s="1975">
        <v>10</v>
      </c>
      <c r="H168" s="1906">
        <f t="shared" si="20"/>
        <v>27475.23</v>
      </c>
      <c r="I168" s="1906">
        <f t="shared" si="21"/>
        <v>9507</v>
      </c>
      <c r="J168" s="1906">
        <f t="shared" si="22"/>
        <v>36982.229999999996</v>
      </c>
      <c r="K168" s="1907"/>
      <c r="M168" s="1885" t="s">
        <v>1021</v>
      </c>
    </row>
    <row r="169" spans="1:13">
      <c r="A169" s="1965"/>
      <c r="B169" s="1997" t="s">
        <v>107</v>
      </c>
      <c r="C169" s="1993" t="s">
        <v>1083</v>
      </c>
      <c r="D169" s="1998">
        <v>136.69999999999999</v>
      </c>
      <c r="E169" s="1999" t="s">
        <v>87</v>
      </c>
      <c r="F169" s="1975">
        <v>31</v>
      </c>
      <c r="G169" s="1975">
        <v>10</v>
      </c>
      <c r="H169" s="1906">
        <f t="shared" si="20"/>
        <v>4237.7</v>
      </c>
      <c r="I169" s="1906">
        <f t="shared" si="21"/>
        <v>1367</v>
      </c>
      <c r="J169" s="1906">
        <f t="shared" si="22"/>
        <v>5604.7</v>
      </c>
      <c r="K169" s="1907"/>
      <c r="M169" s="1885" t="s">
        <v>1016</v>
      </c>
    </row>
    <row r="170" spans="1:13">
      <c r="A170" s="1965"/>
      <c r="B170" s="1997" t="s">
        <v>107</v>
      </c>
      <c r="C170" s="1993" t="s">
        <v>956</v>
      </c>
      <c r="D170" s="1998">
        <v>48</v>
      </c>
      <c r="E170" s="1999" t="s">
        <v>109</v>
      </c>
      <c r="F170" s="1975">
        <v>108</v>
      </c>
      <c r="G170" s="1975">
        <v>18</v>
      </c>
      <c r="H170" s="1906">
        <f t="shared" si="20"/>
        <v>5184</v>
      </c>
      <c r="I170" s="1906">
        <f t="shared" si="21"/>
        <v>864</v>
      </c>
      <c r="J170" s="1906">
        <f t="shared" si="22"/>
        <v>6048</v>
      </c>
      <c r="K170" s="1907"/>
      <c r="M170" s="1885" t="s">
        <v>1021</v>
      </c>
    </row>
    <row r="171" spans="1:13">
      <c r="A171" s="1903"/>
      <c r="B171" s="1997" t="s">
        <v>107</v>
      </c>
      <c r="C171" s="1993" t="s">
        <v>1059</v>
      </c>
      <c r="D171" s="1998">
        <f>D170*4</f>
        <v>192</v>
      </c>
      <c r="E171" s="1999" t="s">
        <v>27</v>
      </c>
      <c r="F171" s="1975">
        <v>131.32</v>
      </c>
      <c r="G171" s="1975">
        <v>0</v>
      </c>
      <c r="H171" s="1906">
        <f t="shared" si="20"/>
        <v>25213.439999999999</v>
      </c>
      <c r="I171" s="1906">
        <f t="shared" si="21"/>
        <v>0</v>
      </c>
      <c r="J171" s="1906">
        <f t="shared" si="22"/>
        <v>25213.439999999999</v>
      </c>
      <c r="K171" s="1907"/>
      <c r="M171" s="1885" t="s">
        <v>654</v>
      </c>
    </row>
    <row r="172" spans="1:13">
      <c r="A172" s="1863"/>
      <c r="B172" s="1864"/>
      <c r="C172" s="1865"/>
      <c r="D172" s="1866"/>
      <c r="E172" s="1867"/>
      <c r="F172" s="1868"/>
      <c r="G172" s="1868"/>
      <c r="H172" s="1868"/>
      <c r="I172" s="1868"/>
      <c r="J172" s="1868"/>
      <c r="K172" s="1869"/>
      <c r="M172" s="1885"/>
    </row>
    <row r="173" spans="1:13">
      <c r="B173" s="1860"/>
      <c r="C173" s="2133" t="s">
        <v>133</v>
      </c>
      <c r="D173" s="2134"/>
      <c r="E173" s="2135"/>
      <c r="F173" s="2136"/>
      <c r="G173" s="2137"/>
      <c r="H173" s="2137"/>
      <c r="I173" s="2137"/>
      <c r="J173" s="2137"/>
      <c r="K173" s="2137"/>
      <c r="M173" s="1885"/>
    </row>
    <row r="174" spans="1:13">
      <c r="B174" s="2138"/>
      <c r="C174" s="2139" t="s">
        <v>1769</v>
      </c>
      <c r="D174" s="2140"/>
      <c r="E174" s="1861"/>
      <c r="F174" s="2135"/>
      <c r="G174" s="2139" t="s">
        <v>134</v>
      </c>
      <c r="H174" s="2138"/>
      <c r="I174" s="2138"/>
      <c r="J174" s="2138"/>
      <c r="K174" s="2138"/>
      <c r="M174" s="1885"/>
    </row>
    <row r="175" spans="1:13">
      <c r="B175" s="1871"/>
      <c r="C175" s="2141" t="s">
        <v>1970</v>
      </c>
      <c r="D175" s="2140"/>
      <c r="E175" s="2142"/>
      <c r="F175" s="2143"/>
      <c r="G175" s="2144" t="s">
        <v>1971</v>
      </c>
      <c r="H175" s="2145"/>
      <c r="I175" s="2145"/>
      <c r="J175" s="2145"/>
      <c r="K175" s="2145"/>
      <c r="M175" s="1885"/>
    </row>
    <row r="176" spans="1:13">
      <c r="A176" s="1837"/>
      <c r="B176" s="2138"/>
      <c r="C176" s="2139" t="s">
        <v>2031</v>
      </c>
      <c r="D176" s="2140"/>
      <c r="E176" s="1837"/>
      <c r="F176" s="2146"/>
      <c r="G176" s="2139" t="s">
        <v>2031</v>
      </c>
      <c r="H176" s="1837"/>
      <c r="I176" s="1837"/>
      <c r="J176" s="1837"/>
      <c r="K176" s="1837"/>
      <c r="M176" s="1885"/>
    </row>
    <row r="177" spans="1:13">
      <c r="A177" s="1952"/>
      <c r="B177" s="1871"/>
      <c r="C177" s="2147" t="s">
        <v>1984</v>
      </c>
      <c r="D177" s="2140"/>
      <c r="E177" s="1837"/>
      <c r="F177" s="2135"/>
      <c r="G177" s="2147" t="s">
        <v>1985</v>
      </c>
      <c r="H177" s="1952"/>
      <c r="I177" s="1952"/>
      <c r="J177" s="1952"/>
      <c r="K177" s="1952"/>
      <c r="M177" s="1885"/>
    </row>
    <row r="178" spans="1:13">
      <c r="A178" s="1952"/>
      <c r="B178" s="1952"/>
      <c r="C178" s="2139" t="s">
        <v>670</v>
      </c>
      <c r="D178" s="2139"/>
      <c r="E178" s="2143"/>
      <c r="F178" s="2143"/>
      <c r="G178" s="1952"/>
      <c r="H178" s="1952"/>
      <c r="I178" s="1952"/>
      <c r="J178" s="1952"/>
      <c r="K178" s="1952"/>
      <c r="M178" s="1885"/>
    </row>
    <row r="179" spans="1:13">
      <c r="C179" s="2147" t="s">
        <v>1972</v>
      </c>
      <c r="D179" s="2147"/>
      <c r="E179" s="2146"/>
      <c r="F179" s="2146"/>
      <c r="M179" s="1885"/>
    </row>
    <row r="180" spans="1:13">
      <c r="A180" s="1903"/>
      <c r="B180" s="2394" t="s">
        <v>384</v>
      </c>
      <c r="C180" s="2394"/>
      <c r="D180" s="1909"/>
      <c r="E180" s="1910"/>
      <c r="F180" s="1906"/>
      <c r="G180" s="1906"/>
      <c r="H180" s="1906"/>
      <c r="I180" s="1906"/>
      <c r="J180" s="1906"/>
      <c r="K180" s="1907"/>
    </row>
    <row r="181" spans="1:13">
      <c r="A181" s="1903"/>
      <c r="B181" s="1997" t="s">
        <v>107</v>
      </c>
      <c r="C181" s="1980" t="s">
        <v>1026</v>
      </c>
      <c r="D181" s="1998">
        <v>2272</v>
      </c>
      <c r="E181" s="1999" t="s">
        <v>1027</v>
      </c>
      <c r="F181" s="1975">
        <v>48</v>
      </c>
      <c r="G181" s="1975">
        <v>19</v>
      </c>
      <c r="H181" s="1906">
        <f>+F181*D181</f>
        <v>109056</v>
      </c>
      <c r="I181" s="1906">
        <f>+G181*D181</f>
        <v>43168</v>
      </c>
      <c r="J181" s="1906">
        <f>+H181+I181</f>
        <v>152224</v>
      </c>
      <c r="K181" s="1907"/>
      <c r="L181" s="1907" t="s">
        <v>1967</v>
      </c>
      <c r="M181" s="1885" t="s">
        <v>622</v>
      </c>
    </row>
    <row r="182" spans="1:13" s="1876" customFormat="1">
      <c r="A182" s="1972"/>
      <c r="B182" s="2168" t="s">
        <v>107</v>
      </c>
      <c r="C182" s="2002" t="s">
        <v>995</v>
      </c>
      <c r="D182" s="1930">
        <v>33.299999999999997</v>
      </c>
      <c r="E182" s="1909" t="s">
        <v>86</v>
      </c>
      <c r="F182" s="1909">
        <v>85.6</v>
      </c>
      <c r="G182" s="1930">
        <v>31</v>
      </c>
      <c r="H182" s="1930">
        <f t="shared" ref="H182:H189" si="23">F182*D182</f>
        <v>2850.4799999999996</v>
      </c>
      <c r="I182" s="1930">
        <f t="shared" ref="I182:I189" si="24">G182*D182</f>
        <v>1032.3</v>
      </c>
      <c r="J182" s="1930">
        <f t="shared" ref="J182:J189" si="25">H182+I182</f>
        <v>3882.7799999999997</v>
      </c>
      <c r="K182" s="1907"/>
      <c r="L182" s="1875"/>
      <c r="M182" s="1885" t="s">
        <v>643</v>
      </c>
    </row>
    <row r="183" spans="1:13">
      <c r="A183" s="1903"/>
      <c r="B183" s="1997" t="s">
        <v>107</v>
      </c>
      <c r="C183" s="1980" t="s">
        <v>996</v>
      </c>
      <c r="D183" s="1998">
        <v>5</v>
      </c>
      <c r="E183" s="1999" t="s">
        <v>5</v>
      </c>
      <c r="F183" s="1975">
        <v>550</v>
      </c>
      <c r="G183" s="1975">
        <v>200</v>
      </c>
      <c r="H183" s="1906">
        <f t="shared" si="23"/>
        <v>2750</v>
      </c>
      <c r="I183" s="1906">
        <f t="shared" si="24"/>
        <v>1000</v>
      </c>
      <c r="J183" s="1906">
        <f t="shared" si="25"/>
        <v>3750</v>
      </c>
      <c r="K183" s="1907"/>
      <c r="M183" s="1885" t="s">
        <v>643</v>
      </c>
    </row>
    <row r="184" spans="1:13">
      <c r="A184" s="1903"/>
      <c r="B184" s="1997" t="s">
        <v>107</v>
      </c>
      <c r="C184" s="1980" t="s">
        <v>997</v>
      </c>
      <c r="D184" s="1998">
        <v>9</v>
      </c>
      <c r="E184" s="1999" t="s">
        <v>5</v>
      </c>
      <c r="F184" s="1975">
        <v>1800</v>
      </c>
      <c r="G184" s="1975">
        <v>200</v>
      </c>
      <c r="H184" s="1906">
        <f t="shared" si="23"/>
        <v>16200</v>
      </c>
      <c r="I184" s="1906">
        <f t="shared" si="24"/>
        <v>1800</v>
      </c>
      <c r="J184" s="1906">
        <f t="shared" si="25"/>
        <v>18000</v>
      </c>
      <c r="K184" s="1907"/>
      <c r="M184" s="1885" t="s">
        <v>643</v>
      </c>
    </row>
    <row r="185" spans="1:13" s="1876" customFormat="1">
      <c r="A185" s="2169"/>
      <c r="B185" s="2170" t="s">
        <v>107</v>
      </c>
      <c r="C185" s="2171" t="s">
        <v>998</v>
      </c>
      <c r="D185" s="1982">
        <v>11</v>
      </c>
      <c r="E185" s="1982" t="s">
        <v>5</v>
      </c>
      <c r="F185" s="2172">
        <v>171.2</v>
      </c>
      <c r="G185" s="2172">
        <v>62</v>
      </c>
      <c r="H185" s="1930">
        <f t="shared" si="23"/>
        <v>1883.1999999999998</v>
      </c>
      <c r="I185" s="1930">
        <f t="shared" si="24"/>
        <v>682</v>
      </c>
      <c r="J185" s="1930">
        <f t="shared" si="25"/>
        <v>2565.1999999999998</v>
      </c>
      <c r="K185" s="1907"/>
      <c r="L185" s="2173"/>
      <c r="M185" s="1885" t="s">
        <v>643</v>
      </c>
    </row>
    <row r="186" spans="1:13" s="1876" customFormat="1">
      <c r="A186" s="2169"/>
      <c r="B186" s="2170" t="s">
        <v>107</v>
      </c>
      <c r="C186" s="2171" t="s">
        <v>999</v>
      </c>
      <c r="D186" s="1982">
        <v>1</v>
      </c>
      <c r="E186" s="1982" t="s">
        <v>5</v>
      </c>
      <c r="F186" s="2172">
        <v>171.2</v>
      </c>
      <c r="G186" s="2172">
        <v>62</v>
      </c>
      <c r="H186" s="1930">
        <f t="shared" si="23"/>
        <v>171.2</v>
      </c>
      <c r="I186" s="1930">
        <f t="shared" si="24"/>
        <v>62</v>
      </c>
      <c r="J186" s="1930">
        <f t="shared" si="25"/>
        <v>233.2</v>
      </c>
      <c r="K186" s="1907"/>
      <c r="L186" s="2173"/>
      <c r="M186" s="1885" t="s">
        <v>643</v>
      </c>
    </row>
    <row r="187" spans="1:13" s="1876" customFormat="1">
      <c r="A187" s="2169"/>
      <c r="B187" s="2170" t="s">
        <v>107</v>
      </c>
      <c r="C187" s="2171" t="s">
        <v>388</v>
      </c>
      <c r="D187" s="1982">
        <v>14.5</v>
      </c>
      <c r="E187" s="1982" t="s">
        <v>86</v>
      </c>
      <c r="F187" s="2172">
        <v>85.6</v>
      </c>
      <c r="G187" s="2172">
        <v>31</v>
      </c>
      <c r="H187" s="1930">
        <f t="shared" si="23"/>
        <v>1241.1999999999998</v>
      </c>
      <c r="I187" s="1930">
        <f t="shared" si="24"/>
        <v>449.5</v>
      </c>
      <c r="J187" s="1930">
        <f t="shared" si="25"/>
        <v>1690.6999999999998</v>
      </c>
      <c r="K187" s="1907"/>
      <c r="L187" s="2173"/>
      <c r="M187" s="1885" t="s">
        <v>643</v>
      </c>
    </row>
    <row r="188" spans="1:13" s="1876" customFormat="1">
      <c r="A188" s="2169"/>
      <c r="B188" s="2170" t="s">
        <v>107</v>
      </c>
      <c r="C188" s="2171" t="s">
        <v>1000</v>
      </c>
      <c r="D188" s="1982">
        <v>1</v>
      </c>
      <c r="E188" s="1982" t="s">
        <v>5</v>
      </c>
      <c r="F188" s="2172">
        <v>2400</v>
      </c>
      <c r="G188" s="2172">
        <v>0</v>
      </c>
      <c r="H188" s="1930">
        <f t="shared" si="23"/>
        <v>2400</v>
      </c>
      <c r="I188" s="1930">
        <f t="shared" si="24"/>
        <v>0</v>
      </c>
      <c r="J188" s="1930">
        <f t="shared" si="25"/>
        <v>2400</v>
      </c>
      <c r="K188" s="1907"/>
      <c r="L188" s="2173"/>
      <c r="M188" s="1885" t="s">
        <v>643</v>
      </c>
    </row>
    <row r="189" spans="1:13" s="1876" customFormat="1">
      <c r="A189" s="2169"/>
      <c r="B189" s="2170" t="s">
        <v>107</v>
      </c>
      <c r="C189" s="2171" t="s">
        <v>387</v>
      </c>
      <c r="D189" s="1982">
        <v>1</v>
      </c>
      <c r="E189" s="1982" t="s">
        <v>105</v>
      </c>
      <c r="F189" s="2172">
        <v>98500</v>
      </c>
      <c r="G189" s="2172">
        <v>0</v>
      </c>
      <c r="H189" s="1930">
        <f t="shared" si="23"/>
        <v>98500</v>
      </c>
      <c r="I189" s="1930">
        <f t="shared" si="24"/>
        <v>0</v>
      </c>
      <c r="J189" s="1930">
        <f t="shared" si="25"/>
        <v>98500</v>
      </c>
      <c r="K189" s="1907"/>
      <c r="L189" s="2174" t="s">
        <v>1966</v>
      </c>
      <c r="M189" s="1885" t="s">
        <v>643</v>
      </c>
    </row>
    <row r="190" spans="1:13">
      <c r="A190" s="1877"/>
      <c r="B190" s="1878"/>
      <c r="C190" s="1879"/>
      <c r="D190" s="1880"/>
      <c r="E190" s="1881"/>
      <c r="F190" s="1882"/>
      <c r="G190" s="1882"/>
      <c r="H190" s="1883"/>
      <c r="I190" s="1883"/>
      <c r="J190" s="1883"/>
      <c r="K190" s="1884"/>
      <c r="M190" s="1885"/>
    </row>
    <row r="191" spans="1:13" ht="24.75" thickBot="1">
      <c r="A191" s="1886"/>
      <c r="B191" s="1887"/>
      <c r="C191" s="1888" t="str">
        <f>"รวมราคา "&amp;B14</f>
        <v>รวมราคา งานสถาปัตยกรรม ชั้น 1</v>
      </c>
      <c r="D191" s="1889"/>
      <c r="E191" s="1890"/>
      <c r="F191" s="1891"/>
      <c r="G191" s="1891"/>
      <c r="H191" s="1891">
        <f>SUM(H15:H189)</f>
        <v>6119255.0600000015</v>
      </c>
      <c r="I191" s="1891">
        <f>SUM(I15:I189)</f>
        <v>1776537.3500000003</v>
      </c>
      <c r="J191" s="1891">
        <f>SUM(J15:J189)</f>
        <v>7895792.4100000011</v>
      </c>
      <c r="K191" s="1891"/>
      <c r="L191" s="1870"/>
      <c r="M191" s="1892"/>
    </row>
    <row r="192" spans="1:13" s="1860" customFormat="1" ht="24.75" thickTop="1">
      <c r="A192" s="1893">
        <v>2.2000000000000002</v>
      </c>
      <c r="B192" s="2395" t="s">
        <v>193</v>
      </c>
      <c r="C192" s="2395"/>
      <c r="D192" s="1894"/>
      <c r="E192" s="1895"/>
      <c r="F192" s="1896"/>
      <c r="G192" s="1896"/>
      <c r="H192" s="1896"/>
      <c r="I192" s="1896"/>
      <c r="J192" s="1896"/>
      <c r="K192" s="1896"/>
      <c r="L192" s="1870"/>
      <c r="M192" s="1892"/>
    </row>
    <row r="193" spans="1:14" s="1860" customFormat="1">
      <c r="A193" s="1897"/>
      <c r="B193" s="2388" t="s">
        <v>201</v>
      </c>
      <c r="C193" s="2388"/>
      <c r="D193" s="1898"/>
      <c r="E193" s="1899"/>
      <c r="F193" s="1900"/>
      <c r="G193" s="1900"/>
      <c r="H193" s="1900"/>
      <c r="I193" s="1900"/>
      <c r="J193" s="1900"/>
      <c r="K193" s="1901"/>
      <c r="L193" s="1871"/>
      <c r="M193" s="1902"/>
    </row>
    <row r="194" spans="1:14">
      <c r="A194" s="1903"/>
      <c r="B194" s="1904" t="s">
        <v>3</v>
      </c>
      <c r="C194" s="1905" t="s">
        <v>723</v>
      </c>
      <c r="D194" s="1898">
        <v>248.3</v>
      </c>
      <c r="E194" s="1899" t="s">
        <v>86</v>
      </c>
      <c r="F194" s="1900">
        <v>606</v>
      </c>
      <c r="G194" s="1900">
        <v>222</v>
      </c>
      <c r="H194" s="1906">
        <f t="shared" ref="H194:H201" si="26">+F194*D194</f>
        <v>150469.80000000002</v>
      </c>
      <c r="I194" s="1906">
        <f t="shared" ref="I194:I201" si="27">+G194*D194</f>
        <v>55122.600000000006</v>
      </c>
      <c r="J194" s="1906">
        <f t="shared" ref="J194:J201" si="28">+H194+I194</f>
        <v>205592.40000000002</v>
      </c>
      <c r="K194" s="1907"/>
      <c r="M194" s="1885" t="s">
        <v>1875</v>
      </c>
      <c r="N194" s="1861"/>
    </row>
    <row r="195" spans="1:14" s="1862" customFormat="1">
      <c r="A195" s="1903"/>
      <c r="B195" s="1904" t="s">
        <v>137</v>
      </c>
      <c r="C195" s="1905" t="s">
        <v>724</v>
      </c>
      <c r="D195" s="1898">
        <v>95.4</v>
      </c>
      <c r="E195" s="1899" t="s">
        <v>86</v>
      </c>
      <c r="F195" s="1900">
        <v>606</v>
      </c>
      <c r="G195" s="1900">
        <v>222</v>
      </c>
      <c r="H195" s="1906">
        <f t="shared" si="26"/>
        <v>57812.4</v>
      </c>
      <c r="I195" s="1906">
        <f t="shared" si="27"/>
        <v>21178.800000000003</v>
      </c>
      <c r="J195" s="1906">
        <f t="shared" si="28"/>
        <v>78991.200000000012</v>
      </c>
      <c r="K195" s="1907"/>
      <c r="L195" s="1871"/>
      <c r="M195" s="1885" t="s">
        <v>1875</v>
      </c>
    </row>
    <row r="196" spans="1:14" s="1862" customFormat="1">
      <c r="A196" s="1903"/>
      <c r="B196" s="1904" t="s">
        <v>4</v>
      </c>
      <c r="C196" s="1905" t="s">
        <v>149</v>
      </c>
      <c r="D196" s="1898">
        <v>41.5</v>
      </c>
      <c r="E196" s="1899" t="s">
        <v>86</v>
      </c>
      <c r="F196" s="1900">
        <v>113</v>
      </c>
      <c r="G196" s="1900">
        <v>87</v>
      </c>
      <c r="H196" s="1906">
        <f t="shared" si="26"/>
        <v>4689.5</v>
      </c>
      <c r="I196" s="1906">
        <f t="shared" si="27"/>
        <v>3610.5</v>
      </c>
      <c r="J196" s="1906">
        <f t="shared" si="28"/>
        <v>8300</v>
      </c>
      <c r="K196" s="1907"/>
      <c r="L196" s="1871"/>
      <c r="M196" s="1885" t="s">
        <v>1875</v>
      </c>
    </row>
    <row r="197" spans="1:14" s="1862" customFormat="1">
      <c r="A197" s="1903"/>
      <c r="B197" s="1904" t="s">
        <v>368</v>
      </c>
      <c r="C197" s="1905" t="s">
        <v>939</v>
      </c>
      <c r="D197" s="1898">
        <v>578.29999999999995</v>
      </c>
      <c r="E197" s="1899" t="s">
        <v>86</v>
      </c>
      <c r="F197" s="1900">
        <v>465</v>
      </c>
      <c r="G197" s="1900">
        <v>100</v>
      </c>
      <c r="H197" s="1906">
        <f t="shared" si="26"/>
        <v>268909.5</v>
      </c>
      <c r="I197" s="1906">
        <f t="shared" si="27"/>
        <v>57829.999999999993</v>
      </c>
      <c r="J197" s="1906">
        <f t="shared" si="28"/>
        <v>326739.5</v>
      </c>
      <c r="K197" s="1907"/>
      <c r="L197" s="1907" t="s">
        <v>1925</v>
      </c>
      <c r="M197" s="1885" t="s">
        <v>1927</v>
      </c>
    </row>
    <row r="198" spans="1:14">
      <c r="A198" s="1903"/>
      <c r="B198" s="1904"/>
      <c r="C198" s="1905" t="s">
        <v>1025</v>
      </c>
      <c r="D198" s="1898">
        <v>332.27</v>
      </c>
      <c r="E198" s="1899" t="s">
        <v>84</v>
      </c>
      <c r="F198" s="1900">
        <v>95</v>
      </c>
      <c r="G198" s="1900">
        <v>40</v>
      </c>
      <c r="H198" s="1906">
        <f>+F198*D198</f>
        <v>31565.649999999998</v>
      </c>
      <c r="I198" s="1906">
        <f>+G198*D198</f>
        <v>13290.8</v>
      </c>
      <c r="J198" s="1906">
        <f>+H198+I198</f>
        <v>44856.45</v>
      </c>
      <c r="K198" s="1907"/>
      <c r="L198" s="1907" t="s">
        <v>1925</v>
      </c>
      <c r="M198" s="1885" t="s">
        <v>1928</v>
      </c>
    </row>
    <row r="199" spans="1:14">
      <c r="A199" s="1903"/>
      <c r="B199" s="1904" t="s">
        <v>108</v>
      </c>
      <c r="C199" s="1905" t="s">
        <v>725</v>
      </c>
      <c r="D199" s="1898">
        <v>43.6</v>
      </c>
      <c r="E199" s="1899" t="s">
        <v>86</v>
      </c>
      <c r="F199" s="1900">
        <v>123</v>
      </c>
      <c r="G199" s="1900">
        <v>82</v>
      </c>
      <c r="H199" s="1906">
        <f t="shared" si="26"/>
        <v>5362.8</v>
      </c>
      <c r="I199" s="1906">
        <f t="shared" si="27"/>
        <v>3575.2000000000003</v>
      </c>
      <c r="J199" s="1906">
        <f t="shared" si="28"/>
        <v>8938</v>
      </c>
      <c r="K199" s="1907"/>
      <c r="M199" s="1885" t="s">
        <v>1875</v>
      </c>
      <c r="N199" s="1861"/>
    </row>
    <row r="200" spans="1:14" s="1862" customFormat="1">
      <c r="A200" s="1903"/>
      <c r="B200" s="1904"/>
      <c r="C200" s="1905" t="s">
        <v>727</v>
      </c>
      <c r="D200" s="1898">
        <v>342.21</v>
      </c>
      <c r="E200" s="1899" t="s">
        <v>86</v>
      </c>
      <c r="F200" s="1900">
        <v>109</v>
      </c>
      <c r="G200" s="1900">
        <v>64</v>
      </c>
      <c r="H200" s="1906">
        <f t="shared" si="26"/>
        <v>37300.89</v>
      </c>
      <c r="I200" s="1906">
        <f t="shared" si="27"/>
        <v>21901.439999999999</v>
      </c>
      <c r="J200" s="1906">
        <f t="shared" si="28"/>
        <v>59202.33</v>
      </c>
      <c r="K200" s="1907"/>
      <c r="L200" s="1871"/>
      <c r="M200" s="1885" t="s">
        <v>1878</v>
      </c>
    </row>
    <row r="201" spans="1:14">
      <c r="A201" s="1903"/>
      <c r="B201" s="1904"/>
      <c r="C201" s="1905" t="s">
        <v>728</v>
      </c>
      <c r="D201" s="1898">
        <f>D197</f>
        <v>578.29999999999995</v>
      </c>
      <c r="E201" s="1899" t="s">
        <v>86</v>
      </c>
      <c r="F201" s="1900">
        <v>175</v>
      </c>
      <c r="G201" s="1900">
        <v>40</v>
      </c>
      <c r="H201" s="1906">
        <f t="shared" si="26"/>
        <v>101202.49999999999</v>
      </c>
      <c r="I201" s="1906">
        <f t="shared" si="27"/>
        <v>23132</v>
      </c>
      <c r="J201" s="1906">
        <f t="shared" si="28"/>
        <v>124334.49999999999</v>
      </c>
      <c r="K201" s="1907"/>
      <c r="M201" s="1885" t="s">
        <v>1076</v>
      </c>
    </row>
    <row r="202" spans="1:14">
      <c r="A202" s="1863"/>
      <c r="B202" s="1864"/>
      <c r="C202" s="1865"/>
      <c r="D202" s="1866"/>
      <c r="E202" s="1867"/>
      <c r="F202" s="1868"/>
      <c r="G202" s="1868"/>
      <c r="H202" s="1868"/>
      <c r="I202" s="1868"/>
      <c r="J202" s="1868"/>
      <c r="K202" s="1869"/>
      <c r="M202" s="1885"/>
    </row>
    <row r="203" spans="1:14">
      <c r="B203" s="1860"/>
      <c r="C203" s="2133" t="s">
        <v>133</v>
      </c>
      <c r="D203" s="2134"/>
      <c r="E203" s="2135"/>
      <c r="F203" s="2136"/>
      <c r="G203" s="2137"/>
      <c r="H203" s="2137"/>
      <c r="I203" s="2137"/>
      <c r="J203" s="2137"/>
      <c r="K203" s="2137"/>
      <c r="M203" s="1885"/>
    </row>
    <row r="204" spans="1:14">
      <c r="B204" s="2138"/>
      <c r="C204" s="2139" t="s">
        <v>1769</v>
      </c>
      <c r="D204" s="2140"/>
      <c r="E204" s="1861"/>
      <c r="F204" s="2135"/>
      <c r="G204" s="2139" t="s">
        <v>134</v>
      </c>
      <c r="H204" s="2138"/>
      <c r="I204" s="2138"/>
      <c r="J204" s="2138"/>
      <c r="K204" s="2138"/>
      <c r="M204" s="1885"/>
    </row>
    <row r="205" spans="1:14">
      <c r="B205" s="1871"/>
      <c r="C205" s="2141" t="s">
        <v>1970</v>
      </c>
      <c r="D205" s="2140"/>
      <c r="E205" s="2142"/>
      <c r="F205" s="2143"/>
      <c r="G205" s="2144" t="s">
        <v>1971</v>
      </c>
      <c r="H205" s="2145"/>
      <c r="I205" s="2145"/>
      <c r="J205" s="2145"/>
      <c r="K205" s="2145"/>
      <c r="M205" s="1885"/>
    </row>
    <row r="206" spans="1:14">
      <c r="A206" s="1837"/>
      <c r="B206" s="2138"/>
      <c r="C206" s="2139" t="s">
        <v>2031</v>
      </c>
      <c r="D206" s="2140"/>
      <c r="E206" s="1837"/>
      <c r="F206" s="2146"/>
      <c r="G206" s="2139" t="s">
        <v>2031</v>
      </c>
      <c r="H206" s="1837"/>
      <c r="I206" s="1837"/>
      <c r="J206" s="1837"/>
      <c r="K206" s="1837"/>
      <c r="M206" s="1885"/>
    </row>
    <row r="207" spans="1:14">
      <c r="A207" s="1952"/>
      <c r="B207" s="1871"/>
      <c r="C207" s="2147" t="s">
        <v>1984</v>
      </c>
      <c r="D207" s="2140"/>
      <c r="E207" s="1837"/>
      <c r="F207" s="2135"/>
      <c r="G207" s="2147" t="s">
        <v>1985</v>
      </c>
      <c r="H207" s="1952"/>
      <c r="I207" s="1952"/>
      <c r="J207" s="1952"/>
      <c r="K207" s="1952"/>
      <c r="M207" s="1885"/>
    </row>
    <row r="208" spans="1:14">
      <c r="A208" s="1952"/>
      <c r="B208" s="1952"/>
      <c r="C208" s="2139" t="s">
        <v>670</v>
      </c>
      <c r="D208" s="2139"/>
      <c r="E208" s="2143"/>
      <c r="F208" s="2143"/>
      <c r="G208" s="1952"/>
      <c r="H208" s="1952"/>
      <c r="I208" s="1952"/>
      <c r="J208" s="1952"/>
      <c r="K208" s="1952"/>
      <c r="M208" s="1885"/>
    </row>
    <row r="209" spans="1:14">
      <c r="C209" s="2147" t="s">
        <v>1972</v>
      </c>
      <c r="D209" s="2147"/>
      <c r="E209" s="2146"/>
      <c r="F209" s="2146"/>
      <c r="M209" s="1885"/>
    </row>
    <row r="210" spans="1:14">
      <c r="A210" s="1903"/>
      <c r="B210" s="2386" t="s">
        <v>366</v>
      </c>
      <c r="C210" s="2386"/>
      <c r="D210" s="1898"/>
      <c r="E210" s="1899"/>
      <c r="F210" s="1900"/>
      <c r="G210" s="1900"/>
      <c r="H210" s="1906"/>
      <c r="I210" s="1906"/>
      <c r="J210" s="1906"/>
      <c r="K210" s="1907"/>
    </row>
    <row r="211" spans="1:14">
      <c r="A211" s="1903"/>
      <c r="B211" s="1904" t="s">
        <v>733</v>
      </c>
      <c r="C211" s="1905" t="s">
        <v>1241</v>
      </c>
      <c r="D211" s="1898">
        <v>839.2</v>
      </c>
      <c r="E211" s="1899" t="s">
        <v>86</v>
      </c>
      <c r="F211" s="1900">
        <v>273</v>
      </c>
      <c r="G211" s="1900">
        <v>53</v>
      </c>
      <c r="H211" s="1906">
        <f>+F211*D211</f>
        <v>229101.6</v>
      </c>
      <c r="I211" s="1906">
        <f>+G211*D211</f>
        <v>44477.600000000006</v>
      </c>
      <c r="J211" s="1906">
        <f>+H211+I211</f>
        <v>273579.2</v>
      </c>
      <c r="K211" s="1907"/>
      <c r="M211" s="1885" t="s">
        <v>1876</v>
      </c>
      <c r="N211" s="1861"/>
    </row>
    <row r="212" spans="1:14">
      <c r="A212" s="1903"/>
      <c r="B212" s="1904" t="s">
        <v>734</v>
      </c>
      <c r="C212" s="1905" t="s">
        <v>653</v>
      </c>
      <c r="D212" s="1898">
        <v>9</v>
      </c>
      <c r="E212" s="1899" t="s">
        <v>5</v>
      </c>
      <c r="F212" s="1900">
        <v>14500</v>
      </c>
      <c r="G212" s="1900">
        <v>800</v>
      </c>
      <c r="H212" s="1906">
        <f>+F212*D212</f>
        <v>130500</v>
      </c>
      <c r="I212" s="1906">
        <f>+G212*D212</f>
        <v>7200</v>
      </c>
      <c r="J212" s="1906">
        <f>+H212+I212</f>
        <v>137700</v>
      </c>
      <c r="L212" s="1908" t="s">
        <v>1885</v>
      </c>
      <c r="M212" s="1885" t="s">
        <v>622</v>
      </c>
    </row>
    <row r="213" spans="1:14">
      <c r="A213" s="1903"/>
      <c r="B213" s="1904" t="s">
        <v>735</v>
      </c>
      <c r="C213" s="1905" t="s">
        <v>1768</v>
      </c>
      <c r="D213" s="1898">
        <v>194.56</v>
      </c>
      <c r="E213" s="1899" t="s">
        <v>86</v>
      </c>
      <c r="F213" s="1900">
        <v>754</v>
      </c>
      <c r="G213" s="1900">
        <v>75</v>
      </c>
      <c r="H213" s="1906">
        <f>+F213*D213</f>
        <v>146698.23999999999</v>
      </c>
      <c r="I213" s="1906">
        <f>+G213*D213</f>
        <v>14592</v>
      </c>
      <c r="J213" s="1906">
        <f>+H213+I213</f>
        <v>161290.23999999999</v>
      </c>
      <c r="K213" s="1907"/>
      <c r="M213" s="1885" t="s">
        <v>1877</v>
      </c>
      <c r="N213" s="1861"/>
    </row>
    <row r="214" spans="1:14">
      <c r="A214" s="1903"/>
      <c r="B214" s="2386" t="s">
        <v>365</v>
      </c>
      <c r="C214" s="2386"/>
      <c r="D214" s="1909"/>
      <c r="E214" s="1910"/>
      <c r="F214" s="1906"/>
      <c r="G214" s="1906"/>
      <c r="H214" s="1906"/>
      <c r="I214" s="1906"/>
      <c r="J214" s="1906"/>
      <c r="K214" s="1907"/>
    </row>
    <row r="215" spans="1:14" s="1862" customFormat="1" ht="48">
      <c r="A215" s="1911"/>
      <c r="B215" s="1912">
        <v>1</v>
      </c>
      <c r="C215" s="1913" t="s">
        <v>736</v>
      </c>
      <c r="D215" s="1914">
        <v>652.1</v>
      </c>
      <c r="E215" s="1915" t="s">
        <v>86</v>
      </c>
      <c r="F215" s="1916">
        <v>165</v>
      </c>
      <c r="G215" s="1916">
        <v>240</v>
      </c>
      <c r="H215" s="1916">
        <f t="shared" ref="H215:H227" si="29">+F215*D215</f>
        <v>107596.5</v>
      </c>
      <c r="I215" s="1916">
        <f t="shared" ref="I215:I227" si="30">+G215*D215</f>
        <v>156504</v>
      </c>
      <c r="J215" s="1916">
        <f t="shared" ref="J215:J227" si="31">+H215+I215</f>
        <v>264100.5</v>
      </c>
      <c r="K215" s="1917"/>
      <c r="L215" s="2048"/>
      <c r="M215" s="1918" t="s">
        <v>1076</v>
      </c>
      <c r="N215" s="1852"/>
    </row>
    <row r="216" spans="1:14" s="1862" customFormat="1">
      <c r="A216" s="1911"/>
      <c r="B216" s="1912">
        <v>2</v>
      </c>
      <c r="C216" s="1919" t="s">
        <v>738</v>
      </c>
      <c r="D216" s="1920">
        <v>77.8</v>
      </c>
      <c r="E216" s="1921" t="s">
        <v>86</v>
      </c>
      <c r="F216" s="1922">
        <v>155</v>
      </c>
      <c r="G216" s="1922">
        <v>155</v>
      </c>
      <c r="H216" s="1916">
        <f t="shared" si="29"/>
        <v>12059</v>
      </c>
      <c r="I216" s="1916">
        <f t="shared" si="30"/>
        <v>12059</v>
      </c>
      <c r="J216" s="1916">
        <f t="shared" si="31"/>
        <v>24118</v>
      </c>
      <c r="K216" s="1917"/>
      <c r="L216" s="2048"/>
      <c r="M216" s="1918" t="s">
        <v>1076</v>
      </c>
    </row>
    <row r="217" spans="1:14" s="1862" customFormat="1">
      <c r="A217" s="1923"/>
      <c r="B217" s="1924">
        <v>3</v>
      </c>
      <c r="C217" s="1925" t="s">
        <v>737</v>
      </c>
      <c r="D217" s="1920">
        <v>17.399999999999999</v>
      </c>
      <c r="E217" s="1921" t="s">
        <v>86</v>
      </c>
      <c r="F217" s="1922">
        <v>135</v>
      </c>
      <c r="G217" s="1922">
        <v>155</v>
      </c>
      <c r="H217" s="1922">
        <f t="shared" si="29"/>
        <v>2349</v>
      </c>
      <c r="I217" s="1922">
        <f t="shared" si="30"/>
        <v>2697</v>
      </c>
      <c r="J217" s="1922">
        <f t="shared" si="31"/>
        <v>5046</v>
      </c>
      <c r="K217" s="1917"/>
      <c r="L217" s="2048"/>
      <c r="M217" s="1918" t="s">
        <v>1076</v>
      </c>
    </row>
    <row r="218" spans="1:14" s="1862" customFormat="1" ht="48">
      <c r="A218" s="1911"/>
      <c r="B218" s="1912">
        <v>4</v>
      </c>
      <c r="C218" s="1913" t="s">
        <v>1767</v>
      </c>
      <c r="D218" s="1920">
        <v>175.1</v>
      </c>
      <c r="E218" s="1921" t="s">
        <v>86</v>
      </c>
      <c r="F218" s="1922">
        <v>540</v>
      </c>
      <c r="G218" s="1922">
        <v>271</v>
      </c>
      <c r="H218" s="1916">
        <f t="shared" si="29"/>
        <v>94554</v>
      </c>
      <c r="I218" s="1916">
        <f t="shared" si="30"/>
        <v>47452.1</v>
      </c>
      <c r="J218" s="1916">
        <f t="shared" si="31"/>
        <v>142006.1</v>
      </c>
      <c r="K218" s="1917"/>
      <c r="L218" s="1917" t="s">
        <v>1939</v>
      </c>
      <c r="M218" s="1918" t="s">
        <v>1076</v>
      </c>
    </row>
    <row r="219" spans="1:14" s="1862" customFormat="1" ht="48">
      <c r="A219" s="1911"/>
      <c r="B219" s="1912">
        <v>5</v>
      </c>
      <c r="C219" s="1913" t="s">
        <v>739</v>
      </c>
      <c r="D219" s="1920">
        <v>326.10000000000002</v>
      </c>
      <c r="E219" s="1921" t="s">
        <v>86</v>
      </c>
      <c r="F219" s="1922">
        <v>165</v>
      </c>
      <c r="G219" s="1922">
        <v>240</v>
      </c>
      <c r="H219" s="1916">
        <f t="shared" si="29"/>
        <v>53806.500000000007</v>
      </c>
      <c r="I219" s="1916">
        <f t="shared" si="30"/>
        <v>78264</v>
      </c>
      <c r="J219" s="1916">
        <f t="shared" si="31"/>
        <v>132070.5</v>
      </c>
      <c r="K219" s="1917"/>
      <c r="L219" s="2048"/>
      <c r="M219" s="1918" t="s">
        <v>1076</v>
      </c>
      <c r="N219" s="1852"/>
    </row>
    <row r="220" spans="1:14" s="1862" customFormat="1" ht="48">
      <c r="A220" s="1911"/>
      <c r="B220" s="1912">
        <v>6</v>
      </c>
      <c r="C220" s="1913" t="s">
        <v>740</v>
      </c>
      <c r="D220" s="1920">
        <v>112.6</v>
      </c>
      <c r="E220" s="1921" t="s">
        <v>86</v>
      </c>
      <c r="F220" s="1922">
        <v>285</v>
      </c>
      <c r="G220" s="1922">
        <v>240</v>
      </c>
      <c r="H220" s="1916">
        <f t="shared" si="29"/>
        <v>32091</v>
      </c>
      <c r="I220" s="1916">
        <f t="shared" si="30"/>
        <v>27024</v>
      </c>
      <c r="J220" s="1916">
        <f t="shared" si="31"/>
        <v>59115</v>
      </c>
      <c r="K220" s="1917"/>
      <c r="L220" s="2048"/>
      <c r="M220" s="1918" t="s">
        <v>1076</v>
      </c>
      <c r="N220" s="1852"/>
    </row>
    <row r="221" spans="1:14">
      <c r="A221" s="1903"/>
      <c r="B221" s="1904">
        <v>7</v>
      </c>
      <c r="C221" s="1905" t="s">
        <v>372</v>
      </c>
      <c r="D221" s="1898">
        <v>2.9</v>
      </c>
      <c r="E221" s="1899" t="s">
        <v>86</v>
      </c>
      <c r="F221" s="1900">
        <v>151</v>
      </c>
      <c r="G221" s="1900">
        <v>92</v>
      </c>
      <c r="H221" s="1906">
        <f t="shared" si="29"/>
        <v>437.9</v>
      </c>
      <c r="I221" s="1906">
        <f t="shared" si="30"/>
        <v>266.8</v>
      </c>
      <c r="J221" s="1906">
        <f t="shared" si="31"/>
        <v>704.7</v>
      </c>
      <c r="K221" s="1907"/>
      <c r="M221" s="1885" t="s">
        <v>1876</v>
      </c>
      <c r="N221" s="1861"/>
    </row>
    <row r="222" spans="1:14">
      <c r="A222" s="1903"/>
      <c r="B222" s="1904">
        <v>10</v>
      </c>
      <c r="C222" s="1905" t="s">
        <v>1747</v>
      </c>
      <c r="D222" s="1898">
        <v>868</v>
      </c>
      <c r="E222" s="1899" t="s">
        <v>86</v>
      </c>
      <c r="F222" s="1900">
        <v>75</v>
      </c>
      <c r="G222" s="1900">
        <v>82</v>
      </c>
      <c r="H222" s="1906">
        <f t="shared" si="29"/>
        <v>65100</v>
      </c>
      <c r="I222" s="1906">
        <f t="shared" si="30"/>
        <v>71176</v>
      </c>
      <c r="J222" s="1906">
        <f t="shared" si="31"/>
        <v>136276</v>
      </c>
      <c r="K222" s="1907"/>
      <c r="M222" s="1885" t="s">
        <v>1879</v>
      </c>
      <c r="N222" s="1861"/>
    </row>
    <row r="223" spans="1:14">
      <c r="A223" s="1903"/>
      <c r="B223" s="1904">
        <v>11</v>
      </c>
      <c r="C223" s="1905" t="s">
        <v>1747</v>
      </c>
      <c r="D223" s="1898">
        <v>187.3</v>
      </c>
      <c r="E223" s="1899" t="s">
        <v>86</v>
      </c>
      <c r="F223" s="1900">
        <v>75</v>
      </c>
      <c r="G223" s="1900">
        <v>82</v>
      </c>
      <c r="H223" s="1906">
        <f t="shared" si="29"/>
        <v>14047.5</v>
      </c>
      <c r="I223" s="1906">
        <f t="shared" si="30"/>
        <v>15358.6</v>
      </c>
      <c r="J223" s="1906">
        <f t="shared" si="31"/>
        <v>29406.1</v>
      </c>
      <c r="K223" s="1907"/>
      <c r="M223" s="1885" t="s">
        <v>1879</v>
      </c>
      <c r="N223" s="1861"/>
    </row>
    <row r="224" spans="1:14">
      <c r="A224" s="1903"/>
      <c r="B224" s="1904" t="s">
        <v>620</v>
      </c>
      <c r="C224" s="1905" t="s">
        <v>1008</v>
      </c>
      <c r="D224" s="1909">
        <v>888.7</v>
      </c>
      <c r="E224" s="1910" t="s">
        <v>84</v>
      </c>
      <c r="F224" s="1906">
        <v>79</v>
      </c>
      <c r="G224" s="1906">
        <v>46</v>
      </c>
      <c r="H224" s="1906">
        <f t="shared" si="29"/>
        <v>70207.3</v>
      </c>
      <c r="I224" s="1906">
        <f t="shared" si="30"/>
        <v>40880.200000000004</v>
      </c>
      <c r="J224" s="1906">
        <f t="shared" si="31"/>
        <v>111087.5</v>
      </c>
      <c r="K224" s="1907"/>
      <c r="M224" s="1885" t="s">
        <v>1879</v>
      </c>
      <c r="N224" s="1861"/>
    </row>
    <row r="225" spans="1:14">
      <c r="A225" s="1903"/>
      <c r="B225" s="1904" t="s">
        <v>621</v>
      </c>
      <c r="C225" s="1905" t="s">
        <v>1009</v>
      </c>
      <c r="D225" s="1909">
        <v>291.60000000000002</v>
      </c>
      <c r="E225" s="1910" t="s">
        <v>84</v>
      </c>
      <c r="F225" s="1906">
        <v>120</v>
      </c>
      <c r="G225" s="1906">
        <v>64</v>
      </c>
      <c r="H225" s="1906">
        <f t="shared" si="29"/>
        <v>34992</v>
      </c>
      <c r="I225" s="1906">
        <f t="shared" si="30"/>
        <v>18662.400000000001</v>
      </c>
      <c r="J225" s="1906">
        <f t="shared" si="31"/>
        <v>53654.400000000001</v>
      </c>
      <c r="K225" s="1907"/>
      <c r="M225" s="1885" t="s">
        <v>1879</v>
      </c>
      <c r="N225" s="1861"/>
    </row>
    <row r="226" spans="1:14">
      <c r="A226" s="1903"/>
      <c r="B226" s="1904" t="s">
        <v>1007</v>
      </c>
      <c r="C226" s="1905" t="s">
        <v>1010</v>
      </c>
      <c r="D226" s="1909">
        <v>21.2</v>
      </c>
      <c r="E226" s="1910" t="s">
        <v>84</v>
      </c>
      <c r="F226" s="1906">
        <v>120</v>
      </c>
      <c r="G226" s="1906">
        <v>81</v>
      </c>
      <c r="H226" s="1906">
        <f t="shared" si="29"/>
        <v>2544</v>
      </c>
      <c r="I226" s="1906">
        <f t="shared" si="30"/>
        <v>1717.2</v>
      </c>
      <c r="J226" s="1906">
        <f t="shared" si="31"/>
        <v>4261.2</v>
      </c>
      <c r="K226" s="1907"/>
      <c r="M226" s="1885" t="s">
        <v>1879</v>
      </c>
      <c r="N226" s="1861"/>
    </row>
    <row r="227" spans="1:14">
      <c r="A227" s="1903"/>
      <c r="B227" s="1904"/>
      <c r="C227" s="1905" t="s">
        <v>1078</v>
      </c>
      <c r="D227" s="1898">
        <v>359</v>
      </c>
      <c r="E227" s="1910" t="s">
        <v>113</v>
      </c>
      <c r="F227" s="1900">
        <v>0</v>
      </c>
      <c r="G227" s="1900">
        <v>15</v>
      </c>
      <c r="H227" s="1906">
        <f t="shared" si="29"/>
        <v>0</v>
      </c>
      <c r="I227" s="1906">
        <f t="shared" si="30"/>
        <v>5385</v>
      </c>
      <c r="J227" s="1906">
        <f t="shared" si="31"/>
        <v>5385</v>
      </c>
      <c r="K227" s="1907"/>
      <c r="M227" s="1885" t="s">
        <v>1015</v>
      </c>
      <c r="N227" s="1861"/>
    </row>
    <row r="228" spans="1:14">
      <c r="A228" s="1863"/>
      <c r="B228" s="1864"/>
      <c r="C228" s="1865"/>
      <c r="D228" s="1866"/>
      <c r="E228" s="1867"/>
      <c r="F228" s="1868"/>
      <c r="G228" s="1868"/>
      <c r="H228" s="1868"/>
      <c r="I228" s="1868"/>
      <c r="J228" s="1868"/>
      <c r="K228" s="1869"/>
      <c r="M228" s="1885"/>
      <c r="N228" s="1861"/>
    </row>
    <row r="229" spans="1:14">
      <c r="B229" s="1860"/>
      <c r="C229" s="2133" t="s">
        <v>133</v>
      </c>
      <c r="D229" s="2134"/>
      <c r="E229" s="2135"/>
      <c r="F229" s="2136"/>
      <c r="G229" s="2137"/>
      <c r="H229" s="2137"/>
      <c r="I229" s="2137"/>
      <c r="J229" s="2137"/>
      <c r="K229" s="2137"/>
      <c r="M229" s="1885"/>
      <c r="N229" s="1861"/>
    </row>
    <row r="230" spans="1:14">
      <c r="B230" s="2138"/>
      <c r="C230" s="2139" t="s">
        <v>1769</v>
      </c>
      <c r="D230" s="2140"/>
      <c r="E230" s="1861"/>
      <c r="F230" s="2135"/>
      <c r="G230" s="2139" t="s">
        <v>134</v>
      </c>
      <c r="H230" s="2138"/>
      <c r="I230" s="2138"/>
      <c r="J230" s="2138"/>
      <c r="K230" s="2138"/>
      <c r="M230" s="1885"/>
      <c r="N230" s="1861"/>
    </row>
    <row r="231" spans="1:14">
      <c r="B231" s="1871"/>
      <c r="C231" s="2141" t="s">
        <v>1970</v>
      </c>
      <c r="D231" s="2140"/>
      <c r="E231" s="2142"/>
      <c r="F231" s="2143"/>
      <c r="G231" s="2144" t="s">
        <v>1971</v>
      </c>
      <c r="H231" s="2145"/>
      <c r="I231" s="2145"/>
      <c r="J231" s="2145"/>
      <c r="K231" s="2145"/>
      <c r="M231" s="1885"/>
      <c r="N231" s="1861"/>
    </row>
    <row r="232" spans="1:14">
      <c r="A232" s="1837"/>
      <c r="B232" s="2138"/>
      <c r="C232" s="2139" t="s">
        <v>2031</v>
      </c>
      <c r="D232" s="2140"/>
      <c r="E232" s="1837"/>
      <c r="F232" s="2146"/>
      <c r="G232" s="2139" t="s">
        <v>2031</v>
      </c>
      <c r="H232" s="1837"/>
      <c r="I232" s="1837"/>
      <c r="J232" s="1837"/>
      <c r="K232" s="1837"/>
      <c r="M232" s="1885"/>
      <c r="N232" s="1861"/>
    </row>
    <row r="233" spans="1:14">
      <c r="A233" s="1952"/>
      <c r="B233" s="1871"/>
      <c r="C233" s="2147" t="s">
        <v>1984</v>
      </c>
      <c r="D233" s="2140"/>
      <c r="E233" s="1837"/>
      <c r="F233" s="2135"/>
      <c r="G233" s="2147" t="s">
        <v>1985</v>
      </c>
      <c r="H233" s="1952"/>
      <c r="I233" s="1952"/>
      <c r="J233" s="1952"/>
      <c r="K233" s="1952"/>
      <c r="M233" s="1885"/>
      <c r="N233" s="1861"/>
    </row>
    <row r="234" spans="1:14">
      <c r="A234" s="1952"/>
      <c r="B234" s="1952"/>
      <c r="C234" s="2139" t="s">
        <v>670</v>
      </c>
      <c r="D234" s="2139"/>
      <c r="E234" s="2143"/>
      <c r="F234" s="2143"/>
      <c r="G234" s="1952"/>
      <c r="H234" s="1952"/>
      <c r="I234" s="1952"/>
      <c r="J234" s="1952"/>
      <c r="K234" s="1952"/>
      <c r="M234" s="1885"/>
      <c r="N234" s="1861"/>
    </row>
    <row r="235" spans="1:14">
      <c r="C235" s="2147" t="s">
        <v>1972</v>
      </c>
      <c r="D235" s="2147"/>
      <c r="E235" s="2146"/>
      <c r="F235" s="2146"/>
      <c r="M235" s="1885"/>
      <c r="N235" s="1861"/>
    </row>
    <row r="236" spans="1:14">
      <c r="A236" s="1903"/>
      <c r="B236" s="2386" t="s">
        <v>205</v>
      </c>
      <c r="C236" s="2386"/>
      <c r="D236" s="1909"/>
      <c r="E236" s="1910"/>
      <c r="F236" s="1906"/>
      <c r="G236" s="1906"/>
      <c r="H236" s="1906"/>
      <c r="I236" s="1906"/>
      <c r="J236" s="1906"/>
      <c r="K236" s="1907"/>
    </row>
    <row r="237" spans="1:14">
      <c r="A237" s="1926"/>
      <c r="B237" s="1927" t="s">
        <v>941</v>
      </c>
      <c r="C237" s="1928" t="s">
        <v>1066</v>
      </c>
      <c r="D237" s="1929">
        <f>D222</f>
        <v>868</v>
      </c>
      <c r="E237" s="1926" t="s">
        <v>86</v>
      </c>
      <c r="F237" s="1930">
        <v>35</v>
      </c>
      <c r="G237" s="1930">
        <v>30</v>
      </c>
      <c r="H237" s="1930">
        <f t="shared" ref="H237:H242" si="32">F237*D237</f>
        <v>30380</v>
      </c>
      <c r="I237" s="1930">
        <f t="shared" ref="I237:I242" si="33">G237*D237</f>
        <v>26040</v>
      </c>
      <c r="J237" s="1931">
        <f t="shared" ref="J237:J242" si="34">H237+I237</f>
        <v>56420</v>
      </c>
      <c r="K237" s="1931"/>
      <c r="L237" s="2155"/>
      <c r="M237" s="1885" t="s">
        <v>1879</v>
      </c>
      <c r="N237" s="1861"/>
    </row>
    <row r="238" spans="1:14" s="1872" customFormat="1">
      <c r="A238" s="1926"/>
      <c r="B238" s="1927" t="s">
        <v>942</v>
      </c>
      <c r="C238" s="1928" t="s">
        <v>1067</v>
      </c>
      <c r="D238" s="1929">
        <f>D223</f>
        <v>187.3</v>
      </c>
      <c r="E238" s="1926" t="s">
        <v>86</v>
      </c>
      <c r="F238" s="1930">
        <v>44</v>
      </c>
      <c r="G238" s="1930">
        <v>34</v>
      </c>
      <c r="H238" s="1930">
        <f t="shared" si="32"/>
        <v>8241.2000000000007</v>
      </c>
      <c r="I238" s="1930">
        <f t="shared" si="33"/>
        <v>6368.2000000000007</v>
      </c>
      <c r="J238" s="1931">
        <f t="shared" si="34"/>
        <v>14609.400000000001</v>
      </c>
      <c r="K238" s="1931"/>
      <c r="L238" s="2155"/>
      <c r="M238" s="1885" t="s">
        <v>1879</v>
      </c>
    </row>
    <row r="239" spans="1:14" s="1873" customFormat="1" ht="48">
      <c r="A239" s="1932"/>
      <c r="B239" s="1933" t="s">
        <v>943</v>
      </c>
      <c r="C239" s="1934" t="s">
        <v>1068</v>
      </c>
      <c r="D239" s="1935">
        <f>D247</f>
        <v>78</v>
      </c>
      <c r="E239" s="1932" t="s">
        <v>86</v>
      </c>
      <c r="F239" s="1936">
        <v>33</v>
      </c>
      <c r="G239" s="1936">
        <v>30</v>
      </c>
      <c r="H239" s="1936">
        <f t="shared" si="32"/>
        <v>2574</v>
      </c>
      <c r="I239" s="1936">
        <f t="shared" si="33"/>
        <v>2340</v>
      </c>
      <c r="J239" s="1937">
        <f t="shared" si="34"/>
        <v>4914</v>
      </c>
      <c r="K239" s="1937"/>
      <c r="L239" s="2156"/>
      <c r="M239" s="1918" t="s">
        <v>1879</v>
      </c>
    </row>
    <row r="240" spans="1:14" s="1873" customFormat="1" ht="48">
      <c r="A240" s="1938"/>
      <c r="B240" s="1939" t="s">
        <v>944</v>
      </c>
      <c r="C240" s="1940" t="s">
        <v>1069</v>
      </c>
      <c r="D240" s="1941">
        <f>D248</f>
        <v>91</v>
      </c>
      <c r="E240" s="1938" t="s">
        <v>86</v>
      </c>
      <c r="F240" s="1942">
        <v>33</v>
      </c>
      <c r="G240" s="1942">
        <v>30</v>
      </c>
      <c r="H240" s="1942">
        <f t="shared" si="32"/>
        <v>3003</v>
      </c>
      <c r="I240" s="1942">
        <f t="shared" si="33"/>
        <v>2730</v>
      </c>
      <c r="J240" s="1943">
        <f t="shared" si="34"/>
        <v>5733</v>
      </c>
      <c r="K240" s="1943"/>
      <c r="L240" s="2156"/>
      <c r="M240" s="1918" t="s">
        <v>1879</v>
      </c>
    </row>
    <row r="241" spans="1:13" s="1873" customFormat="1" ht="48">
      <c r="A241" s="1944"/>
      <c r="B241" s="1945" t="s">
        <v>945</v>
      </c>
      <c r="C241" s="1946" t="s">
        <v>1070</v>
      </c>
      <c r="D241" s="1947">
        <f>D246</f>
        <v>79.599999999999994</v>
      </c>
      <c r="E241" s="1944" t="s">
        <v>86</v>
      </c>
      <c r="F241" s="1948">
        <v>33</v>
      </c>
      <c r="G241" s="1948">
        <v>30</v>
      </c>
      <c r="H241" s="1948">
        <f t="shared" si="32"/>
        <v>2626.7999999999997</v>
      </c>
      <c r="I241" s="1948">
        <f t="shared" si="33"/>
        <v>2388</v>
      </c>
      <c r="J241" s="1949">
        <f t="shared" si="34"/>
        <v>5014.7999999999993</v>
      </c>
      <c r="K241" s="1949"/>
      <c r="L241" s="2156"/>
      <c r="M241" s="1918" t="s">
        <v>1879</v>
      </c>
    </row>
    <row r="242" spans="1:13" s="1872" customFormat="1">
      <c r="A242" s="1926"/>
      <c r="B242" s="1927" t="s">
        <v>946</v>
      </c>
      <c r="C242" s="1928" t="s">
        <v>1071</v>
      </c>
      <c r="D242" s="1929">
        <v>190.9</v>
      </c>
      <c r="E242" s="1926" t="s">
        <v>86</v>
      </c>
      <c r="F242" s="1950">
        <v>58</v>
      </c>
      <c r="G242" s="1950">
        <v>35</v>
      </c>
      <c r="H242" s="1930">
        <f t="shared" si="32"/>
        <v>11072.2</v>
      </c>
      <c r="I242" s="1930">
        <f t="shared" si="33"/>
        <v>6681.5</v>
      </c>
      <c r="J242" s="1931">
        <f t="shared" si="34"/>
        <v>17753.7</v>
      </c>
      <c r="K242" s="1931"/>
      <c r="L242" s="2155"/>
      <c r="M242" s="1885" t="s">
        <v>1879</v>
      </c>
    </row>
    <row r="243" spans="1:13" s="1872" customFormat="1">
      <c r="A243" s="1926"/>
      <c r="B243" s="1927" t="s">
        <v>1102</v>
      </c>
      <c r="C243" s="1928" t="s">
        <v>1103</v>
      </c>
      <c r="D243" s="1929">
        <v>56.6</v>
      </c>
      <c r="E243" s="1926" t="s">
        <v>86</v>
      </c>
      <c r="F243" s="1950">
        <v>471</v>
      </c>
      <c r="G243" s="1950">
        <v>30</v>
      </c>
      <c r="H243" s="1930">
        <f>F243*D243</f>
        <v>26658.600000000002</v>
      </c>
      <c r="I243" s="1930">
        <f>G243*D243</f>
        <v>1698</v>
      </c>
      <c r="J243" s="1931">
        <f>H243+I243</f>
        <v>28356.600000000002</v>
      </c>
      <c r="K243" s="1931"/>
      <c r="L243" s="2155"/>
      <c r="M243" s="1885" t="s">
        <v>1879</v>
      </c>
    </row>
    <row r="244" spans="1:13" s="1872" customFormat="1">
      <c r="A244" s="1903"/>
      <c r="B244" s="2386" t="s">
        <v>204</v>
      </c>
      <c r="C244" s="2386"/>
      <c r="D244" s="1909"/>
      <c r="E244" s="1910"/>
      <c r="F244" s="1906"/>
      <c r="G244" s="1906"/>
      <c r="H244" s="1906"/>
      <c r="I244" s="1906"/>
      <c r="J244" s="1906"/>
      <c r="K244" s="1907"/>
      <c r="L244" s="1871"/>
      <c r="M244" s="1951"/>
    </row>
    <row r="245" spans="1:13" s="1853" customFormat="1">
      <c r="A245" s="1903"/>
      <c r="B245" s="1904" t="s">
        <v>197</v>
      </c>
      <c r="C245" s="1905" t="s">
        <v>937</v>
      </c>
      <c r="D245" s="1909">
        <v>844.1</v>
      </c>
      <c r="E245" s="1910" t="s">
        <v>86</v>
      </c>
      <c r="F245" s="1906">
        <v>177</v>
      </c>
      <c r="G245" s="1906">
        <v>134</v>
      </c>
      <c r="H245" s="1906">
        <f>+F245*D245</f>
        <v>149405.70000000001</v>
      </c>
      <c r="I245" s="1906">
        <f>+G245*D245</f>
        <v>113109.40000000001</v>
      </c>
      <c r="J245" s="1906">
        <f>+H245+I245</f>
        <v>262515.10000000003</v>
      </c>
      <c r="K245" s="1907"/>
      <c r="L245" s="1871"/>
      <c r="M245" s="1885" t="s">
        <v>1076</v>
      </c>
    </row>
    <row r="246" spans="1:13" s="1853" customFormat="1">
      <c r="A246" s="1903"/>
      <c r="B246" s="1904" t="s">
        <v>373</v>
      </c>
      <c r="C246" s="1905" t="s">
        <v>938</v>
      </c>
      <c r="D246" s="1909">
        <v>79.599999999999994</v>
      </c>
      <c r="E246" s="1910" t="s">
        <v>86</v>
      </c>
      <c r="F246" s="1906">
        <v>100</v>
      </c>
      <c r="G246" s="1906">
        <v>82</v>
      </c>
      <c r="H246" s="1906">
        <f>+F246*D246</f>
        <v>7959.9999999999991</v>
      </c>
      <c r="I246" s="1906">
        <f>+G246*D246</f>
        <v>6527.2</v>
      </c>
      <c r="J246" s="1906">
        <f>+H246+I246</f>
        <v>14487.199999999999</v>
      </c>
      <c r="K246" s="1907"/>
      <c r="L246" s="1871"/>
      <c r="M246" s="1885" t="s">
        <v>1879</v>
      </c>
    </row>
    <row r="247" spans="1:13" s="1853" customFormat="1">
      <c r="A247" s="1903"/>
      <c r="B247" s="1904" t="s">
        <v>374</v>
      </c>
      <c r="C247" s="1905" t="s">
        <v>1236</v>
      </c>
      <c r="D247" s="1909">
        <v>78</v>
      </c>
      <c r="E247" s="1910" t="s">
        <v>86</v>
      </c>
      <c r="F247" s="1906">
        <v>298</v>
      </c>
      <c r="G247" s="1906">
        <v>75</v>
      </c>
      <c r="H247" s="1906">
        <f>+F247*D247</f>
        <v>23244</v>
      </c>
      <c r="I247" s="1906">
        <f>+G247*D247</f>
        <v>5850</v>
      </c>
      <c r="J247" s="1906">
        <f>+H247+I247</f>
        <v>29094</v>
      </c>
      <c r="K247" s="1907"/>
      <c r="L247" s="1871"/>
      <c r="M247" s="1885" t="s">
        <v>1879</v>
      </c>
    </row>
    <row r="248" spans="1:13" s="1853" customFormat="1">
      <c r="A248" s="1903"/>
      <c r="B248" s="1904" t="s">
        <v>375</v>
      </c>
      <c r="C248" s="1905" t="s">
        <v>1235</v>
      </c>
      <c r="D248" s="1909">
        <v>91</v>
      </c>
      <c r="E248" s="1910" t="s">
        <v>86</v>
      </c>
      <c r="F248" s="1906">
        <v>343</v>
      </c>
      <c r="G248" s="1906">
        <v>75</v>
      </c>
      <c r="H248" s="1906">
        <f>+F248*D248</f>
        <v>31213</v>
      </c>
      <c r="I248" s="1906">
        <f>+G248*D248</f>
        <v>6825</v>
      </c>
      <c r="J248" s="1906">
        <f>+H248+I248</f>
        <v>38038</v>
      </c>
      <c r="K248" s="1907"/>
      <c r="L248" s="1871"/>
      <c r="M248" s="1885" t="s">
        <v>1879</v>
      </c>
    </row>
    <row r="249" spans="1:13" s="1853" customFormat="1">
      <c r="A249" s="1903"/>
      <c r="B249" s="1904"/>
      <c r="C249" s="1905" t="s">
        <v>1199</v>
      </c>
      <c r="D249" s="1909">
        <v>3</v>
      </c>
      <c r="E249" s="1910" t="s">
        <v>5</v>
      </c>
      <c r="F249" s="1906">
        <v>500</v>
      </c>
      <c r="G249" s="1906">
        <v>100</v>
      </c>
      <c r="H249" s="1906">
        <f>+F249*D249</f>
        <v>1500</v>
      </c>
      <c r="I249" s="1906">
        <f>+G249*D249</f>
        <v>300</v>
      </c>
      <c r="J249" s="1906">
        <f>+H249+I249</f>
        <v>1800</v>
      </c>
      <c r="K249" s="1907"/>
      <c r="L249" s="1871"/>
      <c r="M249" s="1885" t="s">
        <v>1076</v>
      </c>
    </row>
    <row r="250" spans="1:13" s="1853" customFormat="1">
      <c r="A250" s="1897"/>
      <c r="B250" s="2388" t="s">
        <v>202</v>
      </c>
      <c r="C250" s="2388"/>
      <c r="D250" s="1898"/>
      <c r="E250" s="1899"/>
      <c r="F250" s="1900"/>
      <c r="G250" s="1900"/>
      <c r="H250" s="1900"/>
      <c r="I250" s="1900"/>
      <c r="J250" s="1900"/>
      <c r="K250" s="1901"/>
      <c r="L250" s="1871"/>
      <c r="M250" s="1902"/>
    </row>
    <row r="251" spans="1:13">
      <c r="A251" s="1903"/>
      <c r="B251" s="2386" t="s">
        <v>110</v>
      </c>
      <c r="C251" s="2386"/>
      <c r="D251" s="1909"/>
      <c r="E251" s="1910"/>
      <c r="F251" s="1906"/>
      <c r="G251" s="1906"/>
      <c r="H251" s="1906"/>
      <c r="I251" s="1906"/>
      <c r="J251" s="1906"/>
      <c r="K251" s="1907"/>
    </row>
    <row r="252" spans="1:13">
      <c r="A252" s="1903"/>
      <c r="B252" s="1904" t="s">
        <v>612</v>
      </c>
      <c r="C252" s="1905" t="s">
        <v>893</v>
      </c>
      <c r="D252" s="1909">
        <v>2</v>
      </c>
      <c r="E252" s="1910" t="s">
        <v>5</v>
      </c>
      <c r="F252" s="1900">
        <v>12306</v>
      </c>
      <c r="G252" s="1900">
        <v>450</v>
      </c>
      <c r="H252" s="1906">
        <f t="shared" ref="H252:H268" si="35">+F252*D252</f>
        <v>24612</v>
      </c>
      <c r="I252" s="1906">
        <f t="shared" ref="I252:I268" si="36">+G252*D252</f>
        <v>900</v>
      </c>
      <c r="J252" s="1906">
        <f t="shared" ref="J252:J268" si="37">+H252+I252</f>
        <v>25512</v>
      </c>
      <c r="K252" s="1907"/>
      <c r="M252" s="1952" t="s">
        <v>1926</v>
      </c>
    </row>
    <row r="253" spans="1:13">
      <c r="A253" s="1903"/>
      <c r="B253" s="1904" t="s">
        <v>604</v>
      </c>
      <c r="C253" s="1905" t="s">
        <v>990</v>
      </c>
      <c r="D253" s="1909">
        <v>3</v>
      </c>
      <c r="E253" s="1910" t="s">
        <v>5</v>
      </c>
      <c r="F253" s="1900">
        <v>22000</v>
      </c>
      <c r="G253" s="1900">
        <f>F253*0.3</f>
        <v>6600</v>
      </c>
      <c r="H253" s="1906">
        <f t="shared" si="35"/>
        <v>66000</v>
      </c>
      <c r="I253" s="1906">
        <f t="shared" si="36"/>
        <v>19800</v>
      </c>
      <c r="J253" s="1906">
        <f t="shared" si="37"/>
        <v>85800</v>
      </c>
      <c r="K253" s="1907"/>
      <c r="L253" s="2157" t="s">
        <v>1968</v>
      </c>
      <c r="M253" s="1952" t="s">
        <v>622</v>
      </c>
    </row>
    <row r="254" spans="1:13" s="1874" customFormat="1">
      <c r="A254" s="1903"/>
      <c r="B254" s="1904" t="s">
        <v>890</v>
      </c>
      <c r="C254" s="1905" t="s">
        <v>896</v>
      </c>
      <c r="D254" s="1909">
        <v>1</v>
      </c>
      <c r="E254" s="1910" t="s">
        <v>5</v>
      </c>
      <c r="F254" s="1900">
        <v>21100</v>
      </c>
      <c r="G254" s="1900">
        <v>1450</v>
      </c>
      <c r="H254" s="1906">
        <f t="shared" si="35"/>
        <v>21100</v>
      </c>
      <c r="I254" s="1906">
        <f t="shared" si="36"/>
        <v>1450</v>
      </c>
      <c r="J254" s="1906">
        <f t="shared" si="37"/>
        <v>22550</v>
      </c>
      <c r="K254" s="1907"/>
      <c r="L254" s="1907" t="s">
        <v>1941</v>
      </c>
      <c r="M254" s="1952" t="s">
        <v>1942</v>
      </c>
    </row>
    <row r="255" spans="1:13" s="1874" customFormat="1">
      <c r="A255" s="1903"/>
      <c r="B255" s="1904" t="s">
        <v>609</v>
      </c>
      <c r="C255" s="1905" t="s">
        <v>895</v>
      </c>
      <c r="D255" s="1909">
        <v>2</v>
      </c>
      <c r="E255" s="1910" t="s">
        <v>5</v>
      </c>
      <c r="F255" s="1906">
        <v>8713</v>
      </c>
      <c r="G255" s="1906">
        <v>450</v>
      </c>
      <c r="H255" s="1906">
        <f t="shared" si="35"/>
        <v>17426</v>
      </c>
      <c r="I255" s="1906">
        <f t="shared" si="36"/>
        <v>900</v>
      </c>
      <c r="J255" s="1906">
        <f t="shared" si="37"/>
        <v>18326</v>
      </c>
      <c r="K255" s="1907"/>
      <c r="L255" s="1907"/>
      <c r="M255" s="1952" t="s">
        <v>1926</v>
      </c>
    </row>
    <row r="256" spans="1:13" s="1874" customFormat="1">
      <c r="A256" s="1863"/>
      <c r="B256" s="1864"/>
      <c r="C256" s="1865"/>
      <c r="D256" s="1866"/>
      <c r="E256" s="1867"/>
      <c r="F256" s="1868"/>
      <c r="G256" s="1868"/>
      <c r="H256" s="1868"/>
      <c r="I256" s="1868"/>
      <c r="J256" s="1868"/>
      <c r="K256" s="1869"/>
      <c r="L256" s="1907"/>
      <c r="M256" s="1952"/>
    </row>
    <row r="257" spans="1:13" s="1874" customFormat="1">
      <c r="A257" s="1840"/>
      <c r="B257" s="1860"/>
      <c r="C257" s="2133" t="s">
        <v>133</v>
      </c>
      <c r="D257" s="2134"/>
      <c r="E257" s="2135"/>
      <c r="F257" s="2136"/>
      <c r="G257" s="2137"/>
      <c r="H257" s="2137"/>
      <c r="I257" s="2137"/>
      <c r="J257" s="2137"/>
      <c r="K257" s="2137"/>
      <c r="L257" s="1907"/>
      <c r="M257" s="1952"/>
    </row>
    <row r="258" spans="1:13" s="1874" customFormat="1">
      <c r="A258" s="1840"/>
      <c r="B258" s="2138"/>
      <c r="C258" s="2139" t="s">
        <v>1769</v>
      </c>
      <c r="D258" s="2140"/>
      <c r="E258" s="1861"/>
      <c r="F258" s="2135"/>
      <c r="G258" s="2139" t="s">
        <v>134</v>
      </c>
      <c r="H258" s="2138"/>
      <c r="I258" s="2138"/>
      <c r="J258" s="2138"/>
      <c r="K258" s="2138"/>
      <c r="L258" s="1907"/>
      <c r="M258" s="1952"/>
    </row>
    <row r="259" spans="1:13" s="1874" customFormat="1">
      <c r="A259" s="1840"/>
      <c r="B259" s="1871"/>
      <c r="C259" s="2141" t="s">
        <v>1970</v>
      </c>
      <c r="D259" s="2140"/>
      <c r="E259" s="2142"/>
      <c r="F259" s="2143"/>
      <c r="G259" s="2144" t="s">
        <v>1971</v>
      </c>
      <c r="H259" s="2145"/>
      <c r="I259" s="2145"/>
      <c r="J259" s="2145"/>
      <c r="K259" s="2145"/>
      <c r="L259" s="1907"/>
      <c r="M259" s="1952"/>
    </row>
    <row r="260" spans="1:13" s="1874" customFormat="1">
      <c r="A260" s="1837"/>
      <c r="B260" s="2138"/>
      <c r="C260" s="2139" t="s">
        <v>2031</v>
      </c>
      <c r="D260" s="2140"/>
      <c r="E260" s="1837"/>
      <c r="F260" s="2146"/>
      <c r="G260" s="2139" t="s">
        <v>2031</v>
      </c>
      <c r="H260" s="1837"/>
      <c r="I260" s="1837"/>
      <c r="J260" s="1837"/>
      <c r="K260" s="1837"/>
      <c r="L260" s="1907"/>
      <c r="M260" s="1952"/>
    </row>
    <row r="261" spans="1:13" s="1874" customFormat="1">
      <c r="A261" s="1952"/>
      <c r="B261" s="1871"/>
      <c r="C261" s="2147" t="s">
        <v>1984</v>
      </c>
      <c r="D261" s="2140"/>
      <c r="E261" s="1837"/>
      <c r="F261" s="2135"/>
      <c r="G261" s="2147" t="s">
        <v>1985</v>
      </c>
      <c r="H261" s="1952"/>
      <c r="I261" s="1952"/>
      <c r="J261" s="1952"/>
      <c r="K261" s="1952"/>
      <c r="L261" s="1907"/>
      <c r="M261" s="1952"/>
    </row>
    <row r="262" spans="1:13" s="1874" customFormat="1">
      <c r="A262" s="1952"/>
      <c r="B262" s="1952"/>
      <c r="C262" s="2139" t="s">
        <v>670</v>
      </c>
      <c r="D262" s="2139"/>
      <c r="E262" s="2143"/>
      <c r="F262" s="2143"/>
      <c r="G262" s="1952"/>
      <c r="H262" s="1952"/>
      <c r="I262" s="1952"/>
      <c r="J262" s="1952"/>
      <c r="K262" s="1952"/>
      <c r="L262" s="1907"/>
      <c r="M262" s="1952"/>
    </row>
    <row r="263" spans="1:13" s="1874" customFormat="1">
      <c r="A263" s="1840"/>
      <c r="B263" s="1840"/>
      <c r="C263" s="2147" t="s">
        <v>1972</v>
      </c>
      <c r="D263" s="2147"/>
      <c r="E263" s="2146"/>
      <c r="F263" s="2146"/>
      <c r="G263" s="1870"/>
      <c r="H263" s="1870"/>
      <c r="I263" s="1870"/>
      <c r="J263" s="1870"/>
      <c r="K263" s="1871"/>
      <c r="L263" s="1907"/>
      <c r="M263" s="1952"/>
    </row>
    <row r="264" spans="1:13" s="1853" customFormat="1">
      <c r="A264" s="1903"/>
      <c r="B264" s="1904" t="s">
        <v>605</v>
      </c>
      <c r="C264" s="1905" t="s">
        <v>904</v>
      </c>
      <c r="D264" s="1898">
        <v>1</v>
      </c>
      <c r="E264" s="1899" t="s">
        <v>5</v>
      </c>
      <c r="F264" s="1900">
        <v>306500</v>
      </c>
      <c r="G264" s="1900">
        <v>16500</v>
      </c>
      <c r="H264" s="1906">
        <f t="shared" si="35"/>
        <v>306500</v>
      </c>
      <c r="I264" s="1906">
        <f t="shared" si="36"/>
        <v>16500</v>
      </c>
      <c r="J264" s="1906">
        <f t="shared" si="37"/>
        <v>323000</v>
      </c>
      <c r="K264" s="1907"/>
      <c r="L264" s="1907" t="s">
        <v>1919</v>
      </c>
      <c r="M264" s="1952" t="s">
        <v>622</v>
      </c>
    </row>
    <row r="265" spans="1:13">
      <c r="A265" s="1903"/>
      <c r="B265" s="1904" t="s">
        <v>606</v>
      </c>
      <c r="C265" s="1905" t="s">
        <v>905</v>
      </c>
      <c r="D265" s="1898">
        <v>4</v>
      </c>
      <c r="E265" s="1899" t="s">
        <v>5</v>
      </c>
      <c r="F265" s="1900">
        <v>67400</v>
      </c>
      <c r="G265" s="1900">
        <v>2600</v>
      </c>
      <c r="H265" s="1906">
        <f t="shared" si="35"/>
        <v>269600</v>
      </c>
      <c r="I265" s="1906">
        <f t="shared" si="36"/>
        <v>10400</v>
      </c>
      <c r="J265" s="1906">
        <f t="shared" si="37"/>
        <v>280000</v>
      </c>
      <c r="K265" s="1907"/>
      <c r="L265" s="1907" t="s">
        <v>1919</v>
      </c>
      <c r="M265" s="1952" t="s">
        <v>622</v>
      </c>
    </row>
    <row r="266" spans="1:13">
      <c r="A266" s="1903"/>
      <c r="B266" s="1904" t="s">
        <v>902</v>
      </c>
      <c r="C266" s="1905" t="s">
        <v>906</v>
      </c>
      <c r="D266" s="1898">
        <v>9</v>
      </c>
      <c r="E266" s="1899" t="s">
        <v>5</v>
      </c>
      <c r="F266" s="1900">
        <v>19000</v>
      </c>
      <c r="G266" s="1900">
        <v>1500</v>
      </c>
      <c r="H266" s="1906">
        <f t="shared" si="35"/>
        <v>171000</v>
      </c>
      <c r="I266" s="1906">
        <f t="shared" si="36"/>
        <v>13500</v>
      </c>
      <c r="J266" s="1906">
        <f t="shared" si="37"/>
        <v>184500</v>
      </c>
      <c r="K266" s="1907"/>
      <c r="L266" s="1907" t="s">
        <v>1919</v>
      </c>
      <c r="M266" s="1952" t="s">
        <v>622</v>
      </c>
    </row>
    <row r="267" spans="1:13" s="1853" customFormat="1">
      <c r="A267" s="1903"/>
      <c r="B267" s="1904" t="s">
        <v>903</v>
      </c>
      <c r="C267" s="1905" t="s">
        <v>907</v>
      </c>
      <c r="D267" s="1898">
        <v>1</v>
      </c>
      <c r="E267" s="1899" t="s">
        <v>5</v>
      </c>
      <c r="F267" s="1900">
        <v>42100</v>
      </c>
      <c r="G267" s="1900">
        <f>F267*0.3</f>
        <v>12630</v>
      </c>
      <c r="H267" s="1906">
        <f t="shared" si="35"/>
        <v>42100</v>
      </c>
      <c r="I267" s="1906">
        <f t="shared" si="36"/>
        <v>12630</v>
      </c>
      <c r="J267" s="1906">
        <f t="shared" si="37"/>
        <v>54730</v>
      </c>
      <c r="K267" s="1907"/>
      <c r="L267" s="1907" t="s">
        <v>1919</v>
      </c>
      <c r="M267" s="1952" t="s">
        <v>622</v>
      </c>
    </row>
    <row r="268" spans="1:13" s="1853" customFormat="1">
      <c r="A268" s="1903"/>
      <c r="B268" s="1904" t="s">
        <v>1044</v>
      </c>
      <c r="C268" s="1905" t="s">
        <v>1045</v>
      </c>
      <c r="D268" s="1898">
        <v>1</v>
      </c>
      <c r="E268" s="1899" t="s">
        <v>5</v>
      </c>
      <c r="F268" s="1900">
        <v>5240</v>
      </c>
      <c r="G268" s="1900">
        <v>450</v>
      </c>
      <c r="H268" s="1906">
        <f t="shared" si="35"/>
        <v>5240</v>
      </c>
      <c r="I268" s="1906">
        <f t="shared" si="36"/>
        <v>450</v>
      </c>
      <c r="J268" s="1906">
        <f t="shared" si="37"/>
        <v>5690</v>
      </c>
      <c r="K268" s="1907"/>
      <c r="L268" s="1871"/>
      <c r="M268" s="1952" t="s">
        <v>1926</v>
      </c>
    </row>
    <row r="269" spans="1:13" s="1853" customFormat="1">
      <c r="A269" s="1903"/>
      <c r="B269" s="2386" t="s">
        <v>111</v>
      </c>
      <c r="C269" s="2386"/>
      <c r="D269" s="1898"/>
      <c r="E269" s="1899"/>
      <c r="F269" s="1900"/>
      <c r="G269" s="1900"/>
      <c r="H269" s="1906"/>
      <c r="I269" s="1906"/>
      <c r="J269" s="1906"/>
      <c r="K269" s="1907"/>
      <c r="L269" s="1871"/>
      <c r="M269" s="1902"/>
    </row>
    <row r="270" spans="1:13">
      <c r="A270" s="1903"/>
      <c r="B270" s="1904" t="s">
        <v>908</v>
      </c>
      <c r="C270" s="1905" t="s">
        <v>899</v>
      </c>
      <c r="D270" s="1898">
        <v>5</v>
      </c>
      <c r="E270" s="1899" t="s">
        <v>5</v>
      </c>
      <c r="F270" s="1906">
        <v>28900</v>
      </c>
      <c r="G270" s="1906">
        <f t="shared" ref="G270:G279" si="38">F270*0.3</f>
        <v>8670</v>
      </c>
      <c r="H270" s="1906">
        <f t="shared" ref="H270:H279" si="39">+F270*D270</f>
        <v>144500</v>
      </c>
      <c r="I270" s="1906">
        <f t="shared" ref="I270:I279" si="40">+G270*D270</f>
        <v>43350</v>
      </c>
      <c r="J270" s="1906">
        <f t="shared" ref="J270:J279" si="41">+H270+I270</f>
        <v>187850</v>
      </c>
      <c r="K270" s="1907"/>
      <c r="L270" s="1907" t="s">
        <v>1935</v>
      </c>
      <c r="M270" s="1952" t="s">
        <v>622</v>
      </c>
    </row>
    <row r="271" spans="1:13">
      <c r="A271" s="1903"/>
      <c r="B271" s="1904" t="s">
        <v>1077</v>
      </c>
      <c r="C271" s="1905" t="s">
        <v>898</v>
      </c>
      <c r="D271" s="1909">
        <v>1</v>
      </c>
      <c r="E271" s="1910" t="s">
        <v>5</v>
      </c>
      <c r="F271" s="1906">
        <v>23100</v>
      </c>
      <c r="G271" s="1906">
        <f t="shared" si="38"/>
        <v>6930</v>
      </c>
      <c r="H271" s="1906">
        <f t="shared" si="39"/>
        <v>23100</v>
      </c>
      <c r="I271" s="1906">
        <f t="shared" si="40"/>
        <v>6930</v>
      </c>
      <c r="J271" s="1906">
        <f t="shared" si="41"/>
        <v>30030</v>
      </c>
      <c r="K271" s="1907"/>
      <c r="L271" s="1907" t="s">
        <v>1935</v>
      </c>
      <c r="M271" s="1952" t="s">
        <v>622</v>
      </c>
    </row>
    <row r="272" spans="1:13">
      <c r="A272" s="1903"/>
      <c r="B272" s="1904" t="s">
        <v>897</v>
      </c>
      <c r="C272" s="1905" t="s">
        <v>901</v>
      </c>
      <c r="D272" s="1909">
        <v>2</v>
      </c>
      <c r="E272" s="1910" t="s">
        <v>5</v>
      </c>
      <c r="F272" s="1906">
        <v>5715</v>
      </c>
      <c r="G272" s="1906">
        <f t="shared" si="38"/>
        <v>1714.5</v>
      </c>
      <c r="H272" s="1906">
        <f t="shared" si="39"/>
        <v>11430</v>
      </c>
      <c r="I272" s="1906">
        <f t="shared" si="40"/>
        <v>3429</v>
      </c>
      <c r="J272" s="1906">
        <f t="shared" si="41"/>
        <v>14859</v>
      </c>
      <c r="K272" s="1907"/>
      <c r="L272" s="1907"/>
      <c r="M272" s="1952" t="s">
        <v>622</v>
      </c>
    </row>
    <row r="273" spans="1:14">
      <c r="A273" s="1903"/>
      <c r="B273" s="1904" t="s">
        <v>370</v>
      </c>
      <c r="C273" s="1905" t="s">
        <v>913</v>
      </c>
      <c r="D273" s="1909">
        <v>1</v>
      </c>
      <c r="E273" s="1910" t="s">
        <v>5</v>
      </c>
      <c r="F273" s="1906">
        <v>11100</v>
      </c>
      <c r="G273" s="1906">
        <f t="shared" si="38"/>
        <v>3330</v>
      </c>
      <c r="H273" s="1906">
        <f t="shared" si="39"/>
        <v>11100</v>
      </c>
      <c r="I273" s="1906">
        <f t="shared" si="40"/>
        <v>3330</v>
      </c>
      <c r="J273" s="1906">
        <f t="shared" si="41"/>
        <v>14430</v>
      </c>
      <c r="K273" s="1907"/>
      <c r="L273" s="1907" t="s">
        <v>1935</v>
      </c>
      <c r="M273" s="1952" t="s">
        <v>622</v>
      </c>
    </row>
    <row r="274" spans="1:14">
      <c r="A274" s="1903"/>
      <c r="B274" s="1904" t="s">
        <v>371</v>
      </c>
      <c r="C274" s="1905" t="s">
        <v>914</v>
      </c>
      <c r="D274" s="1909">
        <v>6</v>
      </c>
      <c r="E274" s="1910" t="s">
        <v>5</v>
      </c>
      <c r="F274" s="1906">
        <v>46000</v>
      </c>
      <c r="G274" s="1906">
        <f t="shared" si="38"/>
        <v>13800</v>
      </c>
      <c r="H274" s="1906">
        <f t="shared" si="39"/>
        <v>276000</v>
      </c>
      <c r="I274" s="1906">
        <f t="shared" si="40"/>
        <v>82800</v>
      </c>
      <c r="J274" s="1906">
        <f t="shared" si="41"/>
        <v>358800</v>
      </c>
      <c r="K274" s="1907"/>
      <c r="L274" s="1907" t="s">
        <v>1935</v>
      </c>
      <c r="M274" s="1952" t="s">
        <v>622</v>
      </c>
    </row>
    <row r="275" spans="1:14">
      <c r="A275" s="1903"/>
      <c r="B275" s="1904" t="s">
        <v>8</v>
      </c>
      <c r="C275" s="1905" t="s">
        <v>914</v>
      </c>
      <c r="D275" s="1909">
        <v>1</v>
      </c>
      <c r="E275" s="1910" t="s">
        <v>5</v>
      </c>
      <c r="F275" s="1906">
        <v>52100</v>
      </c>
      <c r="G275" s="1906">
        <f t="shared" si="38"/>
        <v>15630</v>
      </c>
      <c r="H275" s="1906">
        <f t="shared" si="39"/>
        <v>52100</v>
      </c>
      <c r="I275" s="1906">
        <f t="shared" si="40"/>
        <v>15630</v>
      </c>
      <c r="J275" s="1906">
        <f t="shared" si="41"/>
        <v>67730</v>
      </c>
      <c r="K275" s="1907"/>
      <c r="L275" s="1907" t="s">
        <v>1935</v>
      </c>
      <c r="M275" s="1952" t="s">
        <v>622</v>
      </c>
    </row>
    <row r="276" spans="1:14">
      <c r="A276" s="1903"/>
      <c r="B276" s="1904" t="s">
        <v>909</v>
      </c>
      <c r="C276" s="1905" t="s">
        <v>915</v>
      </c>
      <c r="D276" s="1909">
        <v>1</v>
      </c>
      <c r="E276" s="1910" t="s">
        <v>5</v>
      </c>
      <c r="F276" s="1906">
        <v>18300</v>
      </c>
      <c r="G276" s="1906">
        <f t="shared" si="38"/>
        <v>5490</v>
      </c>
      <c r="H276" s="1906">
        <f t="shared" si="39"/>
        <v>18300</v>
      </c>
      <c r="I276" s="1906">
        <f t="shared" si="40"/>
        <v>5490</v>
      </c>
      <c r="J276" s="1906">
        <f t="shared" si="41"/>
        <v>23790</v>
      </c>
      <c r="K276" s="1907"/>
      <c r="L276" s="1907" t="s">
        <v>1935</v>
      </c>
      <c r="M276" s="1952" t="s">
        <v>622</v>
      </c>
    </row>
    <row r="277" spans="1:14">
      <c r="A277" s="1903"/>
      <c r="B277" s="1904" t="s">
        <v>910</v>
      </c>
      <c r="C277" s="1905" t="s">
        <v>898</v>
      </c>
      <c r="D277" s="1909">
        <v>1</v>
      </c>
      <c r="E277" s="1910" t="s">
        <v>5</v>
      </c>
      <c r="F277" s="1906">
        <v>83700</v>
      </c>
      <c r="G277" s="1906">
        <f t="shared" si="38"/>
        <v>25110</v>
      </c>
      <c r="H277" s="1906">
        <f t="shared" si="39"/>
        <v>83700</v>
      </c>
      <c r="I277" s="1906">
        <f t="shared" si="40"/>
        <v>25110</v>
      </c>
      <c r="J277" s="1906">
        <f t="shared" si="41"/>
        <v>108810</v>
      </c>
      <c r="K277" s="1907"/>
      <c r="L277" s="1907" t="s">
        <v>1935</v>
      </c>
      <c r="M277" s="1952" t="s">
        <v>622</v>
      </c>
    </row>
    <row r="278" spans="1:14">
      <c r="A278" s="1903"/>
      <c r="B278" s="1904" t="s">
        <v>393</v>
      </c>
      <c r="C278" s="1905" t="s">
        <v>898</v>
      </c>
      <c r="D278" s="1909">
        <v>1</v>
      </c>
      <c r="E278" s="1910" t="s">
        <v>5</v>
      </c>
      <c r="F278" s="1906">
        <v>187380</v>
      </c>
      <c r="G278" s="1906">
        <f t="shared" si="38"/>
        <v>56214</v>
      </c>
      <c r="H278" s="1906">
        <f t="shared" si="39"/>
        <v>187380</v>
      </c>
      <c r="I278" s="1906">
        <f t="shared" si="40"/>
        <v>56214</v>
      </c>
      <c r="J278" s="1906">
        <f t="shared" si="41"/>
        <v>243594</v>
      </c>
      <c r="K278" s="1907"/>
      <c r="L278" s="1907" t="s">
        <v>1935</v>
      </c>
      <c r="M278" s="1952" t="s">
        <v>622</v>
      </c>
    </row>
    <row r="279" spans="1:14">
      <c r="A279" s="1903"/>
      <c r="B279" s="1904" t="s">
        <v>911</v>
      </c>
      <c r="C279" s="1905" t="s">
        <v>900</v>
      </c>
      <c r="D279" s="1909">
        <v>3</v>
      </c>
      <c r="E279" s="1910" t="s">
        <v>5</v>
      </c>
      <c r="F279" s="1906">
        <v>10400</v>
      </c>
      <c r="G279" s="1906">
        <f t="shared" si="38"/>
        <v>3120</v>
      </c>
      <c r="H279" s="1906">
        <f t="shared" si="39"/>
        <v>31200</v>
      </c>
      <c r="I279" s="1906">
        <f t="shared" si="40"/>
        <v>9360</v>
      </c>
      <c r="J279" s="1906">
        <f t="shared" si="41"/>
        <v>40560</v>
      </c>
      <c r="K279" s="1907"/>
      <c r="L279" s="1907" t="s">
        <v>1935</v>
      </c>
      <c r="M279" s="1952" t="s">
        <v>622</v>
      </c>
    </row>
    <row r="280" spans="1:14">
      <c r="A280" s="1903"/>
      <c r="B280" s="2386" t="s">
        <v>203</v>
      </c>
      <c r="C280" s="2386"/>
      <c r="D280" s="1909"/>
      <c r="E280" s="1910"/>
      <c r="F280" s="1906"/>
      <c r="G280" s="1906"/>
      <c r="H280" s="1906"/>
      <c r="I280" s="1906"/>
      <c r="J280" s="1906"/>
      <c r="K280" s="1907"/>
    </row>
    <row r="281" spans="1:14">
      <c r="A281" s="1953"/>
      <c r="B281" s="1954"/>
      <c r="C281" s="1955" t="s">
        <v>865</v>
      </c>
      <c r="D281" s="1956">
        <v>9</v>
      </c>
      <c r="E281" s="1957" t="s">
        <v>5</v>
      </c>
      <c r="F281" s="1958">
        <v>4850</v>
      </c>
      <c r="G281" s="1959">
        <v>450</v>
      </c>
      <c r="H281" s="1958">
        <f t="shared" ref="H281:H307" si="42">F281*D281</f>
        <v>43650</v>
      </c>
      <c r="I281" s="1958">
        <f t="shared" ref="I281:I307" si="43">G281*D281</f>
        <v>4050</v>
      </c>
      <c r="J281" s="1958">
        <f t="shared" ref="J281:J307" si="44">SUM(H281:I281)</f>
        <v>47700</v>
      </c>
      <c r="K281" s="1907"/>
      <c r="L281" s="1976"/>
      <c r="M281" s="1885" t="s">
        <v>1879</v>
      </c>
      <c r="N281" s="1861"/>
    </row>
    <row r="282" spans="1:14">
      <c r="A282" s="1903"/>
      <c r="B282" s="1904"/>
      <c r="C282" s="1905" t="s">
        <v>866</v>
      </c>
      <c r="D282" s="1909">
        <f>D281</f>
        <v>9</v>
      </c>
      <c r="E282" s="1910" t="s">
        <v>5</v>
      </c>
      <c r="F282" s="1906">
        <v>120</v>
      </c>
      <c r="G282" s="1906">
        <v>0</v>
      </c>
      <c r="H282" s="1906">
        <f t="shared" si="42"/>
        <v>1080</v>
      </c>
      <c r="I282" s="1906">
        <f t="shared" si="43"/>
        <v>0</v>
      </c>
      <c r="J282" s="1906">
        <f t="shared" si="44"/>
        <v>1080</v>
      </c>
      <c r="K282" s="1907"/>
      <c r="L282" s="1907"/>
      <c r="M282" s="1952" t="s">
        <v>1879</v>
      </c>
    </row>
    <row r="283" spans="1:14" s="1872" customFormat="1">
      <c r="A283" s="1960"/>
      <c r="B283" s="1961"/>
      <c r="C283" s="1962" t="s">
        <v>867</v>
      </c>
      <c r="D283" s="1950">
        <f>D281</f>
        <v>9</v>
      </c>
      <c r="E283" s="1898" t="s">
        <v>5</v>
      </c>
      <c r="F283" s="1963">
        <v>80</v>
      </c>
      <c r="G283" s="1964">
        <v>35</v>
      </c>
      <c r="H283" s="1964">
        <f t="shared" si="42"/>
        <v>720</v>
      </c>
      <c r="I283" s="1964">
        <f t="shared" si="43"/>
        <v>315</v>
      </c>
      <c r="J283" s="1964">
        <f t="shared" si="44"/>
        <v>1035</v>
      </c>
      <c r="K283" s="1907"/>
      <c r="M283" s="1885" t="s">
        <v>1879</v>
      </c>
    </row>
    <row r="284" spans="1:14" s="1872" customFormat="1">
      <c r="A284" s="1965"/>
      <c r="B284" s="1966"/>
      <c r="C284" s="1967" t="s">
        <v>879</v>
      </c>
      <c r="D284" s="1909">
        <v>1</v>
      </c>
      <c r="E284" s="1968" t="s">
        <v>5</v>
      </c>
      <c r="F284" s="1969">
        <v>7690</v>
      </c>
      <c r="G284" s="1970">
        <v>450</v>
      </c>
      <c r="H284" s="1969">
        <f t="shared" si="42"/>
        <v>7690</v>
      </c>
      <c r="I284" s="1969">
        <f t="shared" si="43"/>
        <v>450</v>
      </c>
      <c r="J284" s="1969">
        <f t="shared" si="44"/>
        <v>8140</v>
      </c>
      <c r="K284" s="1907"/>
      <c r="L284" s="1971" t="s">
        <v>1899</v>
      </c>
      <c r="M284" s="1952" t="s">
        <v>1907</v>
      </c>
    </row>
    <row r="285" spans="1:14" s="1976" customFormat="1">
      <c r="A285" s="1972"/>
      <c r="B285" s="1973"/>
      <c r="C285" s="1974" t="s">
        <v>866</v>
      </c>
      <c r="D285" s="1930">
        <f>D284</f>
        <v>1</v>
      </c>
      <c r="E285" s="1909" t="s">
        <v>5</v>
      </c>
      <c r="F285" s="1968">
        <v>120</v>
      </c>
      <c r="G285" s="1975">
        <v>0</v>
      </c>
      <c r="H285" s="1975">
        <f t="shared" si="42"/>
        <v>120</v>
      </c>
      <c r="I285" s="1975">
        <f t="shared" si="43"/>
        <v>0</v>
      </c>
      <c r="J285" s="1975">
        <f t="shared" si="44"/>
        <v>120</v>
      </c>
      <c r="K285" s="1907"/>
      <c r="L285" s="1872"/>
      <c r="M285" s="1885" t="s">
        <v>1879</v>
      </c>
    </row>
    <row r="286" spans="1:14" s="1872" customFormat="1">
      <c r="A286" s="1972"/>
      <c r="B286" s="1973"/>
      <c r="C286" s="1974" t="s">
        <v>867</v>
      </c>
      <c r="D286" s="1930">
        <f>D284</f>
        <v>1</v>
      </c>
      <c r="E286" s="1909" t="s">
        <v>5</v>
      </c>
      <c r="F286" s="1968">
        <v>80</v>
      </c>
      <c r="G286" s="1975">
        <v>35</v>
      </c>
      <c r="H286" s="1975">
        <f t="shared" si="42"/>
        <v>80</v>
      </c>
      <c r="I286" s="1975">
        <f t="shared" si="43"/>
        <v>35</v>
      </c>
      <c r="J286" s="1975">
        <f t="shared" si="44"/>
        <v>115</v>
      </c>
      <c r="K286" s="1977"/>
      <c r="M286" s="1885" t="s">
        <v>1879</v>
      </c>
    </row>
    <row r="287" spans="1:14" s="1872" customFormat="1">
      <c r="A287" s="1863"/>
      <c r="B287" s="1864"/>
      <c r="C287" s="1865"/>
      <c r="D287" s="1866"/>
      <c r="E287" s="1867"/>
      <c r="F287" s="1868"/>
      <c r="G287" s="1868"/>
      <c r="H287" s="1868"/>
      <c r="I287" s="1868"/>
      <c r="J287" s="1868"/>
      <c r="K287" s="1869"/>
      <c r="M287" s="1885"/>
    </row>
    <row r="288" spans="1:14" s="1872" customFormat="1">
      <c r="A288" s="1840"/>
      <c r="B288" s="1860"/>
      <c r="C288" s="2133" t="s">
        <v>133</v>
      </c>
      <c r="D288" s="2134"/>
      <c r="E288" s="2135"/>
      <c r="F288" s="2136"/>
      <c r="G288" s="2137"/>
      <c r="H288" s="2137"/>
      <c r="I288" s="2137"/>
      <c r="J288" s="2137"/>
      <c r="K288" s="2137"/>
      <c r="M288" s="1885"/>
    </row>
    <row r="289" spans="1:13" s="1872" customFormat="1">
      <c r="A289" s="1840"/>
      <c r="B289" s="2138"/>
      <c r="C289" s="2139" t="s">
        <v>1769</v>
      </c>
      <c r="D289" s="2140"/>
      <c r="E289" s="1861"/>
      <c r="F289" s="2135"/>
      <c r="G289" s="2139" t="s">
        <v>134</v>
      </c>
      <c r="H289" s="2138"/>
      <c r="I289" s="2138"/>
      <c r="J289" s="2138"/>
      <c r="K289" s="2138"/>
      <c r="M289" s="1885"/>
    </row>
    <row r="290" spans="1:13" s="1872" customFormat="1">
      <c r="A290" s="1840"/>
      <c r="B290" s="1871"/>
      <c r="C290" s="2141" t="s">
        <v>1970</v>
      </c>
      <c r="D290" s="2140"/>
      <c r="E290" s="2142"/>
      <c r="F290" s="2143"/>
      <c r="G290" s="2144" t="s">
        <v>1971</v>
      </c>
      <c r="H290" s="2145"/>
      <c r="I290" s="2145"/>
      <c r="J290" s="2145"/>
      <c r="K290" s="2145"/>
      <c r="M290" s="1885"/>
    </row>
    <row r="291" spans="1:13" s="1872" customFormat="1">
      <c r="A291" s="1837"/>
      <c r="B291" s="2138"/>
      <c r="C291" s="2139" t="s">
        <v>2031</v>
      </c>
      <c r="D291" s="2140"/>
      <c r="E291" s="1837"/>
      <c r="F291" s="2146"/>
      <c r="G291" s="2139" t="s">
        <v>2031</v>
      </c>
      <c r="H291" s="1837"/>
      <c r="I291" s="1837"/>
      <c r="J291" s="1837"/>
      <c r="K291" s="1837"/>
      <c r="M291" s="1885"/>
    </row>
    <row r="292" spans="1:13" s="1872" customFormat="1">
      <c r="A292" s="1952"/>
      <c r="B292" s="1871"/>
      <c r="C292" s="2147" t="s">
        <v>1984</v>
      </c>
      <c r="D292" s="2140"/>
      <c r="E292" s="1837"/>
      <c r="F292" s="2135"/>
      <c r="G292" s="2147" t="s">
        <v>1985</v>
      </c>
      <c r="H292" s="1952"/>
      <c r="I292" s="1952"/>
      <c r="J292" s="1952"/>
      <c r="K292" s="1952"/>
      <c r="M292" s="1885"/>
    </row>
    <row r="293" spans="1:13" s="1872" customFormat="1">
      <c r="A293" s="1952"/>
      <c r="B293" s="1952"/>
      <c r="C293" s="2139" t="s">
        <v>670</v>
      </c>
      <c r="D293" s="2139"/>
      <c r="E293" s="2143"/>
      <c r="F293" s="2143"/>
      <c r="G293" s="1952"/>
      <c r="H293" s="1952"/>
      <c r="I293" s="1952"/>
      <c r="J293" s="1952"/>
      <c r="K293" s="1952"/>
      <c r="M293" s="1885"/>
    </row>
    <row r="294" spans="1:13" s="1872" customFormat="1">
      <c r="A294" s="1840"/>
      <c r="B294" s="1840"/>
      <c r="C294" s="2147" t="s">
        <v>1972</v>
      </c>
      <c r="D294" s="2147"/>
      <c r="E294" s="2146"/>
      <c r="F294" s="2146"/>
      <c r="G294" s="1870"/>
      <c r="H294" s="1870"/>
      <c r="I294" s="1870"/>
      <c r="J294" s="1870"/>
      <c r="K294" s="1871"/>
      <c r="M294" s="1885"/>
    </row>
    <row r="295" spans="1:13" s="1872" customFormat="1">
      <c r="A295" s="1965"/>
      <c r="B295" s="1966"/>
      <c r="C295" s="1974" t="s">
        <v>868</v>
      </c>
      <c r="D295" s="1930">
        <v>4</v>
      </c>
      <c r="E295" s="1909" t="s">
        <v>5</v>
      </c>
      <c r="F295" s="1968">
        <v>5500</v>
      </c>
      <c r="G295" s="1975">
        <v>450</v>
      </c>
      <c r="H295" s="1969">
        <f t="shared" si="42"/>
        <v>22000</v>
      </c>
      <c r="I295" s="1969">
        <f t="shared" si="43"/>
        <v>1800</v>
      </c>
      <c r="J295" s="1969">
        <f t="shared" si="44"/>
        <v>23800</v>
      </c>
      <c r="K295" s="1978"/>
      <c r="L295" s="1976"/>
      <c r="M295" s="1885" t="s">
        <v>1879</v>
      </c>
    </row>
    <row r="296" spans="1:13" s="1872" customFormat="1">
      <c r="A296" s="1972"/>
      <c r="B296" s="1973"/>
      <c r="C296" s="1974" t="s">
        <v>869</v>
      </c>
      <c r="D296" s="1930">
        <v>8</v>
      </c>
      <c r="E296" s="1909" t="s">
        <v>5</v>
      </c>
      <c r="F296" s="1968">
        <v>3500</v>
      </c>
      <c r="G296" s="1975">
        <v>450</v>
      </c>
      <c r="H296" s="1975">
        <f t="shared" si="42"/>
        <v>28000</v>
      </c>
      <c r="I296" s="1975">
        <f t="shared" si="43"/>
        <v>3600</v>
      </c>
      <c r="J296" s="1975">
        <f t="shared" si="44"/>
        <v>31600</v>
      </c>
      <c r="K296" s="1977"/>
      <c r="M296" s="1885" t="s">
        <v>1879</v>
      </c>
    </row>
    <row r="297" spans="1:13" s="1872" customFormat="1">
      <c r="A297" s="1972"/>
      <c r="B297" s="1973"/>
      <c r="C297" s="1974" t="s">
        <v>870</v>
      </c>
      <c r="D297" s="1930">
        <f>D296</f>
        <v>8</v>
      </c>
      <c r="E297" s="1909" t="s">
        <v>5</v>
      </c>
      <c r="F297" s="1968">
        <v>900</v>
      </c>
      <c r="G297" s="1975">
        <v>150</v>
      </c>
      <c r="H297" s="1975">
        <f t="shared" si="42"/>
        <v>7200</v>
      </c>
      <c r="I297" s="1975">
        <f t="shared" si="43"/>
        <v>1200</v>
      </c>
      <c r="J297" s="1975">
        <f t="shared" si="44"/>
        <v>8400</v>
      </c>
      <c r="K297" s="1977"/>
      <c r="M297" s="1885" t="s">
        <v>1879</v>
      </c>
    </row>
    <row r="298" spans="1:13" s="1872" customFormat="1">
      <c r="A298" s="1972"/>
      <c r="B298" s="1973"/>
      <c r="C298" s="1974" t="s">
        <v>871</v>
      </c>
      <c r="D298" s="1930">
        <f>D296</f>
        <v>8</v>
      </c>
      <c r="E298" s="1909" t="s">
        <v>5</v>
      </c>
      <c r="F298" s="1963">
        <v>210</v>
      </c>
      <c r="G298" s="1975">
        <v>0</v>
      </c>
      <c r="H298" s="1975">
        <f t="shared" si="42"/>
        <v>1680</v>
      </c>
      <c r="I298" s="1975">
        <f t="shared" si="43"/>
        <v>0</v>
      </c>
      <c r="J298" s="1975">
        <f t="shared" si="44"/>
        <v>1680</v>
      </c>
      <c r="K298" s="1977"/>
      <c r="M298" s="1885" t="s">
        <v>1879</v>
      </c>
    </row>
    <row r="299" spans="1:13" s="1872" customFormat="1">
      <c r="A299" s="1972"/>
      <c r="B299" s="1973"/>
      <c r="C299" s="1974" t="s">
        <v>872</v>
      </c>
      <c r="D299" s="1930">
        <f>D296</f>
        <v>8</v>
      </c>
      <c r="E299" s="1909" t="s">
        <v>5</v>
      </c>
      <c r="F299" s="1968">
        <v>310</v>
      </c>
      <c r="G299" s="1975">
        <v>0</v>
      </c>
      <c r="H299" s="1975">
        <f t="shared" si="42"/>
        <v>2480</v>
      </c>
      <c r="I299" s="1975">
        <f t="shared" si="43"/>
        <v>0</v>
      </c>
      <c r="J299" s="1975">
        <f t="shared" si="44"/>
        <v>2480</v>
      </c>
      <c r="K299" s="1977"/>
      <c r="M299" s="1885" t="s">
        <v>1879</v>
      </c>
    </row>
    <row r="300" spans="1:13" s="1872" customFormat="1">
      <c r="A300" s="1972"/>
      <c r="B300" s="1973"/>
      <c r="C300" s="1974" t="s">
        <v>873</v>
      </c>
      <c r="D300" s="1930">
        <f>D296</f>
        <v>8</v>
      </c>
      <c r="E300" s="1909" t="s">
        <v>5</v>
      </c>
      <c r="F300" s="1968">
        <v>120</v>
      </c>
      <c r="G300" s="1975">
        <v>0</v>
      </c>
      <c r="H300" s="1975">
        <f t="shared" si="42"/>
        <v>960</v>
      </c>
      <c r="I300" s="1975">
        <f t="shared" si="43"/>
        <v>0</v>
      </c>
      <c r="J300" s="1975">
        <f t="shared" si="44"/>
        <v>960</v>
      </c>
      <c r="K300" s="1977"/>
      <c r="M300" s="1885" t="s">
        <v>1879</v>
      </c>
    </row>
    <row r="301" spans="1:13" s="1872" customFormat="1">
      <c r="A301" s="1972"/>
      <c r="B301" s="1973"/>
      <c r="C301" s="1974" t="s">
        <v>867</v>
      </c>
      <c r="D301" s="1930">
        <f>D296</f>
        <v>8</v>
      </c>
      <c r="E301" s="1909" t="s">
        <v>5</v>
      </c>
      <c r="F301" s="1968">
        <v>80</v>
      </c>
      <c r="G301" s="1975">
        <v>35</v>
      </c>
      <c r="H301" s="1975">
        <f t="shared" si="42"/>
        <v>640</v>
      </c>
      <c r="I301" s="1975">
        <f t="shared" si="43"/>
        <v>280</v>
      </c>
      <c r="J301" s="1975">
        <f t="shared" si="44"/>
        <v>920</v>
      </c>
      <c r="K301" s="1977"/>
      <c r="M301" s="1885" t="s">
        <v>1879</v>
      </c>
    </row>
    <row r="302" spans="1:13" s="1872" customFormat="1">
      <c r="A302" s="1972"/>
      <c r="B302" s="1973"/>
      <c r="C302" s="1974" t="s">
        <v>886</v>
      </c>
      <c r="D302" s="1930">
        <v>1</v>
      </c>
      <c r="E302" s="1909" t="s">
        <v>5</v>
      </c>
      <c r="F302" s="1968">
        <v>3500</v>
      </c>
      <c r="G302" s="1975">
        <v>450</v>
      </c>
      <c r="H302" s="1975">
        <f t="shared" si="42"/>
        <v>3500</v>
      </c>
      <c r="I302" s="1975">
        <f t="shared" si="43"/>
        <v>450</v>
      </c>
      <c r="J302" s="1975">
        <f t="shared" si="44"/>
        <v>3950</v>
      </c>
      <c r="K302" s="1977"/>
      <c r="M302" s="1885" t="s">
        <v>1879</v>
      </c>
    </row>
    <row r="303" spans="1:13" s="1872" customFormat="1">
      <c r="A303" s="1972"/>
      <c r="B303" s="1973"/>
      <c r="C303" s="1974" t="s">
        <v>880</v>
      </c>
      <c r="D303" s="1930">
        <f>D302</f>
        <v>1</v>
      </c>
      <c r="E303" s="1909" t="s">
        <v>5</v>
      </c>
      <c r="F303" s="1968">
        <v>900</v>
      </c>
      <c r="G303" s="1975">
        <v>150</v>
      </c>
      <c r="H303" s="1975">
        <f t="shared" si="42"/>
        <v>900</v>
      </c>
      <c r="I303" s="1975">
        <f t="shared" si="43"/>
        <v>150</v>
      </c>
      <c r="J303" s="1975">
        <f t="shared" si="44"/>
        <v>1050</v>
      </c>
      <c r="K303" s="1977"/>
      <c r="M303" s="1885" t="s">
        <v>1879</v>
      </c>
    </row>
    <row r="304" spans="1:13" s="1872" customFormat="1">
      <c r="A304" s="1972"/>
      <c r="B304" s="1973"/>
      <c r="C304" s="1974" t="s">
        <v>881</v>
      </c>
      <c r="D304" s="1930">
        <f>D302</f>
        <v>1</v>
      </c>
      <c r="E304" s="1909" t="s">
        <v>5</v>
      </c>
      <c r="F304" s="1963">
        <v>210</v>
      </c>
      <c r="G304" s="1975">
        <v>0</v>
      </c>
      <c r="H304" s="1975">
        <f t="shared" si="42"/>
        <v>210</v>
      </c>
      <c r="I304" s="1975">
        <f t="shared" si="43"/>
        <v>0</v>
      </c>
      <c r="J304" s="1975">
        <f t="shared" si="44"/>
        <v>210</v>
      </c>
      <c r="K304" s="1977"/>
      <c r="M304" s="1885" t="s">
        <v>1879</v>
      </c>
    </row>
    <row r="305" spans="1:14" s="1872" customFormat="1">
      <c r="A305" s="1972"/>
      <c r="B305" s="1973"/>
      <c r="C305" s="1974" t="s">
        <v>882</v>
      </c>
      <c r="D305" s="1930">
        <f>D302</f>
        <v>1</v>
      </c>
      <c r="E305" s="1909" t="s">
        <v>5</v>
      </c>
      <c r="F305" s="1968">
        <v>310</v>
      </c>
      <c r="G305" s="1975">
        <v>0</v>
      </c>
      <c r="H305" s="1975">
        <f t="shared" si="42"/>
        <v>310</v>
      </c>
      <c r="I305" s="1975">
        <f t="shared" si="43"/>
        <v>0</v>
      </c>
      <c r="J305" s="1975">
        <f t="shared" si="44"/>
        <v>310</v>
      </c>
      <c r="K305" s="1977"/>
      <c r="M305" s="1885" t="s">
        <v>1879</v>
      </c>
    </row>
    <row r="306" spans="1:14" s="1872" customFormat="1">
      <c r="A306" s="1972"/>
      <c r="B306" s="1973"/>
      <c r="C306" s="1974" t="s">
        <v>873</v>
      </c>
      <c r="D306" s="1930">
        <f>D302</f>
        <v>1</v>
      </c>
      <c r="E306" s="1909" t="s">
        <v>5</v>
      </c>
      <c r="F306" s="1968">
        <v>120</v>
      </c>
      <c r="G306" s="1975">
        <v>0</v>
      </c>
      <c r="H306" s="1975">
        <f t="shared" si="42"/>
        <v>120</v>
      </c>
      <c r="I306" s="1975">
        <f t="shared" si="43"/>
        <v>0</v>
      </c>
      <c r="J306" s="1975">
        <f t="shared" si="44"/>
        <v>120</v>
      </c>
      <c r="K306" s="1977"/>
      <c r="M306" s="1885" t="s">
        <v>1879</v>
      </c>
    </row>
    <row r="307" spans="1:14" s="1872" customFormat="1">
      <c r="A307" s="1972"/>
      <c r="B307" s="1973"/>
      <c r="C307" s="1974" t="s">
        <v>867</v>
      </c>
      <c r="D307" s="1930">
        <f>D302</f>
        <v>1</v>
      </c>
      <c r="E307" s="1909" t="s">
        <v>5</v>
      </c>
      <c r="F307" s="1968">
        <v>80</v>
      </c>
      <c r="G307" s="1975">
        <v>35</v>
      </c>
      <c r="H307" s="1975">
        <f t="shared" si="42"/>
        <v>80</v>
      </c>
      <c r="I307" s="1975">
        <f t="shared" si="43"/>
        <v>35</v>
      </c>
      <c r="J307" s="1975">
        <f t="shared" si="44"/>
        <v>115</v>
      </c>
      <c r="K307" s="1977"/>
      <c r="M307" s="1885" t="s">
        <v>1879</v>
      </c>
    </row>
    <row r="308" spans="1:14" s="1872" customFormat="1">
      <c r="A308" s="1903"/>
      <c r="B308" s="1904"/>
      <c r="C308" s="1905" t="s">
        <v>883</v>
      </c>
      <c r="D308" s="1898">
        <v>1</v>
      </c>
      <c r="E308" s="1899" t="s">
        <v>5</v>
      </c>
      <c r="F308" s="1900">
        <v>3400</v>
      </c>
      <c r="G308" s="1900">
        <v>105</v>
      </c>
      <c r="H308" s="1906">
        <f>+F308*D308</f>
        <v>3400</v>
      </c>
      <c r="I308" s="1906">
        <f>+G308*D308</f>
        <v>105</v>
      </c>
      <c r="J308" s="1906">
        <f>+H308+I308</f>
        <v>3505</v>
      </c>
      <c r="K308" s="1977"/>
      <c r="M308" s="1885" t="s">
        <v>1879</v>
      </c>
    </row>
    <row r="309" spans="1:14">
      <c r="A309" s="1903"/>
      <c r="B309" s="1904"/>
      <c r="C309" s="1905" t="s">
        <v>884</v>
      </c>
      <c r="D309" s="1898">
        <v>1</v>
      </c>
      <c r="E309" s="1899" t="s">
        <v>5</v>
      </c>
      <c r="F309" s="1900">
        <v>3400</v>
      </c>
      <c r="G309" s="1900">
        <v>105</v>
      </c>
      <c r="H309" s="1906">
        <f>+F309*D309</f>
        <v>3400</v>
      </c>
      <c r="I309" s="1906">
        <f>+G309*D309</f>
        <v>105</v>
      </c>
      <c r="J309" s="1906">
        <f>+H309+I309</f>
        <v>3505</v>
      </c>
      <c r="K309" s="1977"/>
      <c r="L309" s="1872"/>
      <c r="M309" s="1885" t="s">
        <v>1879</v>
      </c>
      <c r="N309" s="1861"/>
    </row>
    <row r="310" spans="1:14">
      <c r="A310" s="1903"/>
      <c r="B310" s="1904"/>
      <c r="C310" s="1905" t="s">
        <v>885</v>
      </c>
      <c r="D310" s="1898">
        <v>1</v>
      </c>
      <c r="E310" s="1899" t="s">
        <v>5</v>
      </c>
      <c r="F310" s="1900">
        <v>220</v>
      </c>
      <c r="G310" s="1900">
        <v>70</v>
      </c>
      <c r="H310" s="1906">
        <f>+F310*D310</f>
        <v>220</v>
      </c>
      <c r="I310" s="1906">
        <f>+G310*D310</f>
        <v>70</v>
      </c>
      <c r="J310" s="1906">
        <f>+H310+I310</f>
        <v>290</v>
      </c>
      <c r="K310" s="1977"/>
      <c r="L310" s="1872"/>
      <c r="M310" s="1885" t="s">
        <v>1879</v>
      </c>
      <c r="N310" s="1861"/>
    </row>
    <row r="311" spans="1:14">
      <c r="A311" s="1972"/>
      <c r="B311" s="1973"/>
      <c r="C311" s="1974" t="s">
        <v>874</v>
      </c>
      <c r="D311" s="1930">
        <v>1</v>
      </c>
      <c r="E311" s="1909" t="s">
        <v>5</v>
      </c>
      <c r="F311" s="1968">
        <v>1142</v>
      </c>
      <c r="G311" s="1975">
        <v>70</v>
      </c>
      <c r="H311" s="1975">
        <f t="shared" ref="H311:H326" si="45">F311*D311</f>
        <v>1142</v>
      </c>
      <c r="I311" s="1975">
        <f t="shared" ref="I311:I326" si="46">G311*D311</f>
        <v>70</v>
      </c>
      <c r="J311" s="1975">
        <f t="shared" ref="J311:J326" si="47">SUM(H311:I311)</f>
        <v>1212</v>
      </c>
      <c r="K311" s="1977"/>
      <c r="L311" s="1979" t="s">
        <v>1899</v>
      </c>
      <c r="M311" s="1872" t="s">
        <v>1907</v>
      </c>
    </row>
    <row r="312" spans="1:14" s="1872" customFormat="1">
      <c r="A312" s="1972"/>
      <c r="B312" s="1973"/>
      <c r="C312" s="1974" t="s">
        <v>1897</v>
      </c>
      <c r="D312" s="1930">
        <v>2</v>
      </c>
      <c r="E312" s="1909" t="s">
        <v>5</v>
      </c>
      <c r="F312" s="1968">
        <v>3200</v>
      </c>
      <c r="G312" s="1975">
        <v>400</v>
      </c>
      <c r="H312" s="1975">
        <f t="shared" si="45"/>
        <v>6400</v>
      </c>
      <c r="I312" s="1975">
        <f t="shared" si="46"/>
        <v>800</v>
      </c>
      <c r="J312" s="1975">
        <f t="shared" si="47"/>
        <v>7200</v>
      </c>
      <c r="K312" s="1977"/>
      <c r="L312" s="1979" t="s">
        <v>1906</v>
      </c>
      <c r="M312" s="1952" t="s">
        <v>622</v>
      </c>
    </row>
    <row r="313" spans="1:14" s="1872" customFormat="1">
      <c r="A313" s="1972"/>
      <c r="B313" s="1973"/>
      <c r="C313" s="1974" t="s">
        <v>377</v>
      </c>
      <c r="D313" s="1930">
        <v>10</v>
      </c>
      <c r="E313" s="1909" t="s">
        <v>5</v>
      </c>
      <c r="F313" s="1968">
        <v>300</v>
      </c>
      <c r="G313" s="1975">
        <v>70</v>
      </c>
      <c r="H313" s="1975">
        <f t="shared" si="45"/>
        <v>3000</v>
      </c>
      <c r="I313" s="1975">
        <f t="shared" si="46"/>
        <v>700</v>
      </c>
      <c r="J313" s="1975">
        <f t="shared" si="47"/>
        <v>3700</v>
      </c>
      <c r="K313" s="1977"/>
      <c r="M313" s="1885" t="s">
        <v>1879</v>
      </c>
    </row>
    <row r="314" spans="1:14" s="1872" customFormat="1">
      <c r="A314" s="1972"/>
      <c r="B314" s="1973"/>
      <c r="C314" s="1974" t="s">
        <v>867</v>
      </c>
      <c r="D314" s="1930">
        <f>D313</f>
        <v>10</v>
      </c>
      <c r="E314" s="1909" t="s">
        <v>5</v>
      </c>
      <c r="F314" s="1968">
        <v>80</v>
      </c>
      <c r="G314" s="1975">
        <v>35</v>
      </c>
      <c r="H314" s="1975">
        <f t="shared" si="45"/>
        <v>800</v>
      </c>
      <c r="I314" s="1975">
        <f t="shared" si="46"/>
        <v>350</v>
      </c>
      <c r="J314" s="1975">
        <f t="shared" si="47"/>
        <v>1150</v>
      </c>
      <c r="K314" s="1977"/>
      <c r="M314" s="1885" t="s">
        <v>1879</v>
      </c>
    </row>
    <row r="315" spans="1:14" s="1872" customFormat="1">
      <c r="A315" s="1972"/>
      <c r="B315" s="1973"/>
      <c r="C315" s="1974" t="s">
        <v>376</v>
      </c>
      <c r="D315" s="1930">
        <v>10</v>
      </c>
      <c r="E315" s="1909" t="s">
        <v>5</v>
      </c>
      <c r="F315" s="1968">
        <v>390</v>
      </c>
      <c r="G315" s="1975">
        <v>120</v>
      </c>
      <c r="H315" s="1975">
        <f t="shared" si="45"/>
        <v>3900</v>
      </c>
      <c r="I315" s="1975">
        <f t="shared" si="46"/>
        <v>1200</v>
      </c>
      <c r="J315" s="1975">
        <f t="shared" si="47"/>
        <v>5100</v>
      </c>
      <c r="K315" s="1977"/>
      <c r="L315" s="1979"/>
      <c r="M315" s="1952" t="s">
        <v>1879</v>
      </c>
    </row>
    <row r="316" spans="1:14" s="1872" customFormat="1">
      <c r="A316" s="1972"/>
      <c r="B316" s="1973"/>
      <c r="C316" s="1974" t="s">
        <v>875</v>
      </c>
      <c r="D316" s="1930">
        <v>3</v>
      </c>
      <c r="E316" s="1909" t="s">
        <v>5</v>
      </c>
      <c r="F316" s="1968">
        <v>125</v>
      </c>
      <c r="G316" s="1975">
        <v>25</v>
      </c>
      <c r="H316" s="1975">
        <f t="shared" si="45"/>
        <v>375</v>
      </c>
      <c r="I316" s="1975">
        <f t="shared" si="46"/>
        <v>75</v>
      </c>
      <c r="J316" s="1975">
        <f t="shared" si="47"/>
        <v>450</v>
      </c>
      <c r="K316" s="1977"/>
      <c r="L316" s="1979"/>
      <c r="M316" s="1952" t="s">
        <v>1879</v>
      </c>
    </row>
    <row r="317" spans="1:14" s="1872" customFormat="1">
      <c r="A317" s="1972"/>
      <c r="B317" s="1973"/>
      <c r="C317" s="1974" t="s">
        <v>878</v>
      </c>
      <c r="D317" s="1930">
        <v>12</v>
      </c>
      <c r="E317" s="1909" t="s">
        <v>5</v>
      </c>
      <c r="F317" s="1968">
        <v>150</v>
      </c>
      <c r="G317" s="1975">
        <v>75</v>
      </c>
      <c r="H317" s="1975">
        <f t="shared" si="45"/>
        <v>1800</v>
      </c>
      <c r="I317" s="1975">
        <f t="shared" si="46"/>
        <v>900</v>
      </c>
      <c r="J317" s="1975">
        <f t="shared" si="47"/>
        <v>2700</v>
      </c>
      <c r="K317" s="1977"/>
      <c r="M317" s="1885" t="s">
        <v>1879</v>
      </c>
    </row>
    <row r="318" spans="1:14" s="1872" customFormat="1">
      <c r="A318" s="1863"/>
      <c r="B318" s="1864"/>
      <c r="C318" s="1865"/>
      <c r="D318" s="1866"/>
      <c r="E318" s="1867"/>
      <c r="F318" s="1868"/>
      <c r="G318" s="1868"/>
      <c r="H318" s="1868"/>
      <c r="I318" s="1868"/>
      <c r="J318" s="1868"/>
      <c r="K318" s="1869"/>
      <c r="M318" s="1885"/>
    </row>
    <row r="319" spans="1:14" s="1872" customFormat="1">
      <c r="A319" s="1840"/>
      <c r="B319" s="1860"/>
      <c r="C319" s="2133" t="s">
        <v>133</v>
      </c>
      <c r="D319" s="2134"/>
      <c r="E319" s="2135"/>
      <c r="F319" s="2136"/>
      <c r="G319" s="2137"/>
      <c r="H319" s="2137"/>
      <c r="I319" s="2137"/>
      <c r="J319" s="2137"/>
      <c r="K319" s="2137"/>
      <c r="M319" s="1885"/>
    </row>
    <row r="320" spans="1:14" s="1872" customFormat="1">
      <c r="A320" s="1840"/>
      <c r="B320" s="2138"/>
      <c r="C320" s="2139" t="s">
        <v>1769</v>
      </c>
      <c r="D320" s="2140"/>
      <c r="E320" s="1861"/>
      <c r="F320" s="2135"/>
      <c r="G320" s="2139" t="s">
        <v>134</v>
      </c>
      <c r="H320" s="2138"/>
      <c r="I320" s="2138"/>
      <c r="J320" s="2138"/>
      <c r="K320" s="2138"/>
      <c r="M320" s="1885"/>
    </row>
    <row r="321" spans="1:14" s="1872" customFormat="1">
      <c r="A321" s="1840"/>
      <c r="B321" s="1871"/>
      <c r="C321" s="2141" t="s">
        <v>1970</v>
      </c>
      <c r="D321" s="2140"/>
      <c r="E321" s="2142"/>
      <c r="F321" s="2143"/>
      <c r="G321" s="2144" t="s">
        <v>1971</v>
      </c>
      <c r="H321" s="2145"/>
      <c r="I321" s="2145"/>
      <c r="J321" s="2145"/>
      <c r="K321" s="2145"/>
      <c r="M321" s="1885"/>
    </row>
    <row r="322" spans="1:14" s="1872" customFormat="1">
      <c r="A322" s="1837"/>
      <c r="B322" s="2138"/>
      <c r="C322" s="2139" t="s">
        <v>2031</v>
      </c>
      <c r="D322" s="2140"/>
      <c r="E322" s="1837"/>
      <c r="F322" s="2146"/>
      <c r="G322" s="2139" t="s">
        <v>2031</v>
      </c>
      <c r="H322" s="1837"/>
      <c r="I322" s="1837"/>
      <c r="J322" s="1837"/>
      <c r="K322" s="1837"/>
      <c r="M322" s="1885"/>
    </row>
    <row r="323" spans="1:14" s="1872" customFormat="1">
      <c r="A323" s="1952"/>
      <c r="B323" s="1871"/>
      <c r="C323" s="2147" t="s">
        <v>1984</v>
      </c>
      <c r="D323" s="2140"/>
      <c r="E323" s="1837"/>
      <c r="F323" s="2135"/>
      <c r="G323" s="2147" t="s">
        <v>1985</v>
      </c>
      <c r="H323" s="1952"/>
      <c r="I323" s="1952"/>
      <c r="J323" s="1952"/>
      <c r="K323" s="1952"/>
      <c r="M323" s="1885"/>
    </row>
    <row r="324" spans="1:14" s="1872" customFormat="1">
      <c r="A324" s="1952"/>
      <c r="B324" s="1952"/>
      <c r="C324" s="2139" t="s">
        <v>670</v>
      </c>
      <c r="D324" s="2139"/>
      <c r="E324" s="2143"/>
      <c r="F324" s="2143"/>
      <c r="G324" s="1952"/>
      <c r="H324" s="1952"/>
      <c r="I324" s="1952"/>
      <c r="J324" s="1952"/>
      <c r="K324" s="1952"/>
      <c r="M324" s="1885"/>
    </row>
    <row r="325" spans="1:14" s="1872" customFormat="1">
      <c r="A325" s="1840"/>
      <c r="B325" s="1840"/>
      <c r="C325" s="2147" t="s">
        <v>1972</v>
      </c>
      <c r="D325" s="2147"/>
      <c r="E325" s="2146"/>
      <c r="F325" s="2146"/>
      <c r="G325" s="1870"/>
      <c r="H325" s="1870"/>
      <c r="I325" s="1870"/>
      <c r="J325" s="1870"/>
      <c r="K325" s="1871"/>
      <c r="M325" s="1885"/>
    </row>
    <row r="326" spans="1:14" s="1872" customFormat="1">
      <c r="A326" s="1972"/>
      <c r="B326" s="1973"/>
      <c r="C326" s="1980" t="s">
        <v>1778</v>
      </c>
      <c r="D326" s="1981">
        <v>7.8</v>
      </c>
      <c r="E326" s="1982" t="s">
        <v>86</v>
      </c>
      <c r="F326" s="1983">
        <v>2850</v>
      </c>
      <c r="G326" s="1984">
        <v>198</v>
      </c>
      <c r="H326" s="1975">
        <f t="shared" si="45"/>
        <v>22230</v>
      </c>
      <c r="I326" s="1975">
        <f t="shared" si="46"/>
        <v>1544.3999999999999</v>
      </c>
      <c r="J326" s="1975">
        <f t="shared" si="47"/>
        <v>23774.400000000001</v>
      </c>
      <c r="K326" s="1977"/>
      <c r="L326" s="1971" t="s">
        <v>1922</v>
      </c>
      <c r="M326" s="1872" t="s">
        <v>1898</v>
      </c>
    </row>
    <row r="327" spans="1:14" s="1872" customFormat="1">
      <c r="A327" s="1985"/>
      <c r="B327" s="1986"/>
      <c r="C327" s="1974" t="s">
        <v>877</v>
      </c>
      <c r="D327" s="1930">
        <v>6.5</v>
      </c>
      <c r="E327" s="1909" t="s">
        <v>86</v>
      </c>
      <c r="F327" s="1968">
        <v>3028</v>
      </c>
      <c r="G327" s="1975">
        <v>392</v>
      </c>
      <c r="H327" s="1987">
        <f>ROUND(F327*D327,2)</f>
        <v>19682</v>
      </c>
      <c r="I327" s="1987">
        <f>ROUND(G327*D327,2)</f>
        <v>2548</v>
      </c>
      <c r="J327" s="1988">
        <f>+H327+I327</f>
        <v>22230</v>
      </c>
      <c r="K327" s="1977"/>
      <c r="L327" s="1977"/>
      <c r="M327" s="1872" t="s">
        <v>1898</v>
      </c>
    </row>
    <row r="328" spans="1:14" s="1872" customFormat="1">
      <c r="A328" s="1972"/>
      <c r="B328" s="1973"/>
      <c r="C328" s="1980" t="s">
        <v>1075</v>
      </c>
      <c r="D328" s="1981">
        <v>28.45</v>
      </c>
      <c r="E328" s="1982" t="s">
        <v>86</v>
      </c>
      <c r="F328" s="1983">
        <v>8500</v>
      </c>
      <c r="G328" s="1984">
        <v>2200</v>
      </c>
      <c r="H328" s="1975">
        <f>ROUND(F328*D328,2)</f>
        <v>241825</v>
      </c>
      <c r="I328" s="1975">
        <f>ROUND(G328*D328,2)</f>
        <v>62590</v>
      </c>
      <c r="J328" s="1975">
        <f>+H328+I328</f>
        <v>304415</v>
      </c>
      <c r="K328" s="1977"/>
      <c r="L328" s="1979" t="s">
        <v>1885</v>
      </c>
      <c r="M328" s="1952" t="s">
        <v>622</v>
      </c>
    </row>
    <row r="329" spans="1:14" s="1872" customFormat="1">
      <c r="A329" s="1897"/>
      <c r="B329" s="2388" t="s">
        <v>249</v>
      </c>
      <c r="C329" s="2388"/>
      <c r="D329" s="1898"/>
      <c r="E329" s="1899"/>
      <c r="F329" s="1900"/>
      <c r="G329" s="1900"/>
      <c r="H329" s="1900"/>
      <c r="I329" s="1900"/>
      <c r="J329" s="1900"/>
      <c r="K329" s="1989"/>
      <c r="M329" s="1902"/>
    </row>
    <row r="330" spans="1:14">
      <c r="A330" s="1903"/>
      <c r="B330" s="1904" t="s">
        <v>277</v>
      </c>
      <c r="C330" s="1905" t="s">
        <v>380</v>
      </c>
      <c r="D330" s="1909"/>
      <c r="E330" s="1910"/>
      <c r="F330" s="1906"/>
      <c r="G330" s="1906"/>
      <c r="H330" s="1906"/>
      <c r="I330" s="1906"/>
      <c r="J330" s="1906"/>
      <c r="K330" s="1978"/>
      <c r="L330" s="1976"/>
    </row>
    <row r="331" spans="1:14" s="1862" customFormat="1" ht="48">
      <c r="A331" s="1911"/>
      <c r="B331" s="1912" t="s">
        <v>107</v>
      </c>
      <c r="C331" s="1990" t="s">
        <v>1915</v>
      </c>
      <c r="D331" s="1991">
        <v>24.8</v>
      </c>
      <c r="E331" s="1911" t="s">
        <v>86</v>
      </c>
      <c r="F331" s="1922">
        <v>606</v>
      </c>
      <c r="G331" s="1922">
        <v>222</v>
      </c>
      <c r="H331" s="1916">
        <f t="shared" ref="H331:H337" si="48">+F331*D331</f>
        <v>15028.800000000001</v>
      </c>
      <c r="I331" s="1916">
        <f t="shared" ref="I331:I337" si="49">+G331*D331</f>
        <v>5505.6</v>
      </c>
      <c r="J331" s="1916">
        <f t="shared" ref="J331:J337" si="50">+H331+I331</f>
        <v>20534.400000000001</v>
      </c>
      <c r="K331" s="1917"/>
      <c r="L331" s="2048"/>
      <c r="M331" s="1992" t="s">
        <v>1879</v>
      </c>
      <c r="N331" s="1852"/>
    </row>
    <row r="332" spans="1:14">
      <c r="A332" s="1903"/>
      <c r="B332" s="1904" t="s">
        <v>107</v>
      </c>
      <c r="C332" s="1993" t="s">
        <v>948</v>
      </c>
      <c r="D332" s="1981">
        <v>24.8</v>
      </c>
      <c r="E332" s="1994" t="s">
        <v>84</v>
      </c>
      <c r="F332" s="1995">
        <v>0</v>
      </c>
      <c r="G332" s="1996">
        <v>200</v>
      </c>
      <c r="H332" s="1906">
        <f t="shared" si="48"/>
        <v>0</v>
      </c>
      <c r="I332" s="1906">
        <f t="shared" si="49"/>
        <v>4960</v>
      </c>
      <c r="J332" s="1906">
        <f t="shared" si="50"/>
        <v>4960</v>
      </c>
      <c r="K332" s="1907"/>
      <c r="M332" s="1885" t="s">
        <v>1016</v>
      </c>
    </row>
    <row r="333" spans="1:14">
      <c r="A333" s="1965"/>
      <c r="B333" s="1997" t="s">
        <v>107</v>
      </c>
      <c r="C333" s="1993" t="s">
        <v>949</v>
      </c>
      <c r="D333" s="1998">
        <v>45.5</v>
      </c>
      <c r="E333" s="1999" t="s">
        <v>87</v>
      </c>
      <c r="F333" s="1975">
        <v>28.9</v>
      </c>
      <c r="G333" s="1975">
        <v>10</v>
      </c>
      <c r="H333" s="1906">
        <f t="shared" si="48"/>
        <v>1314.95</v>
      </c>
      <c r="I333" s="1906">
        <f t="shared" si="49"/>
        <v>455</v>
      </c>
      <c r="J333" s="1906">
        <f t="shared" si="50"/>
        <v>1769.95</v>
      </c>
      <c r="K333" s="1907"/>
      <c r="M333" s="1885" t="s">
        <v>1021</v>
      </c>
    </row>
    <row r="334" spans="1:14">
      <c r="A334" s="1965"/>
      <c r="B334" s="1997" t="s">
        <v>107</v>
      </c>
      <c r="C334" s="1993" t="s">
        <v>951</v>
      </c>
      <c r="D334" s="1998">
        <v>330.3</v>
      </c>
      <c r="E334" s="1999" t="s">
        <v>87</v>
      </c>
      <c r="F334" s="1975">
        <v>28.9</v>
      </c>
      <c r="G334" s="1975">
        <v>10</v>
      </c>
      <c r="H334" s="1906">
        <f t="shared" si="48"/>
        <v>9545.67</v>
      </c>
      <c r="I334" s="1906">
        <f t="shared" si="49"/>
        <v>3303</v>
      </c>
      <c r="J334" s="1906">
        <f t="shared" si="50"/>
        <v>12848.67</v>
      </c>
      <c r="K334" s="1907"/>
      <c r="M334" s="1885" t="s">
        <v>1021</v>
      </c>
    </row>
    <row r="335" spans="1:14">
      <c r="A335" s="1965"/>
      <c r="B335" s="1997" t="s">
        <v>107</v>
      </c>
      <c r="C335" s="1993" t="s">
        <v>950</v>
      </c>
      <c r="D335" s="1998">
        <v>45.15</v>
      </c>
      <c r="E335" s="1999" t="s">
        <v>87</v>
      </c>
      <c r="F335" s="1975">
        <v>31</v>
      </c>
      <c r="G335" s="1975">
        <v>10</v>
      </c>
      <c r="H335" s="1906">
        <f t="shared" si="48"/>
        <v>1399.6499999999999</v>
      </c>
      <c r="I335" s="1906">
        <f t="shared" si="49"/>
        <v>451.5</v>
      </c>
      <c r="J335" s="1906">
        <f t="shared" si="50"/>
        <v>1851.1499999999999</v>
      </c>
      <c r="K335" s="1907"/>
      <c r="M335" s="1885" t="s">
        <v>1016</v>
      </c>
    </row>
    <row r="336" spans="1:14">
      <c r="A336" s="1965"/>
      <c r="B336" s="1997" t="s">
        <v>107</v>
      </c>
      <c r="C336" s="1993" t="s">
        <v>956</v>
      </c>
      <c r="D336" s="1998">
        <v>18</v>
      </c>
      <c r="E336" s="1999" t="s">
        <v>109</v>
      </c>
      <c r="F336" s="1975">
        <v>108</v>
      </c>
      <c r="G336" s="1975">
        <v>18</v>
      </c>
      <c r="H336" s="1906">
        <f t="shared" si="48"/>
        <v>1944</v>
      </c>
      <c r="I336" s="1906">
        <f t="shared" si="49"/>
        <v>324</v>
      </c>
      <c r="J336" s="1906">
        <f t="shared" si="50"/>
        <v>2268</v>
      </c>
      <c r="K336" s="1907"/>
      <c r="M336" s="1885" t="s">
        <v>1021</v>
      </c>
    </row>
    <row r="337" spans="1:13">
      <c r="A337" s="2000"/>
      <c r="B337" s="1997" t="s">
        <v>107</v>
      </c>
      <c r="C337" s="1993" t="s">
        <v>1059</v>
      </c>
      <c r="D337" s="1998">
        <v>72</v>
      </c>
      <c r="E337" s="1999" t="s">
        <v>27</v>
      </c>
      <c r="F337" s="1975">
        <v>131.32</v>
      </c>
      <c r="G337" s="1975">
        <v>40</v>
      </c>
      <c r="H337" s="1906">
        <f t="shared" si="48"/>
        <v>9455.0399999999991</v>
      </c>
      <c r="I337" s="1906">
        <f t="shared" si="49"/>
        <v>2880</v>
      </c>
      <c r="J337" s="1906">
        <f t="shared" si="50"/>
        <v>12335.039999999999</v>
      </c>
      <c r="K337" s="1907"/>
      <c r="M337" s="1885" t="s">
        <v>654</v>
      </c>
    </row>
    <row r="338" spans="1:13">
      <c r="A338" s="1903"/>
      <c r="B338" s="1904" t="s">
        <v>1001</v>
      </c>
      <c r="C338" s="1905" t="s">
        <v>380</v>
      </c>
      <c r="D338" s="1909"/>
      <c r="E338" s="1910"/>
      <c r="F338" s="1906"/>
      <c r="G338" s="1906"/>
      <c r="H338" s="1906"/>
      <c r="I338" s="1906"/>
      <c r="J338" s="1906"/>
      <c r="K338" s="1978"/>
      <c r="L338" s="1976"/>
    </row>
    <row r="339" spans="1:13">
      <c r="A339" s="1903"/>
      <c r="B339" s="1904" t="s">
        <v>107</v>
      </c>
      <c r="C339" s="1993" t="s">
        <v>1931</v>
      </c>
      <c r="D339" s="1991">
        <v>19</v>
      </c>
      <c r="E339" s="1903" t="s">
        <v>1933</v>
      </c>
      <c r="F339" s="1900">
        <v>1975</v>
      </c>
      <c r="G339" s="1900">
        <v>125</v>
      </c>
      <c r="H339" s="1906">
        <f t="shared" ref="H339:H346" si="51">+F339*D339</f>
        <v>37525</v>
      </c>
      <c r="I339" s="1906">
        <f t="shared" ref="I339:I346" si="52">+G339*D339</f>
        <v>2375</v>
      </c>
      <c r="J339" s="1906">
        <f t="shared" ref="J339:J346" si="53">+H339+I339</f>
        <v>39900</v>
      </c>
      <c r="K339" s="1907"/>
      <c r="M339" s="1885" t="s">
        <v>1934</v>
      </c>
    </row>
    <row r="340" spans="1:13">
      <c r="A340" s="1903"/>
      <c r="B340" s="1904" t="s">
        <v>107</v>
      </c>
      <c r="C340" s="1993" t="s">
        <v>1932</v>
      </c>
      <c r="D340" s="1991">
        <v>19</v>
      </c>
      <c r="E340" s="1903" t="s">
        <v>1933</v>
      </c>
      <c r="F340" s="1900">
        <v>1975</v>
      </c>
      <c r="G340" s="1900">
        <v>77</v>
      </c>
      <c r="H340" s="1906">
        <f t="shared" si="51"/>
        <v>37525</v>
      </c>
      <c r="I340" s="1906">
        <f t="shared" si="52"/>
        <v>1463</v>
      </c>
      <c r="J340" s="1906">
        <f t="shared" si="53"/>
        <v>38988</v>
      </c>
      <c r="K340" s="1907"/>
      <c r="M340" s="1885" t="s">
        <v>1934</v>
      </c>
    </row>
    <row r="341" spans="1:13">
      <c r="A341" s="1903"/>
      <c r="B341" s="1904" t="s">
        <v>107</v>
      </c>
      <c r="C341" s="1993" t="s">
        <v>957</v>
      </c>
      <c r="D341" s="1981">
        <v>42.2</v>
      </c>
      <c r="E341" s="1994" t="s">
        <v>84</v>
      </c>
      <c r="F341" s="1995">
        <v>200</v>
      </c>
      <c r="G341" s="1996">
        <v>40</v>
      </c>
      <c r="H341" s="1906">
        <f t="shared" si="51"/>
        <v>8440</v>
      </c>
      <c r="I341" s="1906">
        <f t="shared" si="52"/>
        <v>1688</v>
      </c>
      <c r="J341" s="1906">
        <f t="shared" si="53"/>
        <v>10128</v>
      </c>
      <c r="K341" s="1907"/>
      <c r="M341" s="1885" t="s">
        <v>1016</v>
      </c>
    </row>
    <row r="342" spans="1:13">
      <c r="A342" s="1965"/>
      <c r="B342" s="1997" t="s">
        <v>107</v>
      </c>
      <c r="C342" s="1993" t="s">
        <v>1081</v>
      </c>
      <c r="D342" s="1998">
        <v>182.4</v>
      </c>
      <c r="E342" s="1999" t="s">
        <v>87</v>
      </c>
      <c r="F342" s="1975">
        <v>28.9</v>
      </c>
      <c r="G342" s="1975">
        <v>10</v>
      </c>
      <c r="H342" s="1906">
        <f t="shared" si="51"/>
        <v>5271.36</v>
      </c>
      <c r="I342" s="1906">
        <f t="shared" si="52"/>
        <v>1824</v>
      </c>
      <c r="J342" s="1906">
        <f t="shared" si="53"/>
        <v>7095.36</v>
      </c>
      <c r="K342" s="1907"/>
      <c r="M342" s="1885" t="s">
        <v>1021</v>
      </c>
    </row>
    <row r="343" spans="1:13">
      <c r="A343" s="1965"/>
      <c r="B343" s="1997" t="s">
        <v>107</v>
      </c>
      <c r="C343" s="1993" t="s">
        <v>1084</v>
      </c>
      <c r="D343" s="1998">
        <v>530.20000000000005</v>
      </c>
      <c r="E343" s="1999" t="s">
        <v>87</v>
      </c>
      <c r="F343" s="1975">
        <v>28.9</v>
      </c>
      <c r="G343" s="1975">
        <v>10</v>
      </c>
      <c r="H343" s="1906">
        <f t="shared" si="51"/>
        <v>15322.78</v>
      </c>
      <c r="I343" s="1906">
        <f t="shared" si="52"/>
        <v>5302</v>
      </c>
      <c r="J343" s="1906">
        <f t="shared" si="53"/>
        <v>20624.78</v>
      </c>
      <c r="K343" s="1907"/>
      <c r="M343" s="1885" t="s">
        <v>1021</v>
      </c>
    </row>
    <row r="344" spans="1:13">
      <c r="A344" s="1965"/>
      <c r="B344" s="1997" t="s">
        <v>107</v>
      </c>
      <c r="C344" s="1993" t="s">
        <v>1003</v>
      </c>
      <c r="D344" s="1998">
        <v>95.1</v>
      </c>
      <c r="E344" s="1999" t="s">
        <v>87</v>
      </c>
      <c r="F344" s="1975">
        <v>31</v>
      </c>
      <c r="G344" s="1975">
        <v>10</v>
      </c>
      <c r="H344" s="1906">
        <f t="shared" si="51"/>
        <v>2948.1</v>
      </c>
      <c r="I344" s="1906">
        <f t="shared" si="52"/>
        <v>951</v>
      </c>
      <c r="J344" s="1906">
        <f t="shared" si="53"/>
        <v>3899.1</v>
      </c>
      <c r="K344" s="1907"/>
      <c r="M344" s="1885" t="s">
        <v>1016</v>
      </c>
    </row>
    <row r="345" spans="1:13">
      <c r="A345" s="1972"/>
      <c r="B345" s="1997" t="s">
        <v>107</v>
      </c>
      <c r="C345" s="1993" t="s">
        <v>956</v>
      </c>
      <c r="D345" s="1998">
        <v>22</v>
      </c>
      <c r="E345" s="1999" t="s">
        <v>109</v>
      </c>
      <c r="F345" s="1975">
        <v>108</v>
      </c>
      <c r="G345" s="1975">
        <v>18</v>
      </c>
      <c r="H345" s="1906">
        <f t="shared" si="51"/>
        <v>2376</v>
      </c>
      <c r="I345" s="1906">
        <f t="shared" si="52"/>
        <v>396</v>
      </c>
      <c r="J345" s="1906">
        <f t="shared" si="53"/>
        <v>2772</v>
      </c>
      <c r="K345" s="1907"/>
      <c r="M345" s="1885" t="s">
        <v>1021</v>
      </c>
    </row>
    <row r="346" spans="1:13">
      <c r="A346" s="1972"/>
      <c r="B346" s="1997" t="s">
        <v>107</v>
      </c>
      <c r="C346" s="1993" t="s">
        <v>1059</v>
      </c>
      <c r="D346" s="1998">
        <v>88</v>
      </c>
      <c r="E346" s="1999" t="s">
        <v>27</v>
      </c>
      <c r="F346" s="1975">
        <v>131.32</v>
      </c>
      <c r="G346" s="1975">
        <v>0</v>
      </c>
      <c r="H346" s="1906">
        <f t="shared" si="51"/>
        <v>11556.16</v>
      </c>
      <c r="I346" s="1906">
        <f t="shared" si="52"/>
        <v>0</v>
      </c>
      <c r="J346" s="1906">
        <f t="shared" si="53"/>
        <v>11556.16</v>
      </c>
      <c r="K346" s="1907"/>
      <c r="M346" s="1885" t="s">
        <v>654</v>
      </c>
    </row>
    <row r="347" spans="1:13">
      <c r="A347" s="1863"/>
      <c r="B347" s="1864"/>
      <c r="C347" s="1865"/>
      <c r="D347" s="1866"/>
      <c r="E347" s="1867"/>
      <c r="F347" s="1868"/>
      <c r="G347" s="1868"/>
      <c r="H347" s="1868"/>
      <c r="I347" s="1868"/>
      <c r="J347" s="1868"/>
      <c r="K347" s="1869"/>
      <c r="M347" s="1885"/>
    </row>
    <row r="348" spans="1:13">
      <c r="B348" s="1860"/>
      <c r="C348" s="2133" t="s">
        <v>133</v>
      </c>
      <c r="D348" s="2134"/>
      <c r="E348" s="2135"/>
      <c r="F348" s="2136"/>
      <c r="G348" s="2137"/>
      <c r="H348" s="2137"/>
      <c r="I348" s="2137"/>
      <c r="J348" s="2137"/>
      <c r="K348" s="2137"/>
      <c r="M348" s="1885"/>
    </row>
    <row r="349" spans="1:13">
      <c r="B349" s="2138"/>
      <c r="C349" s="2139" t="s">
        <v>1769</v>
      </c>
      <c r="D349" s="2140"/>
      <c r="E349" s="1861"/>
      <c r="F349" s="2135"/>
      <c r="G349" s="2139" t="s">
        <v>134</v>
      </c>
      <c r="H349" s="2138"/>
      <c r="I349" s="2138"/>
      <c r="J349" s="2138"/>
      <c r="K349" s="2138"/>
      <c r="M349" s="1885"/>
    </row>
    <row r="350" spans="1:13">
      <c r="B350" s="1871"/>
      <c r="C350" s="2141" t="s">
        <v>1970</v>
      </c>
      <c r="D350" s="2140"/>
      <c r="E350" s="2142"/>
      <c r="F350" s="2143"/>
      <c r="G350" s="2144" t="s">
        <v>1971</v>
      </c>
      <c r="H350" s="2145"/>
      <c r="I350" s="2145"/>
      <c r="J350" s="2145"/>
      <c r="K350" s="2145"/>
      <c r="M350" s="1885"/>
    </row>
    <row r="351" spans="1:13">
      <c r="A351" s="1837"/>
      <c r="B351" s="2138"/>
      <c r="C351" s="2139" t="s">
        <v>2031</v>
      </c>
      <c r="D351" s="2140"/>
      <c r="E351" s="1837"/>
      <c r="F351" s="2146"/>
      <c r="G351" s="2139" t="s">
        <v>2031</v>
      </c>
      <c r="H351" s="1837"/>
      <c r="I351" s="1837"/>
      <c r="J351" s="1837"/>
      <c r="K351" s="1837"/>
      <c r="M351" s="1885"/>
    </row>
    <row r="352" spans="1:13">
      <c r="A352" s="1952"/>
      <c r="B352" s="1871"/>
      <c r="C352" s="2147" t="s">
        <v>1984</v>
      </c>
      <c r="D352" s="2140"/>
      <c r="E352" s="1837"/>
      <c r="F352" s="2135"/>
      <c r="G352" s="2147" t="s">
        <v>1985</v>
      </c>
      <c r="H352" s="1952"/>
      <c r="I352" s="1952"/>
      <c r="J352" s="1952"/>
      <c r="K352" s="1952"/>
      <c r="M352" s="1885"/>
    </row>
    <row r="353" spans="1:13">
      <c r="A353" s="1952"/>
      <c r="B353" s="1952"/>
      <c r="C353" s="2139" t="s">
        <v>670</v>
      </c>
      <c r="D353" s="2139"/>
      <c r="E353" s="2143"/>
      <c r="F353" s="2143"/>
      <c r="G353" s="1952"/>
      <c r="H353" s="1952"/>
      <c r="I353" s="1952"/>
      <c r="J353" s="1952"/>
      <c r="K353" s="1952"/>
      <c r="M353" s="1885"/>
    </row>
    <row r="354" spans="1:13">
      <c r="C354" s="2147" t="s">
        <v>1972</v>
      </c>
      <c r="D354" s="2147"/>
      <c r="E354" s="2146"/>
      <c r="F354" s="2146"/>
      <c r="M354" s="1885"/>
    </row>
    <row r="355" spans="1:13">
      <c r="A355" s="1903"/>
      <c r="B355" s="1904" t="s">
        <v>1002</v>
      </c>
      <c r="C355" s="1905" t="s">
        <v>380</v>
      </c>
      <c r="D355" s="1909"/>
      <c r="E355" s="1910"/>
      <c r="F355" s="1906"/>
      <c r="G355" s="1906"/>
      <c r="H355" s="1906"/>
      <c r="I355" s="1906"/>
      <c r="J355" s="1906"/>
      <c r="K355" s="1978"/>
      <c r="L355" s="1976"/>
    </row>
    <row r="356" spans="1:13">
      <c r="A356" s="1972"/>
      <c r="B356" s="1997" t="s">
        <v>107</v>
      </c>
      <c r="C356" s="1993" t="s">
        <v>1931</v>
      </c>
      <c r="D356" s="1998">
        <v>19</v>
      </c>
      <c r="E356" s="1999" t="s">
        <v>1933</v>
      </c>
      <c r="F356" s="1975">
        <v>1975</v>
      </c>
      <c r="G356" s="1975">
        <v>125</v>
      </c>
      <c r="H356" s="1906">
        <f t="shared" ref="H356:H363" si="54">+F356*D356</f>
        <v>37525</v>
      </c>
      <c r="I356" s="1906">
        <f t="shared" ref="I356:I363" si="55">+G356*D356</f>
        <v>2375</v>
      </c>
      <c r="J356" s="1906">
        <f t="shared" ref="J356:J363" si="56">+H356+I356</f>
        <v>39900</v>
      </c>
      <c r="K356" s="1907"/>
      <c r="M356" s="1885" t="s">
        <v>1934</v>
      </c>
    </row>
    <row r="357" spans="1:13">
      <c r="A357" s="1972"/>
      <c r="B357" s="1997" t="s">
        <v>107</v>
      </c>
      <c r="C357" s="1993" t="s">
        <v>1932</v>
      </c>
      <c r="D357" s="1998">
        <v>19</v>
      </c>
      <c r="E357" s="1999" t="s">
        <v>1933</v>
      </c>
      <c r="F357" s="1975">
        <v>1975</v>
      </c>
      <c r="G357" s="1975">
        <v>77</v>
      </c>
      <c r="H357" s="1906">
        <f t="shared" si="54"/>
        <v>37525</v>
      </c>
      <c r="I357" s="1906">
        <f t="shared" si="55"/>
        <v>1463</v>
      </c>
      <c r="J357" s="1906">
        <f t="shared" si="56"/>
        <v>38988</v>
      </c>
      <c r="K357" s="1907"/>
      <c r="M357" s="1885" t="s">
        <v>1934</v>
      </c>
    </row>
    <row r="358" spans="1:13">
      <c r="A358" s="1903"/>
      <c r="B358" s="1904" t="s">
        <v>107</v>
      </c>
      <c r="C358" s="1993" t="s">
        <v>957</v>
      </c>
      <c r="D358" s="1981">
        <v>40.15</v>
      </c>
      <c r="E358" s="1994" t="s">
        <v>84</v>
      </c>
      <c r="F358" s="1995">
        <v>200</v>
      </c>
      <c r="G358" s="1996">
        <v>40</v>
      </c>
      <c r="H358" s="1906">
        <f t="shared" si="54"/>
        <v>8030</v>
      </c>
      <c r="I358" s="1906">
        <f t="shared" si="55"/>
        <v>1606</v>
      </c>
      <c r="J358" s="1906">
        <f t="shared" si="56"/>
        <v>9636</v>
      </c>
      <c r="K358" s="1907"/>
      <c r="M358" s="1885" t="s">
        <v>1016</v>
      </c>
    </row>
    <row r="359" spans="1:13">
      <c r="A359" s="1965"/>
      <c r="B359" s="1997" t="s">
        <v>107</v>
      </c>
      <c r="C359" s="1993" t="s">
        <v>1004</v>
      </c>
      <c r="D359" s="1998">
        <v>65.7</v>
      </c>
      <c r="E359" s="1999" t="s">
        <v>87</v>
      </c>
      <c r="F359" s="1975">
        <v>28.9</v>
      </c>
      <c r="G359" s="1975">
        <v>10</v>
      </c>
      <c r="H359" s="1906">
        <f t="shared" si="54"/>
        <v>1898.73</v>
      </c>
      <c r="I359" s="1906">
        <f t="shared" si="55"/>
        <v>657</v>
      </c>
      <c r="J359" s="1906">
        <f t="shared" si="56"/>
        <v>2555.73</v>
      </c>
      <c r="K359" s="1907"/>
      <c r="M359" s="1885" t="s">
        <v>1021</v>
      </c>
    </row>
    <row r="360" spans="1:13">
      <c r="A360" s="1965"/>
      <c r="B360" s="1997" t="s">
        <v>107</v>
      </c>
      <c r="C360" s="1993" t="s">
        <v>1006</v>
      </c>
      <c r="D360" s="1998">
        <v>244.2</v>
      </c>
      <c r="E360" s="1999" t="s">
        <v>87</v>
      </c>
      <c r="F360" s="1975">
        <v>28.9</v>
      </c>
      <c r="G360" s="1975">
        <v>10</v>
      </c>
      <c r="H360" s="1906">
        <f t="shared" si="54"/>
        <v>7057.3799999999992</v>
      </c>
      <c r="I360" s="1906">
        <f t="shared" si="55"/>
        <v>2442</v>
      </c>
      <c r="J360" s="1906">
        <f t="shared" si="56"/>
        <v>9499.3799999999992</v>
      </c>
      <c r="K360" s="1907"/>
      <c r="M360" s="1885" t="s">
        <v>1021</v>
      </c>
    </row>
    <row r="361" spans="1:13">
      <c r="A361" s="1965"/>
      <c r="B361" s="1997" t="s">
        <v>107</v>
      </c>
      <c r="C361" s="1993" t="s">
        <v>1005</v>
      </c>
      <c r="D361" s="1998">
        <v>60.5</v>
      </c>
      <c r="E361" s="1999" t="s">
        <v>87</v>
      </c>
      <c r="F361" s="1975">
        <v>31</v>
      </c>
      <c r="G361" s="1975">
        <v>10</v>
      </c>
      <c r="H361" s="1906">
        <f t="shared" si="54"/>
        <v>1875.5</v>
      </c>
      <c r="I361" s="1906">
        <f t="shared" si="55"/>
        <v>605</v>
      </c>
      <c r="J361" s="1906">
        <f t="shared" si="56"/>
        <v>2480.5</v>
      </c>
      <c r="K361" s="1907"/>
      <c r="M361" s="1885" t="s">
        <v>1016</v>
      </c>
    </row>
    <row r="362" spans="1:13">
      <c r="A362" s="1965"/>
      <c r="B362" s="1997" t="s">
        <v>107</v>
      </c>
      <c r="C362" s="1993" t="s">
        <v>956</v>
      </c>
      <c r="D362" s="1998">
        <v>10</v>
      </c>
      <c r="E362" s="1999" t="s">
        <v>109</v>
      </c>
      <c r="F362" s="1975">
        <v>108</v>
      </c>
      <c r="G362" s="1975">
        <v>18</v>
      </c>
      <c r="H362" s="1906">
        <f t="shared" si="54"/>
        <v>1080</v>
      </c>
      <c r="I362" s="1906">
        <f t="shared" si="55"/>
        <v>180</v>
      </c>
      <c r="J362" s="1906">
        <f t="shared" si="56"/>
        <v>1260</v>
      </c>
      <c r="K362" s="1907"/>
      <c r="M362" s="1885" t="s">
        <v>1021</v>
      </c>
    </row>
    <row r="363" spans="1:13">
      <c r="A363" s="2000"/>
      <c r="B363" s="1997" t="s">
        <v>107</v>
      </c>
      <c r="C363" s="1993" t="s">
        <v>1059</v>
      </c>
      <c r="D363" s="1998">
        <v>40</v>
      </c>
      <c r="E363" s="1999" t="s">
        <v>27</v>
      </c>
      <c r="F363" s="1975">
        <v>131.32</v>
      </c>
      <c r="G363" s="1975">
        <v>0</v>
      </c>
      <c r="H363" s="1906">
        <f t="shared" si="54"/>
        <v>5252.7999999999993</v>
      </c>
      <c r="I363" s="1906">
        <f t="shared" si="55"/>
        <v>0</v>
      </c>
      <c r="J363" s="1906">
        <f t="shared" si="56"/>
        <v>5252.7999999999993</v>
      </c>
      <c r="K363" s="1907"/>
      <c r="M363" s="1885" t="s">
        <v>654</v>
      </c>
    </row>
    <row r="364" spans="1:13">
      <c r="A364" s="1903"/>
      <c r="B364" s="1904" t="s">
        <v>953</v>
      </c>
      <c r="C364" s="1905" t="s">
        <v>380</v>
      </c>
      <c r="D364" s="1909"/>
      <c r="E364" s="1910"/>
      <c r="F364" s="1906"/>
      <c r="G364" s="1906"/>
      <c r="H364" s="1906"/>
      <c r="I364" s="1906"/>
      <c r="J364" s="1906"/>
      <c r="K364" s="1907"/>
    </row>
    <row r="365" spans="1:13">
      <c r="A365" s="1903"/>
      <c r="B365" s="1904" t="s">
        <v>107</v>
      </c>
      <c r="C365" s="1993" t="s">
        <v>952</v>
      </c>
      <c r="D365" s="1991">
        <v>7.7</v>
      </c>
      <c r="E365" s="1903" t="s">
        <v>86</v>
      </c>
      <c r="F365" s="1900">
        <v>119</v>
      </c>
      <c r="G365" s="1900">
        <v>82</v>
      </c>
      <c r="H365" s="1906">
        <f>+F365*D365</f>
        <v>916.30000000000007</v>
      </c>
      <c r="I365" s="1906">
        <f>+G365*D365</f>
        <v>631.4</v>
      </c>
      <c r="J365" s="1906">
        <f>+H365+I365</f>
        <v>1547.7</v>
      </c>
      <c r="K365" s="1907"/>
      <c r="M365" s="1885" t="s">
        <v>1076</v>
      </c>
    </row>
    <row r="366" spans="1:13">
      <c r="A366" s="1903"/>
      <c r="B366" s="1904" t="s">
        <v>107</v>
      </c>
      <c r="C366" s="1993" t="s">
        <v>957</v>
      </c>
      <c r="D366" s="1981">
        <v>18.399999999999999</v>
      </c>
      <c r="E366" s="1994" t="s">
        <v>84</v>
      </c>
      <c r="F366" s="1995">
        <v>200</v>
      </c>
      <c r="G366" s="1996">
        <v>40</v>
      </c>
      <c r="H366" s="1906">
        <f>+F366*D366</f>
        <v>3679.9999999999995</v>
      </c>
      <c r="I366" s="1906">
        <f>+G366*D366</f>
        <v>736</v>
      </c>
      <c r="J366" s="1906">
        <f>+H366+I366</f>
        <v>4416</v>
      </c>
      <c r="K366" s="1907"/>
      <c r="M366" s="1885" t="s">
        <v>1016</v>
      </c>
    </row>
    <row r="367" spans="1:13">
      <c r="A367" s="1972"/>
      <c r="B367" s="2001" t="s">
        <v>107</v>
      </c>
      <c r="C367" s="2002" t="s">
        <v>1780</v>
      </c>
      <c r="D367" s="1930">
        <v>6.4</v>
      </c>
      <c r="E367" s="1909" t="s">
        <v>84</v>
      </c>
      <c r="F367" s="1909">
        <v>2100</v>
      </c>
      <c r="G367" s="1930">
        <v>250</v>
      </c>
      <c r="H367" s="1930">
        <f>F367*D367</f>
        <v>13440</v>
      </c>
      <c r="I367" s="1930">
        <f>G367*D367</f>
        <v>1600</v>
      </c>
      <c r="J367" s="1930">
        <f>H367+I367</f>
        <v>15040</v>
      </c>
      <c r="K367" s="2003"/>
      <c r="L367" s="1875"/>
      <c r="M367" s="1875"/>
    </row>
    <row r="368" spans="1:13" s="1875" customFormat="1">
      <c r="A368" s="1972"/>
      <c r="B368" s="2001" t="s">
        <v>107</v>
      </c>
      <c r="C368" s="2002" t="s">
        <v>955</v>
      </c>
      <c r="D368" s="1930">
        <v>10</v>
      </c>
      <c r="E368" s="1909" t="s">
        <v>109</v>
      </c>
      <c r="F368" s="1909">
        <v>45</v>
      </c>
      <c r="G368" s="1930">
        <v>7.5</v>
      </c>
      <c r="H368" s="1930">
        <f>F368*D368</f>
        <v>450</v>
      </c>
      <c r="I368" s="1930">
        <f>G368*D368</f>
        <v>75</v>
      </c>
      <c r="J368" s="1930">
        <f>H368+I368</f>
        <v>525</v>
      </c>
      <c r="K368" s="2003"/>
    </row>
    <row r="369" spans="1:13" s="1875" customFormat="1">
      <c r="A369" s="1972"/>
      <c r="B369" s="2001" t="s">
        <v>107</v>
      </c>
      <c r="C369" s="2002" t="s">
        <v>1060</v>
      </c>
      <c r="D369" s="1930">
        <v>40</v>
      </c>
      <c r="E369" s="1909" t="s">
        <v>27</v>
      </c>
      <c r="F369" s="1975">
        <v>99.84</v>
      </c>
      <c r="G369" s="1975">
        <v>0</v>
      </c>
      <c r="H369" s="1930">
        <f>F369*D369</f>
        <v>3993.6000000000004</v>
      </c>
      <c r="I369" s="1930">
        <f>G369*D369</f>
        <v>0</v>
      </c>
      <c r="J369" s="1930">
        <f>H369+I369</f>
        <v>3993.6000000000004</v>
      </c>
      <c r="K369" s="2003"/>
    </row>
    <row r="370" spans="1:13" s="1875" customFormat="1">
      <c r="A370" s="2000"/>
      <c r="B370" s="2004" t="s">
        <v>954</v>
      </c>
      <c r="C370" s="2005" t="s">
        <v>380</v>
      </c>
      <c r="D370" s="1956"/>
      <c r="E370" s="2006"/>
      <c r="F370" s="2007"/>
      <c r="G370" s="2007"/>
      <c r="H370" s="2007"/>
      <c r="I370" s="2007"/>
      <c r="J370" s="2007"/>
      <c r="K370" s="1908"/>
      <c r="L370" s="1871"/>
      <c r="M370" s="1902"/>
    </row>
    <row r="371" spans="1:13">
      <c r="A371" s="1903"/>
      <c r="B371" s="1904" t="s">
        <v>107</v>
      </c>
      <c r="C371" s="1993" t="s">
        <v>952</v>
      </c>
      <c r="D371" s="1981">
        <v>10.1</v>
      </c>
      <c r="E371" s="1903" t="s">
        <v>86</v>
      </c>
      <c r="F371" s="1906">
        <v>119</v>
      </c>
      <c r="G371" s="1906">
        <v>82</v>
      </c>
      <c r="H371" s="1906">
        <f>+F371*D371</f>
        <v>1201.8999999999999</v>
      </c>
      <c r="I371" s="1906">
        <f>+G371*D371</f>
        <v>828.19999999999993</v>
      </c>
      <c r="J371" s="1906">
        <f>+H371+I371</f>
        <v>2030.1</v>
      </c>
      <c r="K371" s="1907"/>
      <c r="M371" s="1885" t="s">
        <v>1076</v>
      </c>
    </row>
    <row r="372" spans="1:13">
      <c r="A372" s="1897"/>
      <c r="B372" s="2008" t="s">
        <v>107</v>
      </c>
      <c r="C372" s="2009" t="s">
        <v>957</v>
      </c>
      <c r="D372" s="1991">
        <v>24.2</v>
      </c>
      <c r="E372" s="2010" t="s">
        <v>84</v>
      </c>
      <c r="F372" s="2011">
        <v>200</v>
      </c>
      <c r="G372" s="2012">
        <v>40</v>
      </c>
      <c r="H372" s="1900">
        <f>+F372*D372</f>
        <v>4840</v>
      </c>
      <c r="I372" s="1900">
        <f>+G372*D372</f>
        <v>968</v>
      </c>
      <c r="J372" s="1900">
        <f>+H372+I372</f>
        <v>5808</v>
      </c>
      <c r="K372" s="1901"/>
      <c r="M372" s="1885" t="s">
        <v>1016</v>
      </c>
    </row>
    <row r="373" spans="1:13">
      <c r="A373" s="1972"/>
      <c r="B373" s="2001" t="s">
        <v>107</v>
      </c>
      <c r="C373" s="2002" t="s">
        <v>1085</v>
      </c>
      <c r="D373" s="1930">
        <v>33.700000000000003</v>
      </c>
      <c r="E373" s="1909" t="s">
        <v>87</v>
      </c>
      <c r="F373" s="1909">
        <v>32.1</v>
      </c>
      <c r="G373" s="1930">
        <v>10</v>
      </c>
      <c r="H373" s="1930">
        <f>F373*D373</f>
        <v>1081.7700000000002</v>
      </c>
      <c r="I373" s="1930">
        <f>G373*D373</f>
        <v>337</v>
      </c>
      <c r="J373" s="1930">
        <f>H373+I373</f>
        <v>1418.7700000000002</v>
      </c>
      <c r="K373" s="2003"/>
      <c r="L373" s="1875"/>
      <c r="M373" s="1875"/>
    </row>
    <row r="374" spans="1:13" s="1875" customFormat="1">
      <c r="A374" s="1903"/>
      <c r="B374" s="2386" t="s">
        <v>392</v>
      </c>
      <c r="C374" s="2386"/>
      <c r="D374" s="1909"/>
      <c r="E374" s="1910"/>
      <c r="F374" s="1906"/>
      <c r="G374" s="1906"/>
      <c r="H374" s="1906"/>
      <c r="I374" s="1906"/>
      <c r="J374" s="1906"/>
      <c r="K374" s="1907"/>
      <c r="L374" s="1871"/>
      <c r="M374" s="1902"/>
    </row>
    <row r="375" spans="1:13">
      <c r="A375" s="1965"/>
      <c r="B375" s="1997" t="s">
        <v>107</v>
      </c>
      <c r="C375" s="1993" t="s">
        <v>1081</v>
      </c>
      <c r="D375" s="1998">
        <v>79.599999999999994</v>
      </c>
      <c r="E375" s="1999" t="s">
        <v>87</v>
      </c>
      <c r="F375" s="1975">
        <v>28.9</v>
      </c>
      <c r="G375" s="1975">
        <v>10</v>
      </c>
      <c r="H375" s="1906">
        <f>+F375*D375</f>
        <v>2300.4399999999996</v>
      </c>
      <c r="I375" s="1906">
        <f>+G375*D375</f>
        <v>796</v>
      </c>
      <c r="J375" s="1906">
        <f>+H375+I375</f>
        <v>3096.4399999999996</v>
      </c>
      <c r="K375" s="1907"/>
      <c r="M375" s="1885" t="s">
        <v>1021</v>
      </c>
    </row>
    <row r="376" spans="1:13">
      <c r="A376" s="1965"/>
      <c r="B376" s="1997" t="s">
        <v>107</v>
      </c>
      <c r="C376" s="1993" t="s">
        <v>1084</v>
      </c>
      <c r="D376" s="1998">
        <v>338</v>
      </c>
      <c r="E376" s="1999" t="s">
        <v>87</v>
      </c>
      <c r="F376" s="1975">
        <v>28.9</v>
      </c>
      <c r="G376" s="1975">
        <v>10</v>
      </c>
      <c r="H376" s="1906">
        <f>+F376*D376</f>
        <v>9768.1999999999989</v>
      </c>
      <c r="I376" s="1906">
        <f>+G376*D376</f>
        <v>3380</v>
      </c>
      <c r="J376" s="1906">
        <f>+H376+I376</f>
        <v>13148.199999999999</v>
      </c>
      <c r="K376" s="1907"/>
      <c r="M376" s="1885" t="s">
        <v>1021</v>
      </c>
    </row>
    <row r="377" spans="1:13">
      <c r="A377" s="1965"/>
      <c r="B377" s="1997" t="s">
        <v>107</v>
      </c>
      <c r="C377" s="1993" t="s">
        <v>1083</v>
      </c>
      <c r="D377" s="1998">
        <v>56.7</v>
      </c>
      <c r="E377" s="1999" t="s">
        <v>87</v>
      </c>
      <c r="F377" s="1975">
        <v>31</v>
      </c>
      <c r="G377" s="1975">
        <v>10</v>
      </c>
      <c r="H377" s="1906">
        <f>+F377*D377</f>
        <v>1757.7</v>
      </c>
      <c r="I377" s="1906">
        <f>+G377*D377</f>
        <v>567</v>
      </c>
      <c r="J377" s="1906">
        <f>+H377+I377</f>
        <v>2324.6999999999998</v>
      </c>
      <c r="K377" s="1907"/>
      <c r="M377" s="1885" t="s">
        <v>1016</v>
      </c>
    </row>
    <row r="378" spans="1:13">
      <c r="A378" s="1863"/>
      <c r="B378" s="1864"/>
      <c r="C378" s="1865"/>
      <c r="D378" s="1866"/>
      <c r="E378" s="1867"/>
      <c r="F378" s="1868"/>
      <c r="G378" s="1868"/>
      <c r="H378" s="1868"/>
      <c r="I378" s="1868"/>
      <c r="J378" s="1868"/>
      <c r="K378" s="1869"/>
      <c r="M378" s="1885"/>
    </row>
    <row r="379" spans="1:13">
      <c r="B379" s="1860"/>
      <c r="C379" s="2133" t="s">
        <v>133</v>
      </c>
      <c r="D379" s="2134"/>
      <c r="E379" s="2135"/>
      <c r="F379" s="2136"/>
      <c r="G379" s="2137"/>
      <c r="H379" s="2137"/>
      <c r="I379" s="2137"/>
      <c r="J379" s="2137"/>
      <c r="K379" s="2137"/>
      <c r="M379" s="1885"/>
    </row>
    <row r="380" spans="1:13">
      <c r="B380" s="2138"/>
      <c r="C380" s="2139" t="s">
        <v>1769</v>
      </c>
      <c r="D380" s="2140"/>
      <c r="E380" s="1861"/>
      <c r="F380" s="2135"/>
      <c r="G380" s="2139" t="s">
        <v>134</v>
      </c>
      <c r="H380" s="2138"/>
      <c r="I380" s="2138"/>
      <c r="J380" s="2138"/>
      <c r="K380" s="2138"/>
      <c r="M380" s="1885"/>
    </row>
    <row r="381" spans="1:13">
      <c r="B381" s="1871"/>
      <c r="C381" s="2141" t="s">
        <v>1970</v>
      </c>
      <c r="D381" s="2140"/>
      <c r="E381" s="2142"/>
      <c r="F381" s="2143"/>
      <c r="G381" s="2144" t="s">
        <v>1971</v>
      </c>
      <c r="H381" s="2145"/>
      <c r="I381" s="2145"/>
      <c r="J381" s="2145"/>
      <c r="K381" s="2145"/>
      <c r="M381" s="1885"/>
    </row>
    <row r="382" spans="1:13">
      <c r="A382" s="1837"/>
      <c r="B382" s="2138"/>
      <c r="C382" s="2139" t="s">
        <v>2031</v>
      </c>
      <c r="D382" s="2140"/>
      <c r="E382" s="1837"/>
      <c r="F382" s="2146"/>
      <c r="G382" s="2139" t="s">
        <v>2031</v>
      </c>
      <c r="H382" s="1837"/>
      <c r="I382" s="1837"/>
      <c r="J382" s="1837"/>
      <c r="K382" s="1837"/>
      <c r="M382" s="1885"/>
    </row>
    <row r="383" spans="1:13">
      <c r="A383" s="1952"/>
      <c r="B383" s="1871"/>
      <c r="C383" s="2147" t="s">
        <v>1984</v>
      </c>
      <c r="D383" s="2140"/>
      <c r="E383" s="1837"/>
      <c r="F383" s="2135"/>
      <c r="G383" s="2147" t="s">
        <v>1985</v>
      </c>
      <c r="H383" s="1952"/>
      <c r="I383" s="1952"/>
      <c r="J383" s="1952"/>
      <c r="K383" s="1952"/>
      <c r="M383" s="1885"/>
    </row>
    <row r="384" spans="1:13">
      <c r="A384" s="1952"/>
      <c r="B384" s="1952"/>
      <c r="C384" s="2139" t="s">
        <v>670</v>
      </c>
      <c r="D384" s="2139"/>
      <c r="E384" s="2143"/>
      <c r="F384" s="2143"/>
      <c r="G384" s="1952"/>
      <c r="H384" s="1952"/>
      <c r="I384" s="1952"/>
      <c r="J384" s="1952"/>
      <c r="K384" s="1952"/>
      <c r="M384" s="1885"/>
    </row>
    <row r="385" spans="1:13">
      <c r="C385" s="2147" t="s">
        <v>1972</v>
      </c>
      <c r="D385" s="2147"/>
      <c r="E385" s="2146"/>
      <c r="F385" s="2146"/>
      <c r="M385" s="1885"/>
    </row>
    <row r="386" spans="1:13">
      <c r="A386" s="1965"/>
      <c r="B386" s="1997" t="s">
        <v>107</v>
      </c>
      <c r="C386" s="1993" t="s">
        <v>956</v>
      </c>
      <c r="D386" s="1998">
        <v>16</v>
      </c>
      <c r="E386" s="1999" t="s">
        <v>109</v>
      </c>
      <c r="F386" s="1975">
        <v>108</v>
      </c>
      <c r="G386" s="1975">
        <v>18</v>
      </c>
      <c r="H386" s="1906">
        <f>+F386*D386</f>
        <v>1728</v>
      </c>
      <c r="I386" s="1906">
        <f>+G386*D386</f>
        <v>288</v>
      </c>
      <c r="J386" s="1906">
        <f>+H386+I386</f>
        <v>2016</v>
      </c>
      <c r="K386" s="1907"/>
      <c r="M386" s="1885" t="s">
        <v>1021</v>
      </c>
    </row>
    <row r="387" spans="1:13">
      <c r="A387" s="2000"/>
      <c r="B387" s="1997" t="s">
        <v>107</v>
      </c>
      <c r="C387" s="1993" t="s">
        <v>1059</v>
      </c>
      <c r="D387" s="1998">
        <f>D386*4</f>
        <v>64</v>
      </c>
      <c r="E387" s="1999" t="s">
        <v>27</v>
      </c>
      <c r="F387" s="1975">
        <v>131.32</v>
      </c>
      <c r="G387" s="1975">
        <v>0</v>
      </c>
      <c r="H387" s="1906">
        <f>+F387*D387</f>
        <v>8404.48</v>
      </c>
      <c r="I387" s="1906">
        <f>+G387*D387</f>
        <v>0</v>
      </c>
      <c r="J387" s="1906">
        <f>+H387+I387</f>
        <v>8404.48</v>
      </c>
      <c r="K387" s="1907"/>
      <c r="M387" s="1885" t="s">
        <v>654</v>
      </c>
    </row>
    <row r="388" spans="1:13">
      <c r="A388" s="1903"/>
      <c r="B388" s="2386" t="s">
        <v>384</v>
      </c>
      <c r="C388" s="2386"/>
      <c r="D388" s="1909"/>
      <c r="E388" s="1910"/>
      <c r="F388" s="1906"/>
      <c r="G388" s="1906"/>
      <c r="H388" s="1906"/>
      <c r="I388" s="1906"/>
      <c r="J388" s="1906"/>
      <c r="K388" s="1907"/>
    </row>
    <row r="389" spans="1:13">
      <c r="A389" s="1965"/>
      <c r="B389" s="1997" t="s">
        <v>107</v>
      </c>
      <c r="C389" s="1993" t="s">
        <v>1026</v>
      </c>
      <c r="D389" s="1998">
        <v>944</v>
      </c>
      <c r="E389" s="1999" t="s">
        <v>1027</v>
      </c>
      <c r="F389" s="1975">
        <v>48</v>
      </c>
      <c r="G389" s="1975">
        <v>19</v>
      </c>
      <c r="H389" s="1906">
        <f>+F389*D389</f>
        <v>45312</v>
      </c>
      <c r="I389" s="1906">
        <f>+G389*D389</f>
        <v>17936</v>
      </c>
      <c r="J389" s="1906">
        <f>+H389+I389</f>
        <v>63248</v>
      </c>
      <c r="K389" s="1907"/>
      <c r="L389" s="1871" t="s">
        <v>1967</v>
      </c>
      <c r="M389" s="1885" t="s">
        <v>622</v>
      </c>
    </row>
    <row r="390" spans="1:13">
      <c r="A390" s="1903"/>
      <c r="B390" s="1997" t="s">
        <v>107</v>
      </c>
      <c r="C390" s="1993" t="s">
        <v>1141</v>
      </c>
      <c r="D390" s="1998">
        <v>136.19999999999999</v>
      </c>
      <c r="E390" s="1999" t="s">
        <v>86</v>
      </c>
      <c r="F390" s="1975">
        <v>3500</v>
      </c>
      <c r="G390" s="1975">
        <v>500</v>
      </c>
      <c r="H390" s="1906">
        <f>+F390*D390</f>
        <v>476699.99999999994</v>
      </c>
      <c r="I390" s="1906">
        <f>+G390*D390</f>
        <v>68100</v>
      </c>
      <c r="J390" s="1906">
        <f>+H390+I390</f>
        <v>544800</v>
      </c>
      <c r="K390" s="1907"/>
      <c r="L390" s="1907" t="s">
        <v>1923</v>
      </c>
      <c r="M390" s="2013" t="s">
        <v>1913</v>
      </c>
    </row>
    <row r="391" spans="1:13" s="1875" customFormat="1">
      <c r="A391" s="1972"/>
      <c r="B391" s="2001"/>
      <c r="C391" s="2014" t="s">
        <v>1809</v>
      </c>
      <c r="D391" s="1930"/>
      <c r="E391" s="1909"/>
      <c r="F391" s="1909"/>
      <c r="G391" s="1930"/>
      <c r="H391" s="1930"/>
      <c r="I391" s="1930"/>
      <c r="J391" s="1930"/>
      <c r="K391" s="1907"/>
    </row>
    <row r="392" spans="1:13" s="1875" customFormat="1">
      <c r="A392" s="1972"/>
      <c r="B392" s="2001"/>
      <c r="C392" s="2014" t="s">
        <v>1140</v>
      </c>
      <c r="D392" s="1930"/>
      <c r="E392" s="1909"/>
      <c r="F392" s="1909"/>
      <c r="G392" s="1930"/>
      <c r="H392" s="1930"/>
      <c r="I392" s="1930"/>
      <c r="J392" s="1930"/>
      <c r="K392" s="1907"/>
    </row>
    <row r="393" spans="1:13" s="1875" customFormat="1">
      <c r="A393" s="1972"/>
      <c r="B393" s="2001" t="s">
        <v>107</v>
      </c>
      <c r="C393" s="2014" t="s">
        <v>1920</v>
      </c>
      <c r="D393" s="1998">
        <v>136.19999999999999</v>
      </c>
      <c r="E393" s="1999" t="s">
        <v>86</v>
      </c>
      <c r="F393" s="1975">
        <v>420</v>
      </c>
      <c r="G393" s="1975">
        <v>0</v>
      </c>
      <c r="H393" s="1906">
        <f>+F393*D393</f>
        <v>57203.999999999993</v>
      </c>
      <c r="I393" s="1906">
        <f>+G393*D393</f>
        <v>0</v>
      </c>
      <c r="J393" s="1906">
        <f>+H393+I393</f>
        <v>57203.999999999993</v>
      </c>
      <c r="K393" s="1907"/>
      <c r="L393" s="1871"/>
      <c r="M393" s="2018" t="s">
        <v>1016</v>
      </c>
    </row>
    <row r="394" spans="1:13" s="1875" customFormat="1">
      <c r="A394" s="1972"/>
      <c r="B394" s="2001" t="s">
        <v>107</v>
      </c>
      <c r="C394" s="2014" t="s">
        <v>1921</v>
      </c>
      <c r="D394" s="1930">
        <v>136.19999999999999</v>
      </c>
      <c r="E394" s="1909" t="s">
        <v>86</v>
      </c>
      <c r="F394" s="1909">
        <v>0</v>
      </c>
      <c r="G394" s="1930">
        <v>525</v>
      </c>
      <c r="H394" s="1930">
        <f>+F394*D394</f>
        <v>0</v>
      </c>
      <c r="I394" s="1930">
        <f>+G394*D394</f>
        <v>71505</v>
      </c>
      <c r="J394" s="1930">
        <f>+H394+I394</f>
        <v>71505</v>
      </c>
      <c r="K394" s="1907"/>
      <c r="M394" s="1875" t="s">
        <v>1016</v>
      </c>
    </row>
    <row r="395" spans="1:13" s="1875" customFormat="1">
      <c r="A395" s="1972"/>
      <c r="B395" s="1997" t="s">
        <v>107</v>
      </c>
      <c r="C395" s="1993" t="s">
        <v>1807</v>
      </c>
      <c r="D395" s="1998">
        <v>35</v>
      </c>
      <c r="E395" s="1999" t="s">
        <v>109</v>
      </c>
      <c r="F395" s="1975">
        <v>7500</v>
      </c>
      <c r="G395" s="1975">
        <v>500</v>
      </c>
      <c r="H395" s="1906">
        <f>+F395*D395</f>
        <v>262500</v>
      </c>
      <c r="I395" s="1906">
        <f>+G395*D395</f>
        <v>17500</v>
      </c>
      <c r="J395" s="1906">
        <f>+H395+I395</f>
        <v>280000</v>
      </c>
      <c r="K395" s="1907"/>
      <c r="L395" s="2003" t="s">
        <v>1900</v>
      </c>
      <c r="M395" s="1875" t="s">
        <v>622</v>
      </c>
    </row>
    <row r="396" spans="1:13">
      <c r="A396" s="1903"/>
      <c r="B396" s="1997" t="s">
        <v>107</v>
      </c>
      <c r="C396" s="1993" t="s">
        <v>1810</v>
      </c>
      <c r="D396" s="1998">
        <v>56</v>
      </c>
      <c r="E396" s="1999" t="s">
        <v>962</v>
      </c>
      <c r="F396" s="1975">
        <v>3428.58</v>
      </c>
      <c r="G396" s="1975">
        <f>F396*0.3</f>
        <v>1028.5739999999998</v>
      </c>
      <c r="H396" s="1906">
        <f>+F396*D396</f>
        <v>192000.47999999998</v>
      </c>
      <c r="I396" s="1906">
        <f>+G396*D396</f>
        <v>57600.143999999993</v>
      </c>
      <c r="J396" s="1906">
        <f>+H396+I396</f>
        <v>249600.62399999998</v>
      </c>
      <c r="K396" s="1907"/>
      <c r="L396" s="1907" t="s">
        <v>1910</v>
      </c>
      <c r="M396" s="1902" t="s">
        <v>622</v>
      </c>
    </row>
    <row r="397" spans="1:13">
      <c r="A397" s="2032"/>
      <c r="B397" s="1878"/>
      <c r="C397" s="2033"/>
      <c r="D397" s="1880"/>
      <c r="E397" s="1881"/>
      <c r="F397" s="1882"/>
      <c r="G397" s="1882"/>
      <c r="H397" s="2017"/>
      <c r="I397" s="2017"/>
      <c r="J397" s="2017"/>
      <c r="K397" s="1884"/>
    </row>
    <row r="398" spans="1:13" ht="24.75" thickBot="1">
      <c r="A398" s="2034"/>
      <c r="B398" s="2035"/>
      <c r="C398" s="1888" t="str">
        <f>"รวมราคา "&amp;B192</f>
        <v>รวมราคา งานสถาปัตยกรรม ชั้น 2</v>
      </c>
      <c r="D398" s="1889"/>
      <c r="E398" s="1890"/>
      <c r="F398" s="1891"/>
      <c r="G398" s="1891"/>
      <c r="H398" s="1891">
        <f>SUM(H194:H396)</f>
        <v>5490433.870000001</v>
      </c>
      <c r="I398" s="1891">
        <f>SUM(I194:I396)</f>
        <v>1619863.784</v>
      </c>
      <c r="J398" s="1891">
        <f>SUM(J194:J396)</f>
        <v>7110297.6540000029</v>
      </c>
      <c r="K398" s="1891"/>
      <c r="L398" s="1870"/>
      <c r="M398" s="1892"/>
    </row>
    <row r="399" spans="1:13" s="1860" customFormat="1" ht="24.75" thickTop="1">
      <c r="A399" s="2037">
        <v>2.2999999999999998</v>
      </c>
      <c r="B399" s="2404" t="s">
        <v>194</v>
      </c>
      <c r="C399" s="2404"/>
      <c r="D399" s="2038"/>
      <c r="E399" s="2037"/>
      <c r="F399" s="2039"/>
      <c r="G399" s="2039"/>
      <c r="H399" s="2039"/>
      <c r="I399" s="2039"/>
      <c r="J399" s="2039"/>
      <c r="K399" s="2039"/>
      <c r="L399" s="2175"/>
      <c r="M399" s="1892"/>
    </row>
    <row r="400" spans="1:13" s="1860" customFormat="1">
      <c r="A400" s="1897"/>
      <c r="B400" s="2388" t="s">
        <v>201</v>
      </c>
      <c r="C400" s="2388"/>
      <c r="D400" s="1898"/>
      <c r="E400" s="1899"/>
      <c r="F400" s="1900"/>
      <c r="G400" s="1900"/>
      <c r="H400" s="1900"/>
      <c r="I400" s="1900"/>
      <c r="J400" s="1900"/>
      <c r="K400" s="1901"/>
      <c r="L400" s="1871"/>
      <c r="M400" s="1902"/>
    </row>
    <row r="401" spans="1:14">
      <c r="A401" s="1903"/>
      <c r="B401" s="1904" t="s">
        <v>3</v>
      </c>
      <c r="C401" s="1905" t="s">
        <v>723</v>
      </c>
      <c r="D401" s="1898">
        <v>241.6</v>
      </c>
      <c r="E401" s="1899" t="s">
        <v>86</v>
      </c>
      <c r="F401" s="1900">
        <v>606</v>
      </c>
      <c r="G401" s="1900">
        <v>222</v>
      </c>
      <c r="H401" s="1906">
        <f t="shared" ref="H401:H418" si="57">+F401*D401</f>
        <v>146409.60000000001</v>
      </c>
      <c r="I401" s="1906">
        <f t="shared" ref="I401:I418" si="58">+G401*D401</f>
        <v>53635.199999999997</v>
      </c>
      <c r="J401" s="1906">
        <f t="shared" ref="J401:J418" si="59">+H401+I401</f>
        <v>200044.79999999999</v>
      </c>
      <c r="K401" s="1907"/>
      <c r="M401" s="1885" t="s">
        <v>1875</v>
      </c>
      <c r="N401" s="1861"/>
    </row>
    <row r="402" spans="1:14" s="1862" customFormat="1">
      <c r="A402" s="1903"/>
      <c r="B402" s="1904" t="s">
        <v>137</v>
      </c>
      <c r="C402" s="1905" t="s">
        <v>724</v>
      </c>
      <c r="D402" s="1898">
        <v>58.5</v>
      </c>
      <c r="E402" s="1899" t="s">
        <v>86</v>
      </c>
      <c r="F402" s="1900">
        <v>606</v>
      </c>
      <c r="G402" s="1900">
        <v>222</v>
      </c>
      <c r="H402" s="1906">
        <f t="shared" si="57"/>
        <v>35451</v>
      </c>
      <c r="I402" s="1906">
        <f t="shared" si="58"/>
        <v>12987</v>
      </c>
      <c r="J402" s="1906">
        <f t="shared" si="59"/>
        <v>48438</v>
      </c>
      <c r="K402" s="1907"/>
      <c r="L402" s="1871"/>
      <c r="M402" s="1885" t="s">
        <v>1875</v>
      </c>
    </row>
    <row r="403" spans="1:14" s="1862" customFormat="1">
      <c r="A403" s="1903"/>
      <c r="B403" s="1904" t="s">
        <v>4</v>
      </c>
      <c r="C403" s="1905" t="s">
        <v>149</v>
      </c>
      <c r="D403" s="1898">
        <v>41.5</v>
      </c>
      <c r="E403" s="1899" t="s">
        <v>86</v>
      </c>
      <c r="F403" s="1900">
        <v>113</v>
      </c>
      <c r="G403" s="1900">
        <v>87</v>
      </c>
      <c r="H403" s="1906">
        <f t="shared" si="57"/>
        <v>4689.5</v>
      </c>
      <c r="I403" s="1906">
        <f t="shared" si="58"/>
        <v>3610.5</v>
      </c>
      <c r="J403" s="1906">
        <f t="shared" si="59"/>
        <v>8300</v>
      </c>
      <c r="K403" s="1907"/>
      <c r="L403" s="1871"/>
      <c r="M403" s="1885" t="s">
        <v>1875</v>
      </c>
    </row>
    <row r="404" spans="1:14" s="1862" customFormat="1">
      <c r="A404" s="1903"/>
      <c r="B404" s="1904" t="s">
        <v>368</v>
      </c>
      <c r="C404" s="1905" t="s">
        <v>939</v>
      </c>
      <c r="D404" s="1898">
        <v>505.1</v>
      </c>
      <c r="E404" s="1899" t="s">
        <v>86</v>
      </c>
      <c r="F404" s="1900">
        <v>465</v>
      </c>
      <c r="G404" s="1900">
        <v>100</v>
      </c>
      <c r="H404" s="1906">
        <f t="shared" si="57"/>
        <v>234871.5</v>
      </c>
      <c r="I404" s="1906">
        <f t="shared" si="58"/>
        <v>50510</v>
      </c>
      <c r="J404" s="1906">
        <f t="shared" si="59"/>
        <v>285381.5</v>
      </c>
      <c r="K404" s="1907"/>
      <c r="L404" s="1907" t="s">
        <v>1925</v>
      </c>
      <c r="M404" s="1885" t="s">
        <v>1927</v>
      </c>
    </row>
    <row r="405" spans="1:14">
      <c r="A405" s="1903"/>
      <c r="B405" s="1904"/>
      <c r="C405" s="1905" t="s">
        <v>1025</v>
      </c>
      <c r="D405" s="1898">
        <v>191.9</v>
      </c>
      <c r="E405" s="1899" t="s">
        <v>84</v>
      </c>
      <c r="F405" s="1900">
        <v>95</v>
      </c>
      <c r="G405" s="1900">
        <v>40</v>
      </c>
      <c r="H405" s="1906">
        <f t="shared" si="57"/>
        <v>18230.5</v>
      </c>
      <c r="I405" s="1906">
        <f t="shared" si="58"/>
        <v>7676</v>
      </c>
      <c r="J405" s="1906">
        <f t="shared" si="59"/>
        <v>25906.5</v>
      </c>
      <c r="K405" s="1907"/>
      <c r="L405" s="1907"/>
      <c r="M405" s="1885" t="s">
        <v>1928</v>
      </c>
    </row>
    <row r="406" spans="1:14" s="1862" customFormat="1" ht="48">
      <c r="A406" s="1911"/>
      <c r="B406" s="1912" t="s">
        <v>150</v>
      </c>
      <c r="C406" s="1913" t="s">
        <v>940</v>
      </c>
      <c r="D406" s="1920">
        <v>65.7</v>
      </c>
      <c r="E406" s="1921" t="s">
        <v>86</v>
      </c>
      <c r="F406" s="1922">
        <v>1150</v>
      </c>
      <c r="G406" s="1922">
        <v>350</v>
      </c>
      <c r="H406" s="1916">
        <f t="shared" si="57"/>
        <v>75555</v>
      </c>
      <c r="I406" s="1916">
        <f t="shared" si="58"/>
        <v>22995</v>
      </c>
      <c r="J406" s="1916">
        <f t="shared" si="59"/>
        <v>98550</v>
      </c>
      <c r="K406" s="1907"/>
      <c r="L406" s="1917" t="s">
        <v>1925</v>
      </c>
      <c r="M406" s="1918" t="s">
        <v>1076</v>
      </c>
      <c r="N406" s="1852"/>
    </row>
    <row r="407" spans="1:14">
      <c r="A407" s="1903"/>
      <c r="B407" s="1904" t="s">
        <v>107</v>
      </c>
      <c r="C407" s="1993" t="s">
        <v>1224</v>
      </c>
      <c r="D407" s="1981">
        <v>76</v>
      </c>
      <c r="E407" s="1994" t="s">
        <v>84</v>
      </c>
      <c r="F407" s="1995">
        <v>165</v>
      </c>
      <c r="G407" s="1996">
        <v>40</v>
      </c>
      <c r="H407" s="1906">
        <f t="shared" si="57"/>
        <v>12540</v>
      </c>
      <c r="I407" s="1906">
        <f t="shared" si="58"/>
        <v>3040</v>
      </c>
      <c r="J407" s="1906">
        <f t="shared" si="59"/>
        <v>15580</v>
      </c>
      <c r="K407" s="1907"/>
      <c r="M407" s="1885" t="s">
        <v>1016</v>
      </c>
    </row>
    <row r="408" spans="1:14">
      <c r="A408" s="1863"/>
      <c r="B408" s="1864"/>
      <c r="C408" s="1865"/>
      <c r="D408" s="1866"/>
      <c r="E408" s="1867"/>
      <c r="F408" s="1868"/>
      <c r="G408" s="1868"/>
      <c r="H408" s="1868"/>
      <c r="I408" s="1868"/>
      <c r="J408" s="1868"/>
      <c r="K408" s="1869"/>
      <c r="M408" s="1885"/>
    </row>
    <row r="409" spans="1:14">
      <c r="B409" s="1860"/>
      <c r="C409" s="2133" t="s">
        <v>133</v>
      </c>
      <c r="D409" s="2134"/>
      <c r="E409" s="2135"/>
      <c r="F409" s="2136"/>
      <c r="G409" s="2137"/>
      <c r="H409" s="2137"/>
      <c r="I409" s="2137"/>
      <c r="J409" s="2137"/>
      <c r="K409" s="2137"/>
      <c r="M409" s="1885"/>
    </row>
    <row r="410" spans="1:14">
      <c r="B410" s="2138"/>
      <c r="C410" s="2139" t="s">
        <v>1769</v>
      </c>
      <c r="D410" s="2140"/>
      <c r="E410" s="1861"/>
      <c r="F410" s="2135"/>
      <c r="G410" s="2139" t="s">
        <v>134</v>
      </c>
      <c r="H410" s="2138"/>
      <c r="I410" s="2138"/>
      <c r="J410" s="2138"/>
      <c r="K410" s="2138"/>
      <c r="M410" s="1885"/>
    </row>
    <row r="411" spans="1:14">
      <c r="B411" s="1871"/>
      <c r="C411" s="2141" t="s">
        <v>1970</v>
      </c>
      <c r="D411" s="2140"/>
      <c r="E411" s="2142"/>
      <c r="F411" s="2143"/>
      <c r="G411" s="2144" t="s">
        <v>1971</v>
      </c>
      <c r="H411" s="2145"/>
      <c r="I411" s="2145"/>
      <c r="J411" s="2145"/>
      <c r="K411" s="2145"/>
      <c r="M411" s="1885"/>
    </row>
    <row r="412" spans="1:14">
      <c r="A412" s="1837"/>
      <c r="B412" s="2138"/>
      <c r="C412" s="2139" t="s">
        <v>2031</v>
      </c>
      <c r="D412" s="2140"/>
      <c r="E412" s="1837"/>
      <c r="F412" s="2146"/>
      <c r="G412" s="2139" t="s">
        <v>2031</v>
      </c>
      <c r="H412" s="1837"/>
      <c r="I412" s="1837"/>
      <c r="J412" s="1837"/>
      <c r="K412" s="1837"/>
      <c r="M412" s="1885"/>
    </row>
    <row r="413" spans="1:14">
      <c r="A413" s="1952"/>
      <c r="B413" s="1871"/>
      <c r="C413" s="2147" t="s">
        <v>1984</v>
      </c>
      <c r="D413" s="2140"/>
      <c r="E413" s="1837"/>
      <c r="F413" s="2135"/>
      <c r="G413" s="2147" t="s">
        <v>1985</v>
      </c>
      <c r="H413" s="1952"/>
      <c r="I413" s="1952"/>
      <c r="J413" s="1952"/>
      <c r="K413" s="1952"/>
      <c r="M413" s="1885"/>
    </row>
    <row r="414" spans="1:14">
      <c r="A414" s="1952"/>
      <c r="B414" s="1952"/>
      <c r="C414" s="2139" t="s">
        <v>670</v>
      </c>
      <c r="D414" s="2139"/>
      <c r="E414" s="2143"/>
      <c r="F414" s="2143"/>
      <c r="G414" s="1952"/>
      <c r="H414" s="1952"/>
      <c r="I414" s="1952"/>
      <c r="J414" s="1952"/>
      <c r="K414" s="1952"/>
      <c r="M414" s="1885"/>
    </row>
    <row r="415" spans="1:14">
      <c r="C415" s="2147" t="s">
        <v>1972</v>
      </c>
      <c r="D415" s="2147"/>
      <c r="E415" s="2146"/>
      <c r="F415" s="2146"/>
      <c r="M415" s="1885"/>
    </row>
    <row r="416" spans="1:14" s="1862" customFormat="1">
      <c r="A416" s="1903"/>
      <c r="B416" s="1904" t="s">
        <v>108</v>
      </c>
      <c r="C416" s="1905" t="s">
        <v>725</v>
      </c>
      <c r="D416" s="1898">
        <v>60.1</v>
      </c>
      <c r="E416" s="1899" t="s">
        <v>86</v>
      </c>
      <c r="F416" s="1900">
        <v>123</v>
      </c>
      <c r="G416" s="1900">
        <v>82</v>
      </c>
      <c r="H416" s="1906">
        <f t="shared" si="57"/>
        <v>7392.3</v>
      </c>
      <c r="I416" s="1906">
        <f t="shared" si="58"/>
        <v>4928.2</v>
      </c>
      <c r="J416" s="1906">
        <f t="shared" si="59"/>
        <v>12320.5</v>
      </c>
      <c r="K416" s="1907"/>
      <c r="L416" s="1871"/>
      <c r="M416" s="1885" t="s">
        <v>1875</v>
      </c>
    </row>
    <row r="417" spans="1:14" s="1862" customFormat="1">
      <c r="A417" s="1903"/>
      <c r="B417" s="1904"/>
      <c r="C417" s="1905" t="s">
        <v>727</v>
      </c>
      <c r="D417" s="1898">
        <f>D401+D402</f>
        <v>300.10000000000002</v>
      </c>
      <c r="E417" s="1899" t="s">
        <v>86</v>
      </c>
      <c r="F417" s="1900">
        <v>109</v>
      </c>
      <c r="G417" s="1900">
        <v>64</v>
      </c>
      <c r="H417" s="1906">
        <f t="shared" si="57"/>
        <v>32710.9</v>
      </c>
      <c r="I417" s="1906">
        <f t="shared" si="58"/>
        <v>19206.400000000001</v>
      </c>
      <c r="J417" s="1906">
        <f t="shared" si="59"/>
        <v>51917.3</v>
      </c>
      <c r="K417" s="1907"/>
      <c r="L417" s="1871"/>
      <c r="M417" s="1885" t="s">
        <v>1878</v>
      </c>
    </row>
    <row r="418" spans="1:14">
      <c r="A418" s="1903"/>
      <c r="B418" s="1904"/>
      <c r="C418" s="1905" t="s">
        <v>728</v>
      </c>
      <c r="D418" s="1898">
        <f>D404</f>
        <v>505.1</v>
      </c>
      <c r="E418" s="1899" t="s">
        <v>86</v>
      </c>
      <c r="F418" s="1900">
        <v>175</v>
      </c>
      <c r="G418" s="1900">
        <v>40</v>
      </c>
      <c r="H418" s="1906">
        <f t="shared" si="57"/>
        <v>88392.5</v>
      </c>
      <c r="I418" s="1906">
        <f t="shared" si="58"/>
        <v>20204</v>
      </c>
      <c r="J418" s="1906">
        <f t="shared" si="59"/>
        <v>108596.5</v>
      </c>
      <c r="K418" s="1907"/>
      <c r="M418" s="1885" t="s">
        <v>1076</v>
      </c>
    </row>
    <row r="419" spans="1:14">
      <c r="A419" s="1903"/>
      <c r="B419" s="2386" t="s">
        <v>366</v>
      </c>
      <c r="C419" s="2386"/>
      <c r="D419" s="1898"/>
      <c r="E419" s="1899"/>
      <c r="F419" s="1900"/>
      <c r="G419" s="1900"/>
      <c r="H419" s="1906"/>
      <c r="I419" s="1906"/>
      <c r="J419" s="1906"/>
      <c r="K419" s="1907"/>
    </row>
    <row r="420" spans="1:14">
      <c r="A420" s="1903"/>
      <c r="B420" s="1904" t="s">
        <v>733</v>
      </c>
      <c r="C420" s="1905" t="s">
        <v>1241</v>
      </c>
      <c r="D420" s="1898">
        <v>698.8</v>
      </c>
      <c r="E420" s="1899" t="s">
        <v>86</v>
      </c>
      <c r="F420" s="1900">
        <v>273</v>
      </c>
      <c r="G420" s="1900">
        <v>53</v>
      </c>
      <c r="H420" s="1906">
        <f>+F420*D420</f>
        <v>190772.4</v>
      </c>
      <c r="I420" s="1906">
        <f>+G420*D420</f>
        <v>37036.399999999994</v>
      </c>
      <c r="J420" s="1906">
        <f>+H420+I420</f>
        <v>227808.8</v>
      </c>
      <c r="K420" s="1907"/>
      <c r="M420" s="1885" t="s">
        <v>1876</v>
      </c>
      <c r="N420" s="1861"/>
    </row>
    <row r="421" spans="1:14">
      <c r="A421" s="2000"/>
      <c r="B421" s="2004" t="s">
        <v>734</v>
      </c>
      <c r="C421" s="2005" t="s">
        <v>653</v>
      </c>
      <c r="D421" s="2015">
        <v>9</v>
      </c>
      <c r="E421" s="2016" t="s">
        <v>5</v>
      </c>
      <c r="F421" s="1900">
        <v>14500</v>
      </c>
      <c r="G421" s="1900">
        <v>800</v>
      </c>
      <c r="H421" s="2007">
        <f>+F421*D421</f>
        <v>130500</v>
      </c>
      <c r="I421" s="2007">
        <f>+G421*D421</f>
        <v>7200</v>
      </c>
      <c r="J421" s="2007">
        <f>+H421+I421</f>
        <v>137700</v>
      </c>
      <c r="L421" s="1908" t="s">
        <v>1885</v>
      </c>
      <c r="M421" s="1885" t="s">
        <v>622</v>
      </c>
    </row>
    <row r="422" spans="1:14">
      <c r="A422" s="2000"/>
      <c r="B422" s="2004" t="s">
        <v>735</v>
      </c>
      <c r="C422" s="2005" t="s">
        <v>1768</v>
      </c>
      <c r="D422" s="1956">
        <v>193.51</v>
      </c>
      <c r="E422" s="2006" t="s">
        <v>86</v>
      </c>
      <c r="F422" s="2017">
        <v>754</v>
      </c>
      <c r="G422" s="2007">
        <v>75</v>
      </c>
      <c r="H422" s="2007">
        <f>+F422*D422</f>
        <v>145906.53999999998</v>
      </c>
      <c r="I422" s="2007">
        <f>+G422*D422</f>
        <v>14513.25</v>
      </c>
      <c r="J422" s="2007">
        <f>+H422+I422</f>
        <v>160419.78999999998</v>
      </c>
      <c r="K422" s="1908"/>
      <c r="M422" s="1885" t="s">
        <v>1877</v>
      </c>
      <c r="N422" s="1861"/>
    </row>
    <row r="423" spans="1:14" s="1862" customFormat="1">
      <c r="A423" s="1903"/>
      <c r="B423" s="1904" t="s">
        <v>947</v>
      </c>
      <c r="C423" s="1905" t="s">
        <v>1786</v>
      </c>
      <c r="D423" s="1898">
        <v>39.96</v>
      </c>
      <c r="E423" s="1899" t="s">
        <v>86</v>
      </c>
      <c r="F423" s="1900">
        <v>144</v>
      </c>
      <c r="G423" s="1900">
        <v>100</v>
      </c>
      <c r="H423" s="1906">
        <f>+F423*D423</f>
        <v>5754.24</v>
      </c>
      <c r="I423" s="1906">
        <f>+G423*D423</f>
        <v>3996</v>
      </c>
      <c r="J423" s="1906">
        <f>+H423+I423</f>
        <v>9750.24</v>
      </c>
      <c r="K423" s="1907"/>
      <c r="L423" s="1871"/>
      <c r="M423" s="1885" t="s">
        <v>1076</v>
      </c>
    </row>
    <row r="424" spans="1:14" s="1862" customFormat="1">
      <c r="A424" s="1903"/>
      <c r="B424" s="2052" t="s">
        <v>365</v>
      </c>
      <c r="C424" s="1905"/>
      <c r="D424" s="1898"/>
      <c r="E424" s="1899"/>
      <c r="F424" s="1900"/>
      <c r="G424" s="1900"/>
      <c r="H424" s="1906"/>
      <c r="I424" s="1906"/>
      <c r="J424" s="1906"/>
      <c r="K424" s="1907"/>
      <c r="L424" s="1871"/>
      <c r="M424" s="1885"/>
    </row>
    <row r="425" spans="1:14" s="1862" customFormat="1" ht="48">
      <c r="A425" s="1911"/>
      <c r="B425" s="1912">
        <v>1</v>
      </c>
      <c r="C425" s="1913" t="s">
        <v>736</v>
      </c>
      <c r="D425" s="1914">
        <v>515</v>
      </c>
      <c r="E425" s="1915" t="s">
        <v>86</v>
      </c>
      <c r="F425" s="1916">
        <v>165</v>
      </c>
      <c r="G425" s="1916">
        <v>240</v>
      </c>
      <c r="H425" s="1916">
        <f t="shared" ref="H425:H444" si="60">+F425*D425</f>
        <v>84975</v>
      </c>
      <c r="I425" s="1916">
        <f t="shared" ref="I425:I444" si="61">+G425*D425</f>
        <v>123600</v>
      </c>
      <c r="J425" s="1916">
        <f t="shared" ref="J425:J444" si="62">+H425+I425</f>
        <v>208575</v>
      </c>
      <c r="K425" s="1917"/>
      <c r="L425" s="2048"/>
      <c r="M425" s="1918" t="s">
        <v>1076</v>
      </c>
      <c r="N425" s="1852"/>
    </row>
    <row r="426" spans="1:14" s="1862" customFormat="1">
      <c r="A426" s="1911"/>
      <c r="B426" s="1912">
        <v>2</v>
      </c>
      <c r="C426" s="1913" t="s">
        <v>738</v>
      </c>
      <c r="D426" s="1920">
        <v>77.099999999999994</v>
      </c>
      <c r="E426" s="1921" t="s">
        <v>86</v>
      </c>
      <c r="F426" s="1922">
        <v>155</v>
      </c>
      <c r="G426" s="1922">
        <v>155</v>
      </c>
      <c r="H426" s="1916">
        <f t="shared" si="60"/>
        <v>11950.5</v>
      </c>
      <c r="I426" s="1916">
        <f t="shared" si="61"/>
        <v>11950.5</v>
      </c>
      <c r="J426" s="1916">
        <f t="shared" si="62"/>
        <v>23901</v>
      </c>
      <c r="K426" s="1917"/>
      <c r="L426" s="2048"/>
      <c r="M426" s="1918" t="s">
        <v>1076</v>
      </c>
      <c r="N426" s="1852"/>
    </row>
    <row r="427" spans="1:14" s="1862" customFormat="1">
      <c r="A427" s="1911"/>
      <c r="B427" s="1912">
        <v>3</v>
      </c>
      <c r="C427" s="1913" t="s">
        <v>737</v>
      </c>
      <c r="D427" s="1920">
        <v>2.4</v>
      </c>
      <c r="E427" s="1921" t="s">
        <v>86</v>
      </c>
      <c r="F427" s="1922">
        <v>135</v>
      </c>
      <c r="G427" s="1922">
        <v>155</v>
      </c>
      <c r="H427" s="1916">
        <f t="shared" si="60"/>
        <v>324</v>
      </c>
      <c r="I427" s="1916">
        <f t="shared" si="61"/>
        <v>372</v>
      </c>
      <c r="J427" s="1916">
        <f t="shared" si="62"/>
        <v>696</v>
      </c>
      <c r="K427" s="1917"/>
      <c r="L427" s="2048"/>
      <c r="M427" s="1918" t="s">
        <v>1076</v>
      </c>
    </row>
    <row r="428" spans="1:14" s="1862" customFormat="1" ht="48">
      <c r="A428" s="1911"/>
      <c r="B428" s="1912">
        <v>4</v>
      </c>
      <c r="C428" s="1913" t="s">
        <v>1767</v>
      </c>
      <c r="D428" s="1920">
        <v>160.5</v>
      </c>
      <c r="E428" s="1921" t="s">
        <v>86</v>
      </c>
      <c r="F428" s="1922">
        <v>540</v>
      </c>
      <c r="G428" s="1922">
        <v>271</v>
      </c>
      <c r="H428" s="1916">
        <f t="shared" si="60"/>
        <v>86670</v>
      </c>
      <c r="I428" s="1916">
        <f t="shared" si="61"/>
        <v>43495.5</v>
      </c>
      <c r="J428" s="1916">
        <f t="shared" si="62"/>
        <v>130165.5</v>
      </c>
      <c r="L428" s="1917" t="s">
        <v>1939</v>
      </c>
      <c r="M428" s="1918" t="s">
        <v>1076</v>
      </c>
    </row>
    <row r="429" spans="1:14" s="1862" customFormat="1" ht="48">
      <c r="A429" s="1911"/>
      <c r="B429" s="1912">
        <v>5</v>
      </c>
      <c r="C429" s="1913" t="s">
        <v>739</v>
      </c>
      <c r="D429" s="1920">
        <v>229.3</v>
      </c>
      <c r="E429" s="1921" t="s">
        <v>86</v>
      </c>
      <c r="F429" s="1922">
        <v>165</v>
      </c>
      <c r="G429" s="1922">
        <v>240</v>
      </c>
      <c r="H429" s="1916">
        <f t="shared" si="60"/>
        <v>37834.5</v>
      </c>
      <c r="I429" s="1916">
        <f t="shared" si="61"/>
        <v>55032</v>
      </c>
      <c r="J429" s="1916">
        <f t="shared" si="62"/>
        <v>92866.5</v>
      </c>
      <c r="K429" s="1917"/>
      <c r="L429" s="2048"/>
      <c r="M429" s="1918" t="s">
        <v>1076</v>
      </c>
      <c r="N429" s="1852"/>
    </row>
    <row r="430" spans="1:14" s="1862" customFormat="1" ht="48">
      <c r="A430" s="1911"/>
      <c r="B430" s="1912">
        <v>6</v>
      </c>
      <c r="C430" s="1913" t="s">
        <v>740</v>
      </c>
      <c r="D430" s="1920">
        <v>78.2</v>
      </c>
      <c r="E430" s="1921" t="s">
        <v>86</v>
      </c>
      <c r="F430" s="1922">
        <v>285</v>
      </c>
      <c r="G430" s="1922">
        <v>240</v>
      </c>
      <c r="H430" s="1916">
        <f t="shared" si="60"/>
        <v>22287</v>
      </c>
      <c r="I430" s="1916">
        <f t="shared" si="61"/>
        <v>18768</v>
      </c>
      <c r="J430" s="1916">
        <f t="shared" si="62"/>
        <v>41055</v>
      </c>
      <c r="K430" s="1917"/>
      <c r="L430" s="2048"/>
      <c r="M430" s="1918" t="s">
        <v>1076</v>
      </c>
      <c r="N430" s="1852"/>
    </row>
    <row r="431" spans="1:14" s="1862" customFormat="1">
      <c r="A431" s="1911"/>
      <c r="B431" s="1912">
        <v>7</v>
      </c>
      <c r="C431" s="1913" t="s">
        <v>372</v>
      </c>
      <c r="D431" s="1920">
        <v>12.3</v>
      </c>
      <c r="E431" s="1921" t="s">
        <v>86</v>
      </c>
      <c r="F431" s="1922">
        <v>151</v>
      </c>
      <c r="G431" s="1922">
        <v>92</v>
      </c>
      <c r="H431" s="1916">
        <f t="shared" si="60"/>
        <v>1857.3000000000002</v>
      </c>
      <c r="I431" s="1916">
        <f t="shared" si="61"/>
        <v>1131.6000000000001</v>
      </c>
      <c r="J431" s="1916">
        <f t="shared" si="62"/>
        <v>2988.9000000000005</v>
      </c>
      <c r="K431" s="1917"/>
      <c r="L431" s="2048"/>
      <c r="M431" s="1918" t="s">
        <v>1876</v>
      </c>
    </row>
    <row r="432" spans="1:14" s="1862" customFormat="1" ht="48">
      <c r="A432" s="1911"/>
      <c r="B432" s="1912">
        <v>8</v>
      </c>
      <c r="C432" s="1913" t="s">
        <v>936</v>
      </c>
      <c r="D432" s="1920">
        <v>86.4</v>
      </c>
      <c r="E432" s="1921" t="s">
        <v>86</v>
      </c>
      <c r="F432" s="1922">
        <v>1481</v>
      </c>
      <c r="G432" s="1922">
        <v>130</v>
      </c>
      <c r="H432" s="1916">
        <f>+F432*D432</f>
        <v>127958.40000000001</v>
      </c>
      <c r="I432" s="1916">
        <f>+G432*D432</f>
        <v>11232</v>
      </c>
      <c r="J432" s="1916">
        <f>+H432+I432</f>
        <v>139190.40000000002</v>
      </c>
      <c r="K432" s="1917"/>
      <c r="L432" s="2048"/>
      <c r="M432" s="1918" t="s">
        <v>1076</v>
      </c>
      <c r="N432" s="1852"/>
    </row>
    <row r="433" spans="1:14">
      <c r="A433" s="1903"/>
      <c r="B433" s="1904">
        <v>9</v>
      </c>
      <c r="C433" s="1905" t="s">
        <v>741</v>
      </c>
      <c r="D433" s="1898">
        <v>29.6</v>
      </c>
      <c r="E433" s="1899" t="s">
        <v>86</v>
      </c>
      <c r="F433" s="1900">
        <v>1526</v>
      </c>
      <c r="G433" s="1900">
        <v>276</v>
      </c>
      <c r="H433" s="1906">
        <f t="shared" si="60"/>
        <v>45169.599999999999</v>
      </c>
      <c r="I433" s="1906">
        <f t="shared" si="61"/>
        <v>8169.6</v>
      </c>
      <c r="J433" s="1906">
        <f t="shared" si="62"/>
        <v>53339.199999999997</v>
      </c>
      <c r="K433" s="1907"/>
      <c r="L433" s="1907" t="s">
        <v>1940</v>
      </c>
      <c r="M433" s="1885" t="s">
        <v>1076</v>
      </c>
    </row>
    <row r="434" spans="1:14">
      <c r="A434" s="1903"/>
      <c r="B434" s="1904">
        <v>10</v>
      </c>
      <c r="C434" s="1905" t="s">
        <v>1747</v>
      </c>
      <c r="D434" s="1898">
        <v>827</v>
      </c>
      <c r="E434" s="1899" t="s">
        <v>86</v>
      </c>
      <c r="F434" s="1900">
        <v>75</v>
      </c>
      <c r="G434" s="1900">
        <v>87</v>
      </c>
      <c r="H434" s="1906">
        <f t="shared" si="60"/>
        <v>62025</v>
      </c>
      <c r="I434" s="1906">
        <f t="shared" si="61"/>
        <v>71949</v>
      </c>
      <c r="J434" s="1906">
        <f t="shared" si="62"/>
        <v>133974</v>
      </c>
      <c r="K434" s="1907"/>
      <c r="L434" s="1907"/>
      <c r="M434" s="1885" t="s">
        <v>1879</v>
      </c>
      <c r="N434" s="1861"/>
    </row>
    <row r="435" spans="1:14">
      <c r="A435" s="1863"/>
      <c r="B435" s="1864"/>
      <c r="C435" s="1865"/>
      <c r="D435" s="1866"/>
      <c r="E435" s="1867"/>
      <c r="F435" s="1868"/>
      <c r="G435" s="1868"/>
      <c r="H435" s="1868"/>
      <c r="I435" s="1868"/>
      <c r="J435" s="1868"/>
      <c r="K435" s="1869"/>
      <c r="L435" s="1907"/>
      <c r="M435" s="1885"/>
      <c r="N435" s="1861"/>
    </row>
    <row r="436" spans="1:14">
      <c r="B436" s="1860"/>
      <c r="C436" s="2133" t="s">
        <v>133</v>
      </c>
      <c r="D436" s="2134"/>
      <c r="E436" s="2135"/>
      <c r="F436" s="2136"/>
      <c r="G436" s="2137"/>
      <c r="H436" s="2137"/>
      <c r="I436" s="2137"/>
      <c r="J436" s="2137"/>
      <c r="K436" s="2137"/>
      <c r="L436" s="1907"/>
      <c r="M436" s="1885"/>
      <c r="N436" s="1861"/>
    </row>
    <row r="437" spans="1:14">
      <c r="B437" s="2138"/>
      <c r="C437" s="2139" t="s">
        <v>1769</v>
      </c>
      <c r="D437" s="2140"/>
      <c r="E437" s="1861"/>
      <c r="F437" s="2135"/>
      <c r="G437" s="2139" t="s">
        <v>134</v>
      </c>
      <c r="H437" s="2138"/>
      <c r="I437" s="2138"/>
      <c r="J437" s="2138"/>
      <c r="K437" s="2138"/>
      <c r="L437" s="1907"/>
      <c r="M437" s="1885"/>
      <c r="N437" s="1861"/>
    </row>
    <row r="438" spans="1:14">
      <c r="B438" s="1871"/>
      <c r="C438" s="2141" t="s">
        <v>1970</v>
      </c>
      <c r="D438" s="2140"/>
      <c r="E438" s="2142"/>
      <c r="F438" s="2143"/>
      <c r="G438" s="2144" t="s">
        <v>1971</v>
      </c>
      <c r="H438" s="2145"/>
      <c r="I438" s="2145"/>
      <c r="J438" s="2145"/>
      <c r="K438" s="2145"/>
      <c r="L438" s="1907"/>
      <c r="M438" s="1885"/>
      <c r="N438" s="1861"/>
    </row>
    <row r="439" spans="1:14">
      <c r="A439" s="1837"/>
      <c r="B439" s="2138"/>
      <c r="C439" s="2139" t="s">
        <v>2031</v>
      </c>
      <c r="D439" s="2140"/>
      <c r="E439" s="1837"/>
      <c r="F439" s="2146"/>
      <c r="G439" s="2139" t="s">
        <v>2031</v>
      </c>
      <c r="H439" s="1837"/>
      <c r="I439" s="1837"/>
      <c r="J439" s="1837"/>
      <c r="K439" s="1837"/>
      <c r="L439" s="1907"/>
      <c r="M439" s="1885"/>
      <c r="N439" s="1861"/>
    </row>
    <row r="440" spans="1:14">
      <c r="A440" s="1952"/>
      <c r="B440" s="1871"/>
      <c r="C440" s="2147" t="s">
        <v>1984</v>
      </c>
      <c r="D440" s="2140"/>
      <c r="E440" s="1837"/>
      <c r="F440" s="2135"/>
      <c r="G440" s="2147" t="s">
        <v>1985</v>
      </c>
      <c r="H440" s="1952"/>
      <c r="I440" s="1952"/>
      <c r="J440" s="1952"/>
      <c r="K440" s="1952"/>
      <c r="L440" s="1907"/>
      <c r="M440" s="1885"/>
      <c r="N440" s="1861"/>
    </row>
    <row r="441" spans="1:14">
      <c r="A441" s="1952"/>
      <c r="B441" s="1952"/>
      <c r="C441" s="2139" t="s">
        <v>670</v>
      </c>
      <c r="D441" s="2139"/>
      <c r="E441" s="2143"/>
      <c r="F441" s="2143"/>
      <c r="G441" s="1952"/>
      <c r="H441" s="1952"/>
      <c r="I441" s="1952"/>
      <c r="J441" s="1952"/>
      <c r="K441" s="1952"/>
      <c r="L441" s="1907"/>
      <c r="M441" s="1885"/>
      <c r="N441" s="1861"/>
    </row>
    <row r="442" spans="1:14">
      <c r="C442" s="2147" t="s">
        <v>1972</v>
      </c>
      <c r="D442" s="2147"/>
      <c r="E442" s="2146"/>
      <c r="F442" s="2146"/>
      <c r="L442" s="1907"/>
      <c r="M442" s="1885"/>
      <c r="N442" s="1861"/>
    </row>
    <row r="443" spans="1:14">
      <c r="A443" s="1903"/>
      <c r="B443" s="1904">
        <v>11</v>
      </c>
      <c r="C443" s="1905" t="s">
        <v>1748</v>
      </c>
      <c r="D443" s="1898">
        <v>185.3</v>
      </c>
      <c r="E443" s="1899" t="s">
        <v>86</v>
      </c>
      <c r="F443" s="1900">
        <v>75</v>
      </c>
      <c r="G443" s="1900">
        <v>87</v>
      </c>
      <c r="H443" s="1906">
        <f t="shared" si="60"/>
        <v>13897.5</v>
      </c>
      <c r="I443" s="1906">
        <f t="shared" si="61"/>
        <v>16121.1</v>
      </c>
      <c r="J443" s="1906">
        <f t="shared" si="62"/>
        <v>30018.6</v>
      </c>
      <c r="K443" s="1907"/>
      <c r="L443" s="1907"/>
      <c r="M443" s="1885" t="s">
        <v>1879</v>
      </c>
      <c r="N443" s="1861"/>
    </row>
    <row r="444" spans="1:14">
      <c r="A444" s="1903"/>
      <c r="B444" s="1904">
        <v>12</v>
      </c>
      <c r="C444" s="1905" t="s">
        <v>742</v>
      </c>
      <c r="D444" s="1898">
        <v>83.8</v>
      </c>
      <c r="E444" s="1899" t="s">
        <v>86</v>
      </c>
      <c r="F444" s="1900">
        <v>1111</v>
      </c>
      <c r="G444" s="1900">
        <v>164</v>
      </c>
      <c r="H444" s="1906">
        <f t="shared" si="60"/>
        <v>93101.8</v>
      </c>
      <c r="I444" s="1906">
        <f t="shared" si="61"/>
        <v>13743.199999999999</v>
      </c>
      <c r="J444" s="1906">
        <f t="shared" si="62"/>
        <v>106845</v>
      </c>
      <c r="K444" s="1907"/>
      <c r="L444" s="1907" t="s">
        <v>1938</v>
      </c>
      <c r="M444" s="2018" t="s">
        <v>1898</v>
      </c>
    </row>
    <row r="445" spans="1:14">
      <c r="A445" s="1903"/>
      <c r="B445" s="1904" t="s">
        <v>620</v>
      </c>
      <c r="C445" s="1905" t="s">
        <v>1008</v>
      </c>
      <c r="D445" s="1909">
        <v>700.9</v>
      </c>
      <c r="E445" s="1910" t="s">
        <v>84</v>
      </c>
      <c r="F445" s="1906">
        <v>79</v>
      </c>
      <c r="G445" s="1906">
        <v>46</v>
      </c>
      <c r="H445" s="1906">
        <f>+F445*D445</f>
        <v>55371.1</v>
      </c>
      <c r="I445" s="1906">
        <f>+G445*D445</f>
        <v>32241.399999999998</v>
      </c>
      <c r="J445" s="1906">
        <f>+H445+I445</f>
        <v>87612.5</v>
      </c>
      <c r="K445" s="1907"/>
      <c r="M445" s="1885" t="s">
        <v>1879</v>
      </c>
      <c r="N445" s="1861"/>
    </row>
    <row r="446" spans="1:14">
      <c r="A446" s="1903"/>
      <c r="B446" s="1904" t="s">
        <v>621</v>
      </c>
      <c r="C446" s="1905" t="s">
        <v>1009</v>
      </c>
      <c r="D446" s="1909">
        <v>156</v>
      </c>
      <c r="E446" s="1910" t="s">
        <v>84</v>
      </c>
      <c r="F446" s="1906">
        <v>120</v>
      </c>
      <c r="G446" s="1906">
        <v>64</v>
      </c>
      <c r="H446" s="1906">
        <f>+F446*D446</f>
        <v>18720</v>
      </c>
      <c r="I446" s="1906">
        <f>+G446*D446</f>
        <v>9984</v>
      </c>
      <c r="J446" s="1906">
        <f>+H446+I446</f>
        <v>28704</v>
      </c>
      <c r="K446" s="1907"/>
      <c r="M446" s="1885" t="s">
        <v>1879</v>
      </c>
      <c r="N446" s="1861"/>
    </row>
    <row r="447" spans="1:14">
      <c r="A447" s="1903"/>
      <c r="B447" s="1904" t="s">
        <v>1007</v>
      </c>
      <c r="C447" s="1905" t="s">
        <v>1010</v>
      </c>
      <c r="D447" s="1909">
        <v>15</v>
      </c>
      <c r="E447" s="1910" t="s">
        <v>84</v>
      </c>
      <c r="F447" s="1906">
        <v>120</v>
      </c>
      <c r="G447" s="1906">
        <v>81</v>
      </c>
      <c r="H447" s="1906">
        <f>+F447*D447</f>
        <v>1800</v>
      </c>
      <c r="I447" s="1906">
        <f>+G447*D447</f>
        <v>1215</v>
      </c>
      <c r="J447" s="1906">
        <f>+H447+I447</f>
        <v>3015</v>
      </c>
      <c r="K447" s="1907"/>
      <c r="M447" s="1885" t="s">
        <v>1879</v>
      </c>
      <c r="N447" s="1861"/>
    </row>
    <row r="448" spans="1:14">
      <c r="A448" s="1903"/>
      <c r="B448" s="1904"/>
      <c r="C448" s="1905" t="s">
        <v>1078</v>
      </c>
      <c r="D448" s="1898">
        <v>279</v>
      </c>
      <c r="E448" s="1910" t="s">
        <v>113</v>
      </c>
      <c r="F448" s="1900">
        <v>0</v>
      </c>
      <c r="G448" s="1900">
        <v>15</v>
      </c>
      <c r="H448" s="1906">
        <f>+F448*D448</f>
        <v>0</v>
      </c>
      <c r="I448" s="1906">
        <f>+G448*D448</f>
        <v>4185</v>
      </c>
      <c r="J448" s="1906">
        <f>+H448+I448</f>
        <v>4185</v>
      </c>
      <c r="K448" s="1907"/>
      <c r="M448" s="1885" t="s">
        <v>1015</v>
      </c>
      <c r="N448" s="1861"/>
    </row>
    <row r="449" spans="1:14">
      <c r="A449" s="1903"/>
      <c r="B449" s="2386" t="s">
        <v>205</v>
      </c>
      <c r="C449" s="2386"/>
      <c r="D449" s="1909"/>
      <c r="E449" s="1910"/>
      <c r="F449" s="1906"/>
      <c r="G449" s="1906"/>
      <c r="H449" s="1906"/>
      <c r="I449" s="1906"/>
      <c r="J449" s="1906"/>
      <c r="K449" s="1907"/>
    </row>
    <row r="450" spans="1:14">
      <c r="A450" s="1926"/>
      <c r="B450" s="1927" t="s">
        <v>941</v>
      </c>
      <c r="C450" s="1928" t="s">
        <v>1066</v>
      </c>
      <c r="D450" s="1929">
        <f>D434</f>
        <v>827</v>
      </c>
      <c r="E450" s="1926" t="s">
        <v>86</v>
      </c>
      <c r="F450" s="1930">
        <v>35</v>
      </c>
      <c r="G450" s="1930">
        <v>30</v>
      </c>
      <c r="H450" s="1930">
        <f t="shared" ref="H450:H456" si="63">F450*D450</f>
        <v>28945</v>
      </c>
      <c r="I450" s="1930">
        <f t="shared" ref="I450:I456" si="64">G450*D450</f>
        <v>24810</v>
      </c>
      <c r="J450" s="1931">
        <f t="shared" ref="J450:J456" si="65">H450+I450</f>
        <v>53755</v>
      </c>
      <c r="K450" s="1931"/>
      <c r="L450" s="2155"/>
      <c r="M450" s="1885" t="s">
        <v>1875</v>
      </c>
      <c r="N450" s="1861"/>
    </row>
    <row r="451" spans="1:14" s="1872" customFormat="1">
      <c r="A451" s="1926"/>
      <c r="B451" s="1927" t="s">
        <v>942</v>
      </c>
      <c r="C451" s="1928" t="s">
        <v>1067</v>
      </c>
      <c r="D451" s="1929">
        <f>D443</f>
        <v>185.3</v>
      </c>
      <c r="E451" s="1926" t="s">
        <v>86</v>
      </c>
      <c r="F451" s="1930">
        <v>44</v>
      </c>
      <c r="G451" s="1930">
        <v>34</v>
      </c>
      <c r="H451" s="1930">
        <f t="shared" si="63"/>
        <v>8153.2000000000007</v>
      </c>
      <c r="I451" s="1930">
        <f t="shared" si="64"/>
        <v>6300.2000000000007</v>
      </c>
      <c r="J451" s="1931">
        <f t="shared" si="65"/>
        <v>14453.400000000001</v>
      </c>
      <c r="K451" s="1931"/>
      <c r="L451" s="2155"/>
      <c r="M451" s="1885" t="s">
        <v>1875</v>
      </c>
    </row>
    <row r="452" spans="1:14" s="1873" customFormat="1" ht="48">
      <c r="A452" s="1944"/>
      <c r="B452" s="1939" t="s">
        <v>943</v>
      </c>
      <c r="C452" s="1946" t="s">
        <v>1068</v>
      </c>
      <c r="D452" s="1947">
        <f>D460</f>
        <v>215</v>
      </c>
      <c r="E452" s="1944" t="s">
        <v>86</v>
      </c>
      <c r="F452" s="1948">
        <v>33</v>
      </c>
      <c r="G452" s="1948">
        <v>28</v>
      </c>
      <c r="H452" s="1948">
        <f t="shared" si="63"/>
        <v>7095</v>
      </c>
      <c r="I452" s="1948">
        <f t="shared" si="64"/>
        <v>6020</v>
      </c>
      <c r="J452" s="1949">
        <f t="shared" si="65"/>
        <v>13115</v>
      </c>
      <c r="K452" s="1949"/>
      <c r="L452" s="2156"/>
    </row>
    <row r="453" spans="1:14" s="1873" customFormat="1" ht="48">
      <c r="A453" s="1944"/>
      <c r="B453" s="1939" t="s">
        <v>944</v>
      </c>
      <c r="C453" s="1946" t="s">
        <v>1069</v>
      </c>
      <c r="D453" s="1947">
        <f>D461</f>
        <v>81</v>
      </c>
      <c r="E453" s="1944" t="s">
        <v>86</v>
      </c>
      <c r="F453" s="1948">
        <v>33</v>
      </c>
      <c r="G453" s="1942">
        <v>30</v>
      </c>
      <c r="H453" s="1948">
        <f t="shared" si="63"/>
        <v>2673</v>
      </c>
      <c r="I453" s="1948">
        <f t="shared" si="64"/>
        <v>2430</v>
      </c>
      <c r="J453" s="1949">
        <f t="shared" si="65"/>
        <v>5103</v>
      </c>
      <c r="K453" s="1949"/>
      <c r="L453" s="2156"/>
      <c r="M453" s="1918" t="s">
        <v>1875</v>
      </c>
    </row>
    <row r="454" spans="1:14" s="1873" customFormat="1" ht="48">
      <c r="A454" s="1938"/>
      <c r="B454" s="1939" t="s">
        <v>945</v>
      </c>
      <c r="C454" s="1940" t="s">
        <v>1070</v>
      </c>
      <c r="D454" s="1941">
        <f>D459</f>
        <v>239</v>
      </c>
      <c r="E454" s="1938" t="s">
        <v>86</v>
      </c>
      <c r="F454" s="1948">
        <v>33</v>
      </c>
      <c r="G454" s="1948">
        <v>30</v>
      </c>
      <c r="H454" s="1942">
        <f t="shared" si="63"/>
        <v>7887</v>
      </c>
      <c r="I454" s="1942">
        <f t="shared" si="64"/>
        <v>7170</v>
      </c>
      <c r="J454" s="1943">
        <f t="shared" si="65"/>
        <v>15057</v>
      </c>
      <c r="K454" s="1943"/>
      <c r="L454" s="2156"/>
      <c r="M454" s="1918" t="s">
        <v>1875</v>
      </c>
    </row>
    <row r="455" spans="1:14" s="1872" customFormat="1">
      <c r="A455" s="1926"/>
      <c r="B455" s="1927" t="s">
        <v>946</v>
      </c>
      <c r="C455" s="1928" t="s">
        <v>1071</v>
      </c>
      <c r="D455" s="1929">
        <v>415</v>
      </c>
      <c r="E455" s="1926" t="s">
        <v>86</v>
      </c>
      <c r="F455" s="1950">
        <v>58</v>
      </c>
      <c r="G455" s="1950">
        <v>35</v>
      </c>
      <c r="H455" s="1930">
        <f t="shared" si="63"/>
        <v>24070</v>
      </c>
      <c r="I455" s="1930">
        <f t="shared" si="64"/>
        <v>14525</v>
      </c>
      <c r="J455" s="1931">
        <f t="shared" si="65"/>
        <v>38595</v>
      </c>
      <c r="K455" s="1931"/>
      <c r="L455" s="2155"/>
      <c r="M455" s="1885" t="s">
        <v>1879</v>
      </c>
    </row>
    <row r="456" spans="1:14">
      <c r="A456" s="1903"/>
      <c r="B456" s="1904" t="s">
        <v>1102</v>
      </c>
      <c r="C456" s="1905" t="s">
        <v>1103</v>
      </c>
      <c r="D456" s="1909">
        <v>20</v>
      </c>
      <c r="E456" s="1910" t="s">
        <v>86</v>
      </c>
      <c r="F456" s="1906">
        <v>471</v>
      </c>
      <c r="G456" s="1906">
        <v>30</v>
      </c>
      <c r="H456" s="1906">
        <f t="shared" si="63"/>
        <v>9420</v>
      </c>
      <c r="I456" s="1906">
        <f t="shared" si="64"/>
        <v>600</v>
      </c>
      <c r="J456" s="1906">
        <f t="shared" si="65"/>
        <v>10020</v>
      </c>
      <c r="K456" s="1907"/>
      <c r="M456" s="1885" t="s">
        <v>1879</v>
      </c>
      <c r="N456" s="1861"/>
    </row>
    <row r="457" spans="1:14">
      <c r="A457" s="1903"/>
      <c r="B457" s="2064" t="s">
        <v>204</v>
      </c>
      <c r="C457" s="1905"/>
      <c r="D457" s="1909"/>
      <c r="E457" s="1910"/>
      <c r="F457" s="1906"/>
      <c r="G457" s="1906"/>
      <c r="H457" s="1906"/>
      <c r="I457" s="1906"/>
      <c r="J457" s="1906"/>
      <c r="K457" s="1907"/>
      <c r="M457" s="1885"/>
      <c r="N457" s="1861"/>
    </row>
    <row r="458" spans="1:14" s="1853" customFormat="1">
      <c r="A458" s="1903"/>
      <c r="B458" s="1904" t="s">
        <v>197</v>
      </c>
      <c r="C458" s="1905" t="s">
        <v>937</v>
      </c>
      <c r="D458" s="1909">
        <v>424.6</v>
      </c>
      <c r="E458" s="1910" t="s">
        <v>86</v>
      </c>
      <c r="F458" s="1906">
        <v>177</v>
      </c>
      <c r="G458" s="1906">
        <v>134</v>
      </c>
      <c r="H458" s="1906">
        <f t="shared" ref="H458:H462" si="66">+F458*D458</f>
        <v>75154.2</v>
      </c>
      <c r="I458" s="1906">
        <f t="shared" ref="I458:I471" si="67">+G458*D458</f>
        <v>56896.4</v>
      </c>
      <c r="J458" s="1906">
        <f t="shared" ref="J458:J462" si="68">+H458+I458</f>
        <v>132050.6</v>
      </c>
      <c r="K458" s="1907"/>
      <c r="L458" s="1871"/>
      <c r="M458" s="1885" t="s">
        <v>1076</v>
      </c>
    </row>
    <row r="459" spans="1:14" s="1853" customFormat="1">
      <c r="A459" s="1903"/>
      <c r="B459" s="1904" t="s">
        <v>373</v>
      </c>
      <c r="C459" s="1905" t="s">
        <v>938</v>
      </c>
      <c r="D459" s="1909">
        <v>239</v>
      </c>
      <c r="E459" s="1910" t="s">
        <v>86</v>
      </c>
      <c r="F459" s="1906">
        <v>100</v>
      </c>
      <c r="G459" s="1906">
        <v>82</v>
      </c>
      <c r="H459" s="1906">
        <f t="shared" si="66"/>
        <v>23900</v>
      </c>
      <c r="I459" s="1906">
        <f t="shared" si="67"/>
        <v>19598</v>
      </c>
      <c r="J459" s="1906">
        <f t="shared" si="68"/>
        <v>43498</v>
      </c>
      <c r="K459" s="1907"/>
      <c r="L459" s="1871"/>
      <c r="M459" s="1885" t="s">
        <v>1879</v>
      </c>
    </row>
    <row r="460" spans="1:14" s="1853" customFormat="1">
      <c r="A460" s="1903"/>
      <c r="B460" s="1904" t="s">
        <v>374</v>
      </c>
      <c r="C460" s="1905" t="s">
        <v>1236</v>
      </c>
      <c r="D460" s="1909">
        <v>215</v>
      </c>
      <c r="E460" s="1910" t="s">
        <v>86</v>
      </c>
      <c r="F460" s="1906">
        <v>298</v>
      </c>
      <c r="G460" s="1906">
        <v>75</v>
      </c>
      <c r="H460" s="1906">
        <f t="shared" si="66"/>
        <v>64070</v>
      </c>
      <c r="I460" s="1906">
        <f t="shared" si="67"/>
        <v>16125</v>
      </c>
      <c r="J460" s="1906">
        <f t="shared" si="68"/>
        <v>80195</v>
      </c>
      <c r="K460" s="1907"/>
      <c r="L460" s="1871"/>
      <c r="M460" s="1885" t="s">
        <v>1876</v>
      </c>
    </row>
    <row r="461" spans="1:14" s="1853" customFormat="1">
      <c r="A461" s="1903"/>
      <c r="B461" s="1904" t="s">
        <v>375</v>
      </c>
      <c r="C461" s="1905" t="s">
        <v>1235</v>
      </c>
      <c r="D461" s="1909">
        <v>81</v>
      </c>
      <c r="E461" s="1910" t="s">
        <v>86</v>
      </c>
      <c r="F461" s="1906">
        <v>343</v>
      </c>
      <c r="G461" s="1906">
        <v>75</v>
      </c>
      <c r="H461" s="1906">
        <f t="shared" si="66"/>
        <v>27783</v>
      </c>
      <c r="I461" s="1906">
        <f t="shared" si="67"/>
        <v>6075</v>
      </c>
      <c r="J461" s="1906">
        <f t="shared" si="68"/>
        <v>33858</v>
      </c>
      <c r="K461" s="1907"/>
      <c r="L461" s="1871"/>
      <c r="M461" s="1885" t="s">
        <v>1876</v>
      </c>
    </row>
    <row r="462" spans="1:14" s="1853" customFormat="1">
      <c r="A462" s="2000"/>
      <c r="B462" s="2004"/>
      <c r="C462" s="2005" t="s">
        <v>1199</v>
      </c>
      <c r="D462" s="1956">
        <v>3</v>
      </c>
      <c r="E462" s="2006" t="s">
        <v>5</v>
      </c>
      <c r="F462" s="2007">
        <v>500</v>
      </c>
      <c r="G462" s="2007">
        <v>100</v>
      </c>
      <c r="H462" s="2007">
        <f t="shared" si="66"/>
        <v>1500</v>
      </c>
      <c r="I462" s="2007">
        <f t="shared" si="67"/>
        <v>300</v>
      </c>
      <c r="J462" s="2007">
        <f t="shared" si="68"/>
        <v>1800</v>
      </c>
      <c r="K462" s="1908"/>
      <c r="L462" s="1871"/>
      <c r="M462" s="2018" t="s">
        <v>1076</v>
      </c>
    </row>
    <row r="463" spans="1:14" s="1853" customFormat="1">
      <c r="A463" s="1863"/>
      <c r="B463" s="1864"/>
      <c r="C463" s="1865"/>
      <c r="D463" s="1866"/>
      <c r="E463" s="1867"/>
      <c r="F463" s="1868"/>
      <c r="G463" s="1868"/>
      <c r="H463" s="1868"/>
      <c r="I463" s="1868"/>
      <c r="J463" s="1868"/>
      <c r="K463" s="1869"/>
      <c r="L463" s="1871"/>
      <c r="M463" s="2018"/>
    </row>
    <row r="464" spans="1:14" s="1853" customFormat="1">
      <c r="A464" s="1840"/>
      <c r="B464" s="1860"/>
      <c r="C464" s="2133" t="s">
        <v>133</v>
      </c>
      <c r="D464" s="2134"/>
      <c r="E464" s="2135"/>
      <c r="F464" s="2136"/>
      <c r="G464" s="2137"/>
      <c r="H464" s="2137"/>
      <c r="I464" s="2137"/>
      <c r="J464" s="2137"/>
      <c r="K464" s="2137"/>
      <c r="L464" s="1871"/>
      <c r="M464" s="2018"/>
    </row>
    <row r="465" spans="1:13" s="1853" customFormat="1">
      <c r="A465" s="1840"/>
      <c r="B465" s="2138"/>
      <c r="C465" s="2139" t="s">
        <v>1769</v>
      </c>
      <c r="D465" s="2140"/>
      <c r="E465" s="1861"/>
      <c r="F465" s="2135"/>
      <c r="G465" s="2139" t="s">
        <v>134</v>
      </c>
      <c r="H465" s="2138"/>
      <c r="I465" s="2138"/>
      <c r="J465" s="2138"/>
      <c r="K465" s="2138"/>
      <c r="L465" s="1871"/>
      <c r="M465" s="2018"/>
    </row>
    <row r="466" spans="1:13" s="1853" customFormat="1">
      <c r="A466" s="1840"/>
      <c r="B466" s="1871"/>
      <c r="C466" s="2141" t="s">
        <v>1970</v>
      </c>
      <c r="D466" s="2140"/>
      <c r="E466" s="2142"/>
      <c r="F466" s="2143"/>
      <c r="G466" s="2144" t="s">
        <v>1971</v>
      </c>
      <c r="H466" s="2145"/>
      <c r="I466" s="2145"/>
      <c r="J466" s="2145"/>
      <c r="K466" s="2145"/>
      <c r="L466" s="1871"/>
      <c r="M466" s="2018"/>
    </row>
    <row r="467" spans="1:13" s="1853" customFormat="1">
      <c r="A467" s="1837"/>
      <c r="B467" s="2138"/>
      <c r="C467" s="2139" t="s">
        <v>2031</v>
      </c>
      <c r="D467" s="2140"/>
      <c r="E467" s="1837"/>
      <c r="F467" s="2146"/>
      <c r="G467" s="2139" t="s">
        <v>2031</v>
      </c>
      <c r="H467" s="1837"/>
      <c r="I467" s="1837"/>
      <c r="J467" s="1837"/>
      <c r="K467" s="1837"/>
      <c r="L467" s="1871"/>
      <c r="M467" s="2018"/>
    </row>
    <row r="468" spans="1:13" s="1853" customFormat="1">
      <c r="A468" s="1952"/>
      <c r="B468" s="1871"/>
      <c r="C468" s="2147" t="s">
        <v>1984</v>
      </c>
      <c r="D468" s="2140"/>
      <c r="E468" s="1837"/>
      <c r="F468" s="2135"/>
      <c r="G468" s="2147" t="s">
        <v>1985</v>
      </c>
      <c r="H468" s="1952"/>
      <c r="I468" s="1952"/>
      <c r="J468" s="1952"/>
      <c r="K468" s="1952"/>
      <c r="L468" s="1871"/>
      <c r="M468" s="2018"/>
    </row>
    <row r="469" spans="1:13" s="1853" customFormat="1">
      <c r="A469" s="1952"/>
      <c r="B469" s="1952"/>
      <c r="C469" s="2139" t="s">
        <v>670</v>
      </c>
      <c r="D469" s="2139"/>
      <c r="E469" s="2143"/>
      <c r="F469" s="2143"/>
      <c r="G469" s="1952"/>
      <c r="H469" s="1952"/>
      <c r="I469" s="1952"/>
      <c r="J469" s="1952"/>
      <c r="K469" s="1952"/>
      <c r="L469" s="1871"/>
      <c r="M469" s="2018"/>
    </row>
    <row r="470" spans="1:13" s="1853" customFormat="1">
      <c r="A470" s="1840"/>
      <c r="B470" s="1840"/>
      <c r="C470" s="2147" t="s">
        <v>1972</v>
      </c>
      <c r="D470" s="2147"/>
      <c r="E470" s="2146"/>
      <c r="F470" s="2146"/>
      <c r="G470" s="1870"/>
      <c r="H470" s="1870"/>
      <c r="I470" s="1870"/>
      <c r="J470" s="1870"/>
      <c r="K470" s="1871"/>
      <c r="L470" s="1871"/>
      <c r="M470" s="2018"/>
    </row>
    <row r="471" spans="1:13" s="1853" customFormat="1">
      <c r="A471" s="1903"/>
      <c r="B471" s="1904"/>
      <c r="C471" s="1905" t="s">
        <v>1072</v>
      </c>
      <c r="D471" s="1909">
        <v>11</v>
      </c>
      <c r="E471" s="1910" t="s">
        <v>5</v>
      </c>
      <c r="F471" s="1906">
        <v>12599</v>
      </c>
      <c r="G471" s="1906">
        <v>1500</v>
      </c>
      <c r="H471" s="1906">
        <f>+F471*D471</f>
        <v>138589</v>
      </c>
      <c r="I471" s="1906">
        <f t="shared" si="67"/>
        <v>16500</v>
      </c>
      <c r="J471" s="1906">
        <f>+H471+I471</f>
        <v>155089</v>
      </c>
      <c r="K471" s="1907"/>
      <c r="L471" s="1871"/>
      <c r="M471" s="2018" t="s">
        <v>1061</v>
      </c>
    </row>
    <row r="472" spans="1:13" s="1853" customFormat="1">
      <c r="A472" s="1897"/>
      <c r="B472" s="2388" t="s">
        <v>202</v>
      </c>
      <c r="C472" s="2388"/>
      <c r="D472" s="1898"/>
      <c r="E472" s="1899"/>
      <c r="F472" s="1900"/>
      <c r="G472" s="1900"/>
      <c r="H472" s="1900"/>
      <c r="I472" s="1900"/>
      <c r="J472" s="1900"/>
      <c r="K472" s="1901"/>
      <c r="L472" s="1871"/>
      <c r="M472" s="1902"/>
    </row>
    <row r="473" spans="1:13">
      <c r="A473" s="1903"/>
      <c r="B473" s="2386" t="s">
        <v>110</v>
      </c>
      <c r="C473" s="2386"/>
      <c r="D473" s="1909"/>
      <c r="E473" s="1910"/>
      <c r="F473" s="1906"/>
      <c r="G473" s="1906"/>
      <c r="H473" s="1906"/>
      <c r="I473" s="1906"/>
      <c r="J473" s="1906"/>
      <c r="K473" s="1907"/>
    </row>
    <row r="474" spans="1:13">
      <c r="A474" s="1903"/>
      <c r="B474" s="1904" t="s">
        <v>612</v>
      </c>
      <c r="C474" s="1905" t="s">
        <v>893</v>
      </c>
      <c r="D474" s="1909">
        <v>3</v>
      </c>
      <c r="E474" s="1910" t="s">
        <v>5</v>
      </c>
      <c r="F474" s="1900">
        <v>12306</v>
      </c>
      <c r="G474" s="1900">
        <v>450</v>
      </c>
      <c r="H474" s="1906">
        <f t="shared" ref="H474:H482" si="69">+F474*D474</f>
        <v>36918</v>
      </c>
      <c r="I474" s="1906">
        <f t="shared" ref="I474:I482" si="70">+G474*D474</f>
        <v>1350</v>
      </c>
      <c r="J474" s="1906">
        <f t="shared" ref="J474:J482" si="71">+H474+I474</f>
        <v>38268</v>
      </c>
      <c r="K474" s="1907"/>
      <c r="M474" s="1952" t="s">
        <v>1926</v>
      </c>
    </row>
    <row r="475" spans="1:13">
      <c r="A475" s="1903"/>
      <c r="B475" s="1904" t="s">
        <v>604</v>
      </c>
      <c r="C475" s="1905" t="s">
        <v>990</v>
      </c>
      <c r="D475" s="1909">
        <v>3</v>
      </c>
      <c r="E475" s="1910" t="s">
        <v>5</v>
      </c>
      <c r="F475" s="1900">
        <v>22000</v>
      </c>
      <c r="G475" s="1900">
        <f>F475*0.3</f>
        <v>6600</v>
      </c>
      <c r="H475" s="1906">
        <f t="shared" si="69"/>
        <v>66000</v>
      </c>
      <c r="I475" s="1906">
        <f t="shared" si="70"/>
        <v>19800</v>
      </c>
      <c r="J475" s="1906">
        <f t="shared" si="71"/>
        <v>85800</v>
      </c>
      <c r="K475" s="1907"/>
      <c r="L475" s="1907" t="s">
        <v>1968</v>
      </c>
      <c r="M475" s="1952" t="s">
        <v>622</v>
      </c>
    </row>
    <row r="476" spans="1:13" s="1874" customFormat="1">
      <c r="A476" s="1903"/>
      <c r="B476" s="1904" t="s">
        <v>890</v>
      </c>
      <c r="C476" s="1905" t="s">
        <v>896</v>
      </c>
      <c r="D476" s="1909">
        <v>1</v>
      </c>
      <c r="E476" s="1910" t="s">
        <v>5</v>
      </c>
      <c r="F476" s="1900">
        <v>21100</v>
      </c>
      <c r="G476" s="1900">
        <v>1450</v>
      </c>
      <c r="H476" s="1906">
        <f t="shared" si="69"/>
        <v>21100</v>
      </c>
      <c r="I476" s="1906">
        <f t="shared" si="70"/>
        <v>1450</v>
      </c>
      <c r="J476" s="1906">
        <f t="shared" si="71"/>
        <v>22550</v>
      </c>
      <c r="K476" s="1907"/>
      <c r="L476" s="1901" t="s">
        <v>1941</v>
      </c>
      <c r="M476" s="1952" t="s">
        <v>1942</v>
      </c>
    </row>
    <row r="477" spans="1:13" s="1874" customFormat="1">
      <c r="A477" s="1903"/>
      <c r="B477" s="1904" t="s">
        <v>609</v>
      </c>
      <c r="C477" s="1905" t="s">
        <v>895</v>
      </c>
      <c r="D477" s="1909">
        <v>2</v>
      </c>
      <c r="E477" s="1910" t="s">
        <v>5</v>
      </c>
      <c r="F477" s="1906">
        <v>8713</v>
      </c>
      <c r="G477" s="1906">
        <v>450</v>
      </c>
      <c r="H477" s="1906">
        <f t="shared" si="69"/>
        <v>17426</v>
      </c>
      <c r="I477" s="1906">
        <f t="shared" si="70"/>
        <v>900</v>
      </c>
      <c r="J477" s="1906">
        <f t="shared" si="71"/>
        <v>18326</v>
      </c>
      <c r="K477" s="1907"/>
      <c r="L477" s="1907"/>
      <c r="M477" s="1952" t="s">
        <v>1926</v>
      </c>
    </row>
    <row r="478" spans="1:13" s="1853" customFormat="1">
      <c r="A478" s="1903"/>
      <c r="B478" s="1904" t="s">
        <v>902</v>
      </c>
      <c r="C478" s="1905" t="s">
        <v>906</v>
      </c>
      <c r="D478" s="1898">
        <v>6</v>
      </c>
      <c r="E478" s="1899" t="s">
        <v>5</v>
      </c>
      <c r="F478" s="1900">
        <v>19000</v>
      </c>
      <c r="G478" s="1900">
        <v>1500</v>
      </c>
      <c r="H478" s="1906">
        <f t="shared" si="69"/>
        <v>114000</v>
      </c>
      <c r="I478" s="1906">
        <f t="shared" si="70"/>
        <v>9000</v>
      </c>
      <c r="J478" s="1906">
        <f t="shared" si="71"/>
        <v>123000</v>
      </c>
      <c r="K478" s="1907"/>
      <c r="L478" s="1907" t="s">
        <v>1919</v>
      </c>
      <c r="M478" s="1952" t="s">
        <v>622</v>
      </c>
    </row>
    <row r="479" spans="1:13">
      <c r="A479" s="1903"/>
      <c r="B479" s="1904" t="s">
        <v>918</v>
      </c>
      <c r="C479" s="1905" t="s">
        <v>920</v>
      </c>
      <c r="D479" s="1898">
        <v>1</v>
      </c>
      <c r="E479" s="1899" t="s">
        <v>5</v>
      </c>
      <c r="F479" s="1900">
        <v>74500</v>
      </c>
      <c r="G479" s="1900">
        <v>4500</v>
      </c>
      <c r="H479" s="1906">
        <f t="shared" si="69"/>
        <v>74500</v>
      </c>
      <c r="I479" s="1906">
        <f t="shared" si="70"/>
        <v>4500</v>
      </c>
      <c r="J479" s="1906">
        <f t="shared" si="71"/>
        <v>79000</v>
      </c>
      <c r="K479" s="1907"/>
      <c r="L479" s="1907" t="s">
        <v>1919</v>
      </c>
      <c r="M479" s="1952" t="s">
        <v>622</v>
      </c>
    </row>
    <row r="480" spans="1:13">
      <c r="A480" s="1903"/>
      <c r="B480" s="1904" t="s">
        <v>919</v>
      </c>
      <c r="C480" s="1905" t="s">
        <v>921</v>
      </c>
      <c r="D480" s="1898">
        <v>1</v>
      </c>
      <c r="E480" s="1899" t="s">
        <v>5</v>
      </c>
      <c r="F480" s="1900">
        <v>242200</v>
      </c>
      <c r="G480" s="1900">
        <v>14100</v>
      </c>
      <c r="H480" s="1906">
        <f t="shared" si="69"/>
        <v>242200</v>
      </c>
      <c r="I480" s="1906">
        <f t="shared" si="70"/>
        <v>14100</v>
      </c>
      <c r="J480" s="1906">
        <f t="shared" si="71"/>
        <v>256300</v>
      </c>
      <c r="K480" s="1907"/>
      <c r="L480" s="1907" t="s">
        <v>1919</v>
      </c>
      <c r="M480" s="1952" t="s">
        <v>622</v>
      </c>
    </row>
    <row r="481" spans="1:13" s="1853" customFormat="1">
      <c r="A481" s="1903"/>
      <c r="B481" s="1904" t="s">
        <v>611</v>
      </c>
      <c r="C481" s="1905" t="s">
        <v>1944</v>
      </c>
      <c r="D481" s="1898">
        <v>1</v>
      </c>
      <c r="E481" s="1899" t="s">
        <v>5</v>
      </c>
      <c r="F481" s="1900">
        <v>267300</v>
      </c>
      <c r="G481" s="1900">
        <v>36000</v>
      </c>
      <c r="H481" s="1906">
        <f t="shared" si="69"/>
        <v>267300</v>
      </c>
      <c r="I481" s="1906">
        <f t="shared" si="70"/>
        <v>36000</v>
      </c>
      <c r="J481" s="1906">
        <f t="shared" si="71"/>
        <v>303300</v>
      </c>
      <c r="K481" s="1907"/>
      <c r="L481" s="1907" t="s">
        <v>1943</v>
      </c>
      <c r="M481" s="1952" t="s">
        <v>622</v>
      </c>
    </row>
    <row r="482" spans="1:13" s="1853" customFormat="1">
      <c r="A482" s="1903"/>
      <c r="B482" s="1904" t="s">
        <v>1046</v>
      </c>
      <c r="C482" s="1905" t="s">
        <v>1047</v>
      </c>
      <c r="D482" s="1898">
        <v>1</v>
      </c>
      <c r="E482" s="1899" t="s">
        <v>5</v>
      </c>
      <c r="F482" s="1900">
        <v>5975</v>
      </c>
      <c r="G482" s="1900">
        <v>450</v>
      </c>
      <c r="H482" s="1906">
        <f t="shared" si="69"/>
        <v>5975</v>
      </c>
      <c r="I482" s="1906">
        <f t="shared" si="70"/>
        <v>450</v>
      </c>
      <c r="J482" s="1906">
        <f t="shared" si="71"/>
        <v>6425</v>
      </c>
      <c r="K482" s="1907"/>
      <c r="L482" s="1907"/>
      <c r="M482" s="1952" t="s">
        <v>1926</v>
      </c>
    </row>
    <row r="483" spans="1:13" s="1853" customFormat="1">
      <c r="A483" s="1903"/>
      <c r="B483" s="2386" t="s">
        <v>111</v>
      </c>
      <c r="C483" s="2386"/>
      <c r="D483" s="1898"/>
      <c r="E483" s="1899"/>
      <c r="F483" s="1900"/>
      <c r="G483" s="1900"/>
      <c r="H483" s="1906"/>
      <c r="I483" s="1906"/>
      <c r="J483" s="1906"/>
      <c r="K483" s="1907"/>
      <c r="L483" s="1907"/>
      <c r="M483" s="1902"/>
    </row>
    <row r="484" spans="1:13">
      <c r="A484" s="1903"/>
      <c r="B484" s="1904" t="s">
        <v>908</v>
      </c>
      <c r="C484" s="1905" t="s">
        <v>899</v>
      </c>
      <c r="D484" s="1898">
        <v>1</v>
      </c>
      <c r="E484" s="1899" t="s">
        <v>5</v>
      </c>
      <c r="F484" s="1906">
        <v>28900</v>
      </c>
      <c r="G484" s="1906">
        <f t="shared" ref="G484:G493" si="72">F484*0.3</f>
        <v>8670</v>
      </c>
      <c r="H484" s="1906">
        <f t="shared" ref="H484:H493" si="73">+F484*D484</f>
        <v>28900</v>
      </c>
      <c r="I484" s="1906">
        <f t="shared" ref="I484:I493" si="74">+G484*D484</f>
        <v>8670</v>
      </c>
      <c r="J484" s="1906">
        <f t="shared" ref="J484:J493" si="75">+H484+I484</f>
        <v>37570</v>
      </c>
      <c r="K484" s="1907"/>
      <c r="L484" s="1907" t="s">
        <v>1935</v>
      </c>
      <c r="M484" s="1952" t="s">
        <v>622</v>
      </c>
    </row>
    <row r="485" spans="1:13">
      <c r="A485" s="1903"/>
      <c r="B485" s="1904" t="s">
        <v>897</v>
      </c>
      <c r="C485" s="1905" t="s">
        <v>901</v>
      </c>
      <c r="D485" s="1909">
        <v>2</v>
      </c>
      <c r="E485" s="1910" t="s">
        <v>5</v>
      </c>
      <c r="F485" s="1906">
        <v>5715</v>
      </c>
      <c r="G485" s="1906">
        <f t="shared" si="72"/>
        <v>1714.5</v>
      </c>
      <c r="H485" s="1906">
        <f t="shared" si="73"/>
        <v>11430</v>
      </c>
      <c r="I485" s="1906">
        <f t="shared" si="74"/>
        <v>3429</v>
      </c>
      <c r="J485" s="1906">
        <f t="shared" si="75"/>
        <v>14859</v>
      </c>
      <c r="K485" s="1907"/>
      <c r="L485" s="1907"/>
      <c r="M485" s="1952" t="s">
        <v>622</v>
      </c>
    </row>
    <row r="486" spans="1:13">
      <c r="A486" s="1903"/>
      <c r="B486" s="1904" t="s">
        <v>370</v>
      </c>
      <c r="C486" s="1905" t="s">
        <v>913</v>
      </c>
      <c r="D486" s="1909">
        <v>1</v>
      </c>
      <c r="E486" s="1910" t="s">
        <v>5</v>
      </c>
      <c r="F486" s="1906">
        <v>11100</v>
      </c>
      <c r="G486" s="1906">
        <f t="shared" si="72"/>
        <v>3330</v>
      </c>
      <c r="H486" s="1906">
        <f t="shared" si="73"/>
        <v>11100</v>
      </c>
      <c r="I486" s="1906">
        <f t="shared" si="74"/>
        <v>3330</v>
      </c>
      <c r="J486" s="1906">
        <f t="shared" si="75"/>
        <v>14430</v>
      </c>
      <c r="K486" s="1907"/>
      <c r="L486" s="1907" t="s">
        <v>1935</v>
      </c>
      <c r="M486" s="1952" t="s">
        <v>622</v>
      </c>
    </row>
    <row r="487" spans="1:13">
      <c r="A487" s="1903"/>
      <c r="B487" s="1904" t="s">
        <v>371</v>
      </c>
      <c r="C487" s="1905" t="s">
        <v>914</v>
      </c>
      <c r="D487" s="1909">
        <v>6</v>
      </c>
      <c r="E487" s="1910" t="s">
        <v>5</v>
      </c>
      <c r="F487" s="1906">
        <v>46000</v>
      </c>
      <c r="G487" s="1906">
        <f t="shared" si="72"/>
        <v>13800</v>
      </c>
      <c r="H487" s="1906">
        <f t="shared" si="73"/>
        <v>276000</v>
      </c>
      <c r="I487" s="1906">
        <f t="shared" si="74"/>
        <v>82800</v>
      </c>
      <c r="J487" s="1906">
        <f t="shared" si="75"/>
        <v>358800</v>
      </c>
      <c r="K487" s="1907"/>
      <c r="L487" s="1907" t="s">
        <v>1935</v>
      </c>
      <c r="M487" s="1952" t="s">
        <v>622</v>
      </c>
    </row>
    <row r="488" spans="1:13">
      <c r="A488" s="1903"/>
      <c r="B488" s="1904" t="s">
        <v>8</v>
      </c>
      <c r="C488" s="1905" t="s">
        <v>914</v>
      </c>
      <c r="D488" s="1909">
        <v>4</v>
      </c>
      <c r="E488" s="1910" t="s">
        <v>5</v>
      </c>
      <c r="F488" s="1906">
        <v>52100</v>
      </c>
      <c r="G488" s="1906">
        <f t="shared" si="72"/>
        <v>15630</v>
      </c>
      <c r="H488" s="1906">
        <f t="shared" si="73"/>
        <v>208400</v>
      </c>
      <c r="I488" s="1906">
        <f t="shared" si="74"/>
        <v>62520</v>
      </c>
      <c r="J488" s="1906">
        <f t="shared" si="75"/>
        <v>270920</v>
      </c>
      <c r="K488" s="1907"/>
      <c r="L488" s="1907" t="s">
        <v>1935</v>
      </c>
      <c r="M488" s="1952" t="s">
        <v>622</v>
      </c>
    </row>
    <row r="489" spans="1:13">
      <c r="A489" s="1903"/>
      <c r="B489" s="1904" t="s">
        <v>909</v>
      </c>
      <c r="C489" s="1905" t="s">
        <v>915</v>
      </c>
      <c r="D489" s="1909">
        <v>1</v>
      </c>
      <c r="E489" s="1910" t="s">
        <v>5</v>
      </c>
      <c r="F489" s="1906">
        <v>18300</v>
      </c>
      <c r="G489" s="1906">
        <f t="shared" si="72"/>
        <v>5490</v>
      </c>
      <c r="H489" s="1906">
        <f t="shared" si="73"/>
        <v>18300</v>
      </c>
      <c r="I489" s="1906">
        <f t="shared" si="74"/>
        <v>5490</v>
      </c>
      <c r="J489" s="1906">
        <f t="shared" si="75"/>
        <v>23790</v>
      </c>
      <c r="K489" s="1907"/>
      <c r="L489" s="1907" t="s">
        <v>1935</v>
      </c>
      <c r="M489" s="1952" t="s">
        <v>622</v>
      </c>
    </row>
    <row r="490" spans="1:13">
      <c r="A490" s="1897"/>
      <c r="B490" s="2008" t="s">
        <v>911</v>
      </c>
      <c r="C490" s="2019" t="s">
        <v>900</v>
      </c>
      <c r="D490" s="1898">
        <v>4</v>
      </c>
      <c r="E490" s="1899" t="s">
        <v>5</v>
      </c>
      <c r="F490" s="1900">
        <v>10400</v>
      </c>
      <c r="G490" s="1900">
        <f t="shared" si="72"/>
        <v>3120</v>
      </c>
      <c r="H490" s="1900">
        <f t="shared" si="73"/>
        <v>41600</v>
      </c>
      <c r="I490" s="1900">
        <f t="shared" si="74"/>
        <v>12480</v>
      </c>
      <c r="J490" s="1900">
        <f t="shared" si="75"/>
        <v>54080</v>
      </c>
      <c r="K490" s="1907"/>
      <c r="L490" s="1901" t="s">
        <v>1935</v>
      </c>
      <c r="M490" s="1952" t="s">
        <v>622</v>
      </c>
    </row>
    <row r="491" spans="1:13">
      <c r="A491" s="1903"/>
      <c r="B491" s="1904" t="s">
        <v>912</v>
      </c>
      <c r="C491" s="1905" t="s">
        <v>914</v>
      </c>
      <c r="D491" s="1909">
        <v>1</v>
      </c>
      <c r="E491" s="1910" t="s">
        <v>5</v>
      </c>
      <c r="F491" s="1906">
        <v>73400</v>
      </c>
      <c r="G491" s="1906">
        <f t="shared" si="72"/>
        <v>22020</v>
      </c>
      <c r="H491" s="1906">
        <f t="shared" si="73"/>
        <v>73400</v>
      </c>
      <c r="I491" s="1906">
        <f t="shared" si="74"/>
        <v>22020</v>
      </c>
      <c r="J491" s="1906">
        <f t="shared" si="75"/>
        <v>95420</v>
      </c>
      <c r="K491" s="1907"/>
      <c r="L491" s="1907" t="s">
        <v>1935</v>
      </c>
      <c r="M491" s="1952" t="s">
        <v>622</v>
      </c>
    </row>
    <row r="492" spans="1:13">
      <c r="A492" s="1903"/>
      <c r="B492" s="1904" t="s">
        <v>616</v>
      </c>
      <c r="C492" s="1905" t="s">
        <v>898</v>
      </c>
      <c r="D492" s="1909">
        <v>1</v>
      </c>
      <c r="E492" s="1910" t="s">
        <v>5</v>
      </c>
      <c r="F492" s="1906">
        <v>151940</v>
      </c>
      <c r="G492" s="1906">
        <f t="shared" si="72"/>
        <v>45582</v>
      </c>
      <c r="H492" s="1906">
        <f t="shared" si="73"/>
        <v>151940</v>
      </c>
      <c r="I492" s="1906">
        <f t="shared" si="74"/>
        <v>45582</v>
      </c>
      <c r="J492" s="1906">
        <f t="shared" si="75"/>
        <v>197522</v>
      </c>
      <c r="K492" s="1907"/>
      <c r="L492" s="1907" t="s">
        <v>1935</v>
      </c>
      <c r="M492" s="1952" t="s">
        <v>622</v>
      </c>
    </row>
    <row r="493" spans="1:13">
      <c r="A493" s="1903"/>
      <c r="B493" s="1904" t="s">
        <v>916</v>
      </c>
      <c r="C493" s="1905" t="s">
        <v>923</v>
      </c>
      <c r="D493" s="1909">
        <v>4</v>
      </c>
      <c r="E493" s="1910" t="s">
        <v>5</v>
      </c>
      <c r="F493" s="1906">
        <v>11300</v>
      </c>
      <c r="G493" s="1906">
        <f t="shared" si="72"/>
        <v>3390</v>
      </c>
      <c r="H493" s="1906">
        <f t="shared" si="73"/>
        <v>45200</v>
      </c>
      <c r="I493" s="1906">
        <f t="shared" si="74"/>
        <v>13560</v>
      </c>
      <c r="J493" s="1906">
        <f t="shared" si="75"/>
        <v>58760</v>
      </c>
      <c r="K493" s="1907"/>
      <c r="L493" s="1907" t="s">
        <v>1935</v>
      </c>
      <c r="M493" s="1952" t="s">
        <v>622</v>
      </c>
    </row>
    <row r="494" spans="1:13">
      <c r="A494" s="1903"/>
      <c r="B494" s="2386" t="s">
        <v>203</v>
      </c>
      <c r="C494" s="2386"/>
      <c r="D494" s="1909"/>
      <c r="E494" s="1910"/>
      <c r="F494" s="1906"/>
      <c r="G494" s="1906"/>
      <c r="H494" s="1906"/>
      <c r="I494" s="1906"/>
      <c r="J494" s="1906"/>
      <c r="K494" s="1907"/>
    </row>
    <row r="495" spans="1:13" s="1976" customFormat="1">
      <c r="A495" s="1972"/>
      <c r="B495" s="1973"/>
      <c r="C495" s="1974" t="s">
        <v>865</v>
      </c>
      <c r="D495" s="1930">
        <v>9</v>
      </c>
      <c r="E495" s="1909" t="s">
        <v>5</v>
      </c>
      <c r="F495" s="1968">
        <v>4850</v>
      </c>
      <c r="G495" s="1975">
        <v>450</v>
      </c>
      <c r="H495" s="1975">
        <f t="shared" ref="H495:H521" si="76">F495*D495</f>
        <v>43650</v>
      </c>
      <c r="I495" s="1975">
        <f t="shared" ref="I495:I521" si="77">G495*D495</f>
        <v>4050</v>
      </c>
      <c r="J495" s="1975">
        <f t="shared" ref="J495:J521" si="78">SUM(H495:I495)</f>
        <v>47700</v>
      </c>
      <c r="K495" s="1977"/>
      <c r="L495" s="1872"/>
      <c r="M495" s="1885" t="s">
        <v>1879</v>
      </c>
    </row>
    <row r="496" spans="1:13" s="1872" customFormat="1">
      <c r="A496" s="1972"/>
      <c r="B496" s="1973"/>
      <c r="C496" s="1974" t="s">
        <v>866</v>
      </c>
      <c r="D496" s="1930">
        <f>D495</f>
        <v>9</v>
      </c>
      <c r="E496" s="1909" t="s">
        <v>5</v>
      </c>
      <c r="F496" s="1968">
        <v>120</v>
      </c>
      <c r="G496" s="1975">
        <v>0</v>
      </c>
      <c r="H496" s="1975">
        <f t="shared" si="76"/>
        <v>1080</v>
      </c>
      <c r="I496" s="1975">
        <f t="shared" si="77"/>
        <v>0</v>
      </c>
      <c r="J496" s="1975">
        <f t="shared" si="78"/>
        <v>1080</v>
      </c>
      <c r="K496" s="1977"/>
      <c r="M496" s="1885" t="s">
        <v>1879</v>
      </c>
    </row>
    <row r="497" spans="1:13" s="1976" customFormat="1">
      <c r="A497" s="1972"/>
      <c r="B497" s="1973"/>
      <c r="C497" s="1974" t="s">
        <v>867</v>
      </c>
      <c r="D497" s="1930">
        <f>D495</f>
        <v>9</v>
      </c>
      <c r="E497" s="1909" t="s">
        <v>5</v>
      </c>
      <c r="F497" s="1968">
        <v>80</v>
      </c>
      <c r="G497" s="1975">
        <v>35</v>
      </c>
      <c r="H497" s="1975">
        <f t="shared" si="76"/>
        <v>720</v>
      </c>
      <c r="I497" s="1975">
        <f t="shared" si="77"/>
        <v>315</v>
      </c>
      <c r="J497" s="1975">
        <f t="shared" si="78"/>
        <v>1035</v>
      </c>
      <c r="K497" s="1977"/>
      <c r="L497" s="1872"/>
      <c r="M497" s="1885" t="s">
        <v>1879</v>
      </c>
    </row>
    <row r="498" spans="1:13" s="1872" customFormat="1">
      <c r="A498" s="1965"/>
      <c r="B498" s="1966"/>
      <c r="C498" s="1967" t="s">
        <v>879</v>
      </c>
      <c r="D498" s="1909">
        <v>1</v>
      </c>
      <c r="E498" s="1968" t="s">
        <v>5</v>
      </c>
      <c r="F498" s="1969">
        <v>7690</v>
      </c>
      <c r="G498" s="1970">
        <v>450</v>
      </c>
      <c r="H498" s="1969">
        <f t="shared" si="76"/>
        <v>7690</v>
      </c>
      <c r="I498" s="1969">
        <f t="shared" si="77"/>
        <v>450</v>
      </c>
      <c r="J498" s="1969">
        <f t="shared" si="78"/>
        <v>8140</v>
      </c>
      <c r="K498" s="1977"/>
      <c r="L498" s="1971" t="s">
        <v>1899</v>
      </c>
      <c r="M498" s="1952" t="s">
        <v>1907</v>
      </c>
    </row>
    <row r="499" spans="1:13" s="1976" customFormat="1">
      <c r="A499" s="1972"/>
      <c r="B499" s="1973"/>
      <c r="C499" s="1974" t="s">
        <v>866</v>
      </c>
      <c r="D499" s="1930">
        <f>D498</f>
        <v>1</v>
      </c>
      <c r="E499" s="1909" t="s">
        <v>5</v>
      </c>
      <c r="F499" s="1968">
        <v>120</v>
      </c>
      <c r="G499" s="1975">
        <v>0</v>
      </c>
      <c r="H499" s="1975">
        <f t="shared" si="76"/>
        <v>120</v>
      </c>
      <c r="I499" s="1975">
        <f t="shared" si="77"/>
        <v>0</v>
      </c>
      <c r="J499" s="1975">
        <f t="shared" si="78"/>
        <v>120</v>
      </c>
      <c r="K499" s="1977"/>
      <c r="L499" s="1872"/>
      <c r="M499" s="1885" t="s">
        <v>1879</v>
      </c>
    </row>
    <row r="500" spans="1:13" s="1872" customFormat="1">
      <c r="A500" s="1972"/>
      <c r="B500" s="1973"/>
      <c r="C500" s="1974" t="s">
        <v>867</v>
      </c>
      <c r="D500" s="1930">
        <f>D498</f>
        <v>1</v>
      </c>
      <c r="E500" s="1909" t="s">
        <v>5</v>
      </c>
      <c r="F500" s="1968">
        <v>80</v>
      </c>
      <c r="G500" s="1975">
        <v>35</v>
      </c>
      <c r="H500" s="1975">
        <f t="shared" si="76"/>
        <v>80</v>
      </c>
      <c r="I500" s="1975">
        <f t="shared" si="77"/>
        <v>35</v>
      </c>
      <c r="J500" s="1975">
        <f t="shared" si="78"/>
        <v>115</v>
      </c>
      <c r="K500" s="1977"/>
      <c r="M500" s="1885" t="s">
        <v>1879</v>
      </c>
    </row>
    <row r="501" spans="1:13" s="1872" customFormat="1">
      <c r="A501" s="1965"/>
      <c r="B501" s="1966"/>
      <c r="C501" s="1974" t="s">
        <v>868</v>
      </c>
      <c r="D501" s="1930">
        <v>5</v>
      </c>
      <c r="E501" s="1909" t="s">
        <v>5</v>
      </c>
      <c r="F501" s="1968">
        <v>5500</v>
      </c>
      <c r="G501" s="1975">
        <v>450</v>
      </c>
      <c r="H501" s="1969">
        <f t="shared" si="76"/>
        <v>27500</v>
      </c>
      <c r="I501" s="1969">
        <f t="shared" si="77"/>
        <v>2250</v>
      </c>
      <c r="J501" s="1969">
        <f t="shared" si="78"/>
        <v>29750</v>
      </c>
      <c r="K501" s="1978"/>
      <c r="L501" s="1976"/>
      <c r="M501" s="1885" t="s">
        <v>1879</v>
      </c>
    </row>
    <row r="502" spans="1:13" s="1872" customFormat="1">
      <c r="A502" s="2020"/>
      <c r="B502" s="2021"/>
      <c r="C502" s="2022" t="s">
        <v>869</v>
      </c>
      <c r="D502" s="2023">
        <v>9</v>
      </c>
      <c r="E502" s="1956" t="s">
        <v>5</v>
      </c>
      <c r="F502" s="1968">
        <v>3500</v>
      </c>
      <c r="G502" s="1975">
        <v>450</v>
      </c>
      <c r="H502" s="2024">
        <f t="shared" si="76"/>
        <v>31500</v>
      </c>
      <c r="I502" s="2024">
        <f t="shared" si="77"/>
        <v>4050</v>
      </c>
      <c r="J502" s="2024">
        <f t="shared" si="78"/>
        <v>35550</v>
      </c>
      <c r="K502" s="2025"/>
      <c r="M502" s="1885" t="s">
        <v>1879</v>
      </c>
    </row>
    <row r="503" spans="1:13" s="1872" customFormat="1">
      <c r="A503" s="1863"/>
      <c r="B503" s="1864"/>
      <c r="C503" s="1865"/>
      <c r="D503" s="1866"/>
      <c r="E503" s="1867"/>
      <c r="F503" s="1868"/>
      <c r="G503" s="1868"/>
      <c r="H503" s="1868"/>
      <c r="I503" s="1868"/>
      <c r="J503" s="1868"/>
      <c r="K503" s="1869"/>
      <c r="M503" s="1885"/>
    </row>
    <row r="504" spans="1:13" s="1872" customFormat="1">
      <c r="A504" s="1840"/>
      <c r="B504" s="1860"/>
      <c r="C504" s="2133" t="s">
        <v>133</v>
      </c>
      <c r="D504" s="2134"/>
      <c r="E504" s="2135"/>
      <c r="F504" s="2136"/>
      <c r="G504" s="2137"/>
      <c r="H504" s="2137"/>
      <c r="I504" s="2137"/>
      <c r="J504" s="2137"/>
      <c r="K504" s="2137"/>
      <c r="M504" s="1885"/>
    </row>
    <row r="505" spans="1:13" s="1872" customFormat="1">
      <c r="A505" s="1840"/>
      <c r="B505" s="2138"/>
      <c r="C505" s="2139" t="s">
        <v>1769</v>
      </c>
      <c r="D505" s="2140"/>
      <c r="E505" s="1861"/>
      <c r="F505" s="2135"/>
      <c r="G505" s="2139" t="s">
        <v>134</v>
      </c>
      <c r="H505" s="2138"/>
      <c r="I505" s="2138"/>
      <c r="J505" s="2138"/>
      <c r="K505" s="2138"/>
      <c r="M505" s="1885"/>
    </row>
    <row r="506" spans="1:13" s="1872" customFormat="1">
      <c r="A506" s="1840"/>
      <c r="B506" s="1871"/>
      <c r="C506" s="2141" t="s">
        <v>1970</v>
      </c>
      <c r="D506" s="2140"/>
      <c r="E506" s="2142"/>
      <c r="F506" s="2143"/>
      <c r="G506" s="2144" t="s">
        <v>1971</v>
      </c>
      <c r="H506" s="2145"/>
      <c r="I506" s="2145"/>
      <c r="J506" s="2145"/>
      <c r="K506" s="2145"/>
      <c r="M506" s="1885"/>
    </row>
    <row r="507" spans="1:13" s="1872" customFormat="1">
      <c r="A507" s="1837"/>
      <c r="B507" s="2138"/>
      <c r="C507" s="2139" t="s">
        <v>2031</v>
      </c>
      <c r="D507" s="2140"/>
      <c r="E507" s="1837"/>
      <c r="F507" s="2146"/>
      <c r="G507" s="2139" t="s">
        <v>2031</v>
      </c>
      <c r="H507" s="1837"/>
      <c r="I507" s="1837"/>
      <c r="J507" s="1837"/>
      <c r="K507" s="1837"/>
      <c r="M507" s="1885"/>
    </row>
    <row r="508" spans="1:13" s="1872" customFormat="1">
      <c r="A508" s="1952"/>
      <c r="B508" s="1871"/>
      <c r="C508" s="2147" t="s">
        <v>1984</v>
      </c>
      <c r="D508" s="2140"/>
      <c r="E508" s="1837"/>
      <c r="F508" s="2135"/>
      <c r="G508" s="2147" t="s">
        <v>1985</v>
      </c>
      <c r="H508" s="1952"/>
      <c r="I508" s="1952"/>
      <c r="J508" s="1952"/>
      <c r="K508" s="1952"/>
      <c r="M508" s="1885"/>
    </row>
    <row r="509" spans="1:13" s="1872" customFormat="1">
      <c r="A509" s="1952"/>
      <c r="B509" s="1952"/>
      <c r="C509" s="2139" t="s">
        <v>670</v>
      </c>
      <c r="D509" s="2139"/>
      <c r="E509" s="2143"/>
      <c r="F509" s="2143"/>
      <c r="G509" s="1952"/>
      <c r="H509" s="1952"/>
      <c r="I509" s="1952"/>
      <c r="J509" s="1952"/>
      <c r="K509" s="1952"/>
      <c r="M509" s="1885"/>
    </row>
    <row r="510" spans="1:13" s="1872" customFormat="1">
      <c r="A510" s="1840"/>
      <c r="B510" s="1840"/>
      <c r="C510" s="2147" t="s">
        <v>1972</v>
      </c>
      <c r="D510" s="2147"/>
      <c r="E510" s="2146"/>
      <c r="F510" s="2146"/>
      <c r="G510" s="1870"/>
      <c r="H510" s="1870"/>
      <c r="I510" s="1870"/>
      <c r="J510" s="1870"/>
      <c r="K510" s="1871"/>
      <c r="M510" s="1885"/>
    </row>
    <row r="511" spans="1:13" s="1872" customFormat="1" ht="23.25" customHeight="1">
      <c r="A511" s="1972"/>
      <c r="B511" s="1973"/>
      <c r="C511" s="1974" t="s">
        <v>870</v>
      </c>
      <c r="D511" s="1930">
        <f>D502</f>
        <v>9</v>
      </c>
      <c r="E511" s="1909" t="s">
        <v>5</v>
      </c>
      <c r="F511" s="1968">
        <v>900</v>
      </c>
      <c r="G511" s="1975">
        <v>150</v>
      </c>
      <c r="H511" s="1975">
        <f t="shared" si="76"/>
        <v>8100</v>
      </c>
      <c r="I511" s="1975">
        <f t="shared" si="77"/>
        <v>1350</v>
      </c>
      <c r="J511" s="1975">
        <f t="shared" si="78"/>
        <v>9450</v>
      </c>
      <c r="K511" s="1977"/>
      <c r="M511" s="1885" t="s">
        <v>1879</v>
      </c>
    </row>
    <row r="512" spans="1:13" s="1872" customFormat="1" ht="23.25" customHeight="1">
      <c r="A512" s="1972"/>
      <c r="B512" s="1973"/>
      <c r="C512" s="1974" t="s">
        <v>871</v>
      </c>
      <c r="D512" s="1930">
        <f>D502</f>
        <v>9</v>
      </c>
      <c r="E512" s="1909" t="s">
        <v>5</v>
      </c>
      <c r="F512" s="1963">
        <v>210</v>
      </c>
      <c r="G512" s="1975">
        <v>0</v>
      </c>
      <c r="H512" s="1975">
        <f t="shared" si="76"/>
        <v>1890</v>
      </c>
      <c r="I512" s="1975">
        <f t="shared" si="77"/>
        <v>0</v>
      </c>
      <c r="J512" s="1975">
        <f t="shared" si="78"/>
        <v>1890</v>
      </c>
      <c r="K512" s="1977"/>
      <c r="M512" s="1885" t="s">
        <v>1879</v>
      </c>
    </row>
    <row r="513" spans="1:13" s="1872" customFormat="1" ht="23.25" customHeight="1">
      <c r="A513" s="1972"/>
      <c r="B513" s="1973"/>
      <c r="C513" s="1974" t="s">
        <v>872</v>
      </c>
      <c r="D513" s="1930">
        <f>D502</f>
        <v>9</v>
      </c>
      <c r="E513" s="1909" t="s">
        <v>5</v>
      </c>
      <c r="F513" s="1968">
        <v>310</v>
      </c>
      <c r="G513" s="1975">
        <v>0</v>
      </c>
      <c r="H513" s="1975">
        <f t="shared" si="76"/>
        <v>2790</v>
      </c>
      <c r="I513" s="1975">
        <f t="shared" si="77"/>
        <v>0</v>
      </c>
      <c r="J513" s="1975">
        <f t="shared" si="78"/>
        <v>2790</v>
      </c>
      <c r="K513" s="1977"/>
      <c r="M513" s="1885" t="s">
        <v>1879</v>
      </c>
    </row>
    <row r="514" spans="1:13" s="1872" customFormat="1" ht="23.25" customHeight="1">
      <c r="A514" s="1972"/>
      <c r="B514" s="1973"/>
      <c r="C514" s="1974" t="s">
        <v>873</v>
      </c>
      <c r="D514" s="1930">
        <f>D502</f>
        <v>9</v>
      </c>
      <c r="E514" s="1909" t="s">
        <v>5</v>
      </c>
      <c r="F514" s="1968">
        <v>120</v>
      </c>
      <c r="G514" s="1975">
        <v>0</v>
      </c>
      <c r="H514" s="1975">
        <f t="shared" si="76"/>
        <v>1080</v>
      </c>
      <c r="I514" s="1975">
        <f t="shared" si="77"/>
        <v>0</v>
      </c>
      <c r="J514" s="1975">
        <f t="shared" si="78"/>
        <v>1080</v>
      </c>
      <c r="K514" s="1977"/>
      <c r="M514" s="1885" t="s">
        <v>1879</v>
      </c>
    </row>
    <row r="515" spans="1:13" s="1872" customFormat="1" ht="23.25" customHeight="1">
      <c r="A515" s="1972"/>
      <c r="B515" s="1973"/>
      <c r="C515" s="1974" t="s">
        <v>867</v>
      </c>
      <c r="D515" s="1930">
        <f>D502</f>
        <v>9</v>
      </c>
      <c r="E515" s="1909" t="s">
        <v>5</v>
      </c>
      <c r="F515" s="1968">
        <v>80</v>
      </c>
      <c r="G515" s="1975">
        <v>35</v>
      </c>
      <c r="H515" s="1975">
        <f t="shared" si="76"/>
        <v>720</v>
      </c>
      <c r="I515" s="1975">
        <f t="shared" si="77"/>
        <v>315</v>
      </c>
      <c r="J515" s="1975">
        <f t="shared" si="78"/>
        <v>1035</v>
      </c>
      <c r="K515" s="1977"/>
      <c r="M515" s="1885" t="s">
        <v>1879</v>
      </c>
    </row>
    <row r="516" spans="1:13" s="1872" customFormat="1" ht="23.25" customHeight="1">
      <c r="A516" s="1960"/>
      <c r="B516" s="1961"/>
      <c r="C516" s="1962" t="s">
        <v>886</v>
      </c>
      <c r="D516" s="1950">
        <v>1</v>
      </c>
      <c r="E516" s="1898" t="s">
        <v>5</v>
      </c>
      <c r="F516" s="1968">
        <v>3500</v>
      </c>
      <c r="G516" s="1975">
        <v>450</v>
      </c>
      <c r="H516" s="1964">
        <f t="shared" si="76"/>
        <v>3500</v>
      </c>
      <c r="I516" s="1964">
        <f t="shared" si="77"/>
        <v>450</v>
      </c>
      <c r="J516" s="1964">
        <f t="shared" si="78"/>
        <v>3950</v>
      </c>
      <c r="K516" s="1989"/>
      <c r="M516" s="1885" t="s">
        <v>1879</v>
      </c>
    </row>
    <row r="517" spans="1:13" s="1872" customFormat="1" ht="23.25" customHeight="1">
      <c r="A517" s="1972"/>
      <c r="B517" s="1973"/>
      <c r="C517" s="1974" t="s">
        <v>880</v>
      </c>
      <c r="D517" s="1930">
        <f>D516</f>
        <v>1</v>
      </c>
      <c r="E517" s="1909" t="s">
        <v>5</v>
      </c>
      <c r="F517" s="1968">
        <v>900</v>
      </c>
      <c r="G517" s="1975">
        <v>150</v>
      </c>
      <c r="H517" s="1975">
        <f t="shared" si="76"/>
        <v>900</v>
      </c>
      <c r="I517" s="1975">
        <f t="shared" si="77"/>
        <v>150</v>
      </c>
      <c r="J517" s="1975">
        <f t="shared" si="78"/>
        <v>1050</v>
      </c>
      <c r="K517" s="1977"/>
      <c r="M517" s="1885" t="s">
        <v>1879</v>
      </c>
    </row>
    <row r="518" spans="1:13" s="1872" customFormat="1">
      <c r="A518" s="1972"/>
      <c r="B518" s="1973"/>
      <c r="C518" s="1974" t="s">
        <v>881</v>
      </c>
      <c r="D518" s="1930">
        <f>D516</f>
        <v>1</v>
      </c>
      <c r="E518" s="1909" t="s">
        <v>5</v>
      </c>
      <c r="F518" s="1963">
        <v>210</v>
      </c>
      <c r="G518" s="1975">
        <v>0</v>
      </c>
      <c r="H518" s="1975">
        <f t="shared" si="76"/>
        <v>210</v>
      </c>
      <c r="I518" s="1975">
        <f t="shared" si="77"/>
        <v>0</v>
      </c>
      <c r="J518" s="1975">
        <f t="shared" si="78"/>
        <v>210</v>
      </c>
      <c r="K518" s="1977"/>
      <c r="M518" s="1885" t="s">
        <v>1879</v>
      </c>
    </row>
    <row r="519" spans="1:13" s="1872" customFormat="1">
      <c r="A519" s="1972"/>
      <c r="B519" s="1973"/>
      <c r="C519" s="1974" t="s">
        <v>882</v>
      </c>
      <c r="D519" s="1930">
        <f>D516</f>
        <v>1</v>
      </c>
      <c r="E519" s="1909" t="s">
        <v>5</v>
      </c>
      <c r="F519" s="1968">
        <v>310</v>
      </c>
      <c r="G519" s="1975">
        <v>0</v>
      </c>
      <c r="H519" s="1975">
        <f t="shared" si="76"/>
        <v>310</v>
      </c>
      <c r="I519" s="1975">
        <f t="shared" si="77"/>
        <v>0</v>
      </c>
      <c r="J519" s="1975">
        <f t="shared" si="78"/>
        <v>310</v>
      </c>
      <c r="K519" s="1977"/>
      <c r="M519" s="1885" t="s">
        <v>1879</v>
      </c>
    </row>
    <row r="520" spans="1:13" s="1872" customFormat="1">
      <c r="A520" s="1972"/>
      <c r="B520" s="1973"/>
      <c r="C520" s="1974" t="s">
        <v>873</v>
      </c>
      <c r="D520" s="1930">
        <f>D516</f>
        <v>1</v>
      </c>
      <c r="E520" s="1909" t="s">
        <v>5</v>
      </c>
      <c r="F520" s="1968">
        <v>120</v>
      </c>
      <c r="G520" s="1975">
        <v>0</v>
      </c>
      <c r="H520" s="1975">
        <f t="shared" si="76"/>
        <v>120</v>
      </c>
      <c r="I520" s="1975">
        <f t="shared" si="77"/>
        <v>0</v>
      </c>
      <c r="J520" s="1975">
        <f t="shared" si="78"/>
        <v>120</v>
      </c>
      <c r="K520" s="1977"/>
      <c r="M520" s="1885" t="s">
        <v>1879</v>
      </c>
    </row>
    <row r="521" spans="1:13" s="1872" customFormat="1">
      <c r="A521" s="1972"/>
      <c r="B521" s="1973"/>
      <c r="C521" s="1974" t="s">
        <v>867</v>
      </c>
      <c r="D521" s="1930">
        <f>D516</f>
        <v>1</v>
      </c>
      <c r="E521" s="1909" t="s">
        <v>5</v>
      </c>
      <c r="F521" s="1968">
        <v>80</v>
      </c>
      <c r="G521" s="1975">
        <v>35</v>
      </c>
      <c r="H521" s="1975">
        <f t="shared" si="76"/>
        <v>80</v>
      </c>
      <c r="I521" s="1975">
        <f t="shared" si="77"/>
        <v>35</v>
      </c>
      <c r="J521" s="1975">
        <f t="shared" si="78"/>
        <v>115</v>
      </c>
      <c r="K521" s="1977"/>
      <c r="M521" s="1885" t="s">
        <v>1879</v>
      </c>
    </row>
    <row r="522" spans="1:13" s="1872" customFormat="1">
      <c r="A522" s="1972"/>
      <c r="B522" s="1973"/>
      <c r="C522" s="1974" t="s">
        <v>883</v>
      </c>
      <c r="D522" s="1930">
        <v>1</v>
      </c>
      <c r="E522" s="1909" t="s">
        <v>5</v>
      </c>
      <c r="F522" s="1968">
        <v>3400</v>
      </c>
      <c r="G522" s="1975">
        <v>105</v>
      </c>
      <c r="H522" s="1975">
        <f>+F522*D522</f>
        <v>3400</v>
      </c>
      <c r="I522" s="1975">
        <f>+G522*D522</f>
        <v>105</v>
      </c>
      <c r="J522" s="1975">
        <f>+H522+I522</f>
        <v>3505</v>
      </c>
      <c r="K522" s="1977"/>
      <c r="M522" s="1885" t="s">
        <v>1879</v>
      </c>
    </row>
    <row r="523" spans="1:13" s="1872" customFormat="1">
      <c r="A523" s="1972"/>
      <c r="B523" s="1973"/>
      <c r="C523" s="1974" t="s">
        <v>884</v>
      </c>
      <c r="D523" s="1930">
        <v>1</v>
      </c>
      <c r="E523" s="1909" t="s">
        <v>5</v>
      </c>
      <c r="F523" s="1968">
        <v>3400</v>
      </c>
      <c r="G523" s="1975">
        <v>105</v>
      </c>
      <c r="H523" s="1975">
        <f>+F523*D523</f>
        <v>3400</v>
      </c>
      <c r="I523" s="1975">
        <f>+G523*D523</f>
        <v>105</v>
      </c>
      <c r="J523" s="1975">
        <f>+H523+I523</f>
        <v>3505</v>
      </c>
      <c r="K523" s="1977"/>
      <c r="M523" s="1885" t="s">
        <v>1879</v>
      </c>
    </row>
    <row r="524" spans="1:13" s="1872" customFormat="1">
      <c r="A524" s="1972"/>
      <c r="B524" s="1973"/>
      <c r="C524" s="1974" t="s">
        <v>885</v>
      </c>
      <c r="D524" s="1930">
        <v>1</v>
      </c>
      <c r="E524" s="1909" t="s">
        <v>5</v>
      </c>
      <c r="F524" s="1968">
        <v>220</v>
      </c>
      <c r="G524" s="1975">
        <v>70</v>
      </c>
      <c r="H524" s="1975">
        <f>+F524*D524</f>
        <v>220</v>
      </c>
      <c r="I524" s="1975">
        <f>+G524*D524</f>
        <v>70</v>
      </c>
      <c r="J524" s="1975">
        <f>+H524+I524</f>
        <v>290</v>
      </c>
      <c r="K524" s="1977"/>
      <c r="M524" s="1885" t="s">
        <v>1879</v>
      </c>
    </row>
    <row r="525" spans="1:13">
      <c r="A525" s="1972"/>
      <c r="B525" s="1973"/>
      <c r="C525" s="1974" t="s">
        <v>874</v>
      </c>
      <c r="D525" s="1930">
        <v>1</v>
      </c>
      <c r="E525" s="1909" t="s">
        <v>5</v>
      </c>
      <c r="F525" s="1968">
        <v>1142</v>
      </c>
      <c r="G525" s="1975">
        <v>70</v>
      </c>
      <c r="H525" s="1975">
        <f t="shared" ref="H525:H533" si="79">F525*D525</f>
        <v>1142</v>
      </c>
      <c r="I525" s="1975">
        <f t="shared" ref="I525:I533" si="80">G525*D525</f>
        <v>70</v>
      </c>
      <c r="J525" s="1975">
        <f t="shared" ref="J525:J533" si="81">SUM(H525:I525)</f>
        <v>1212</v>
      </c>
      <c r="K525" s="1977"/>
      <c r="L525" s="1979" t="s">
        <v>1899</v>
      </c>
      <c r="M525" s="1872" t="s">
        <v>1907</v>
      </c>
    </row>
    <row r="526" spans="1:13" s="1872" customFormat="1">
      <c r="A526" s="1972"/>
      <c r="B526" s="1973"/>
      <c r="C526" s="1974" t="s">
        <v>1897</v>
      </c>
      <c r="D526" s="1930">
        <v>1</v>
      </c>
      <c r="E526" s="1909" t="s">
        <v>5</v>
      </c>
      <c r="F526" s="1968">
        <v>3200</v>
      </c>
      <c r="G526" s="1975">
        <v>400</v>
      </c>
      <c r="H526" s="1975">
        <f>F526*D526</f>
        <v>3200</v>
      </c>
      <c r="I526" s="1975">
        <f>G526*D526</f>
        <v>400</v>
      </c>
      <c r="J526" s="1975">
        <f>SUM(H526:I526)</f>
        <v>3600</v>
      </c>
      <c r="K526" s="1977"/>
      <c r="L526" s="1979" t="s">
        <v>1906</v>
      </c>
      <c r="M526" s="1952" t="s">
        <v>1908</v>
      </c>
    </row>
    <row r="527" spans="1:13" s="1872" customFormat="1">
      <c r="A527" s="1972"/>
      <c r="B527" s="1973"/>
      <c r="C527" s="1974" t="s">
        <v>1902</v>
      </c>
      <c r="D527" s="1930">
        <v>1</v>
      </c>
      <c r="E527" s="1909" t="s">
        <v>5</v>
      </c>
      <c r="F527" s="1968">
        <v>4000</v>
      </c>
      <c r="G527" s="1975">
        <v>400</v>
      </c>
      <c r="H527" s="1975">
        <f t="shared" si="79"/>
        <v>4000</v>
      </c>
      <c r="I527" s="1975">
        <f t="shared" si="80"/>
        <v>400</v>
      </c>
      <c r="J527" s="1975">
        <f t="shared" si="81"/>
        <v>4400</v>
      </c>
      <c r="K527" s="1977"/>
      <c r="L527" s="1979" t="s">
        <v>1906</v>
      </c>
      <c r="M527" s="1952" t="s">
        <v>1908</v>
      </c>
    </row>
    <row r="528" spans="1:13" s="1872" customFormat="1">
      <c r="A528" s="1972"/>
      <c r="B528" s="1973"/>
      <c r="C528" s="1974" t="s">
        <v>377</v>
      </c>
      <c r="D528" s="1930">
        <v>10</v>
      </c>
      <c r="E528" s="1909" t="s">
        <v>5</v>
      </c>
      <c r="F528" s="1968">
        <v>300</v>
      </c>
      <c r="G528" s="1975">
        <v>70</v>
      </c>
      <c r="H528" s="1975">
        <f t="shared" si="79"/>
        <v>3000</v>
      </c>
      <c r="I528" s="1975">
        <f t="shared" si="80"/>
        <v>700</v>
      </c>
      <c r="J528" s="1975">
        <f t="shared" si="81"/>
        <v>3700</v>
      </c>
      <c r="K528" s="1977"/>
      <c r="L528" s="1977"/>
      <c r="M528" s="1885" t="s">
        <v>1879</v>
      </c>
    </row>
    <row r="529" spans="1:14" s="1872" customFormat="1">
      <c r="A529" s="1972"/>
      <c r="B529" s="1973"/>
      <c r="C529" s="1974" t="s">
        <v>867</v>
      </c>
      <c r="D529" s="1930">
        <f>D528</f>
        <v>10</v>
      </c>
      <c r="E529" s="1909" t="s">
        <v>5</v>
      </c>
      <c r="F529" s="1968">
        <v>80</v>
      </c>
      <c r="G529" s="1975">
        <v>35</v>
      </c>
      <c r="H529" s="1975">
        <f t="shared" si="79"/>
        <v>800</v>
      </c>
      <c r="I529" s="1975">
        <f t="shared" si="80"/>
        <v>350</v>
      </c>
      <c r="J529" s="1975">
        <f t="shared" si="81"/>
        <v>1150</v>
      </c>
      <c r="K529" s="1977"/>
      <c r="L529" s="1977"/>
      <c r="M529" s="1885" t="s">
        <v>1879</v>
      </c>
    </row>
    <row r="530" spans="1:14" s="1872" customFormat="1">
      <c r="A530" s="1903"/>
      <c r="B530" s="1904"/>
      <c r="C530" s="1993" t="s">
        <v>376</v>
      </c>
      <c r="D530" s="1981">
        <v>10</v>
      </c>
      <c r="E530" s="1903" t="s">
        <v>5</v>
      </c>
      <c r="F530" s="1996">
        <v>390</v>
      </c>
      <c r="G530" s="1996">
        <v>120</v>
      </c>
      <c r="H530" s="1975">
        <f t="shared" si="79"/>
        <v>3900</v>
      </c>
      <c r="I530" s="1975">
        <f t="shared" si="80"/>
        <v>1200</v>
      </c>
      <c r="J530" s="1975">
        <f t="shared" si="81"/>
        <v>5100</v>
      </c>
      <c r="K530" s="1977"/>
      <c r="L530" s="1977"/>
      <c r="M530" s="1885" t="s">
        <v>1879</v>
      </c>
    </row>
    <row r="531" spans="1:14">
      <c r="A531" s="1972"/>
      <c r="B531" s="1973"/>
      <c r="C531" s="1974" t="s">
        <v>875</v>
      </c>
      <c r="D531" s="1930">
        <v>3</v>
      </c>
      <c r="E531" s="1909" t="s">
        <v>5</v>
      </c>
      <c r="F531" s="1968">
        <v>125</v>
      </c>
      <c r="G531" s="1975">
        <v>25</v>
      </c>
      <c r="H531" s="1975">
        <f t="shared" si="79"/>
        <v>375</v>
      </c>
      <c r="I531" s="1975">
        <f t="shared" si="80"/>
        <v>75</v>
      </c>
      <c r="J531" s="1975">
        <f t="shared" si="81"/>
        <v>450</v>
      </c>
      <c r="K531" s="1977"/>
      <c r="L531" s="1977"/>
      <c r="M531" s="1885" t="s">
        <v>1879</v>
      </c>
      <c r="N531" s="1861"/>
    </row>
    <row r="532" spans="1:14" s="1872" customFormat="1">
      <c r="A532" s="1972"/>
      <c r="B532" s="1973"/>
      <c r="C532" s="1974" t="s">
        <v>878</v>
      </c>
      <c r="D532" s="1930">
        <v>12</v>
      </c>
      <c r="E532" s="1909" t="s">
        <v>5</v>
      </c>
      <c r="F532" s="1968">
        <v>150</v>
      </c>
      <c r="G532" s="1975">
        <v>75</v>
      </c>
      <c r="H532" s="1975">
        <f t="shared" si="79"/>
        <v>1800</v>
      </c>
      <c r="I532" s="1975">
        <f t="shared" si="80"/>
        <v>900</v>
      </c>
      <c r="J532" s="1975">
        <f t="shared" si="81"/>
        <v>2700</v>
      </c>
      <c r="K532" s="1977"/>
      <c r="L532" s="1977"/>
      <c r="M532" s="1885" t="s">
        <v>1879</v>
      </c>
    </row>
    <row r="533" spans="1:14" s="1872" customFormat="1">
      <c r="A533" s="1972"/>
      <c r="B533" s="1973"/>
      <c r="C533" s="1980" t="s">
        <v>1778</v>
      </c>
      <c r="D533" s="1981">
        <v>7.8</v>
      </c>
      <c r="E533" s="1982" t="s">
        <v>86</v>
      </c>
      <c r="F533" s="1983">
        <v>2850</v>
      </c>
      <c r="G533" s="1984">
        <v>198</v>
      </c>
      <c r="H533" s="1975">
        <f t="shared" si="79"/>
        <v>22230</v>
      </c>
      <c r="I533" s="1975">
        <f t="shared" si="80"/>
        <v>1544.3999999999999</v>
      </c>
      <c r="J533" s="1975">
        <f t="shared" si="81"/>
        <v>23774.400000000001</v>
      </c>
      <c r="K533" s="1977"/>
      <c r="L533" s="1971" t="s">
        <v>1922</v>
      </c>
      <c r="M533" s="1872" t="s">
        <v>1898</v>
      </c>
    </row>
    <row r="534" spans="1:14" s="1872" customFormat="1">
      <c r="A534" s="1985"/>
      <c r="B534" s="1986"/>
      <c r="C534" s="1974" t="s">
        <v>877</v>
      </c>
      <c r="D534" s="1930">
        <v>6.5</v>
      </c>
      <c r="E534" s="1909" t="s">
        <v>86</v>
      </c>
      <c r="F534" s="1968">
        <v>3028</v>
      </c>
      <c r="G534" s="1975">
        <v>392</v>
      </c>
      <c r="H534" s="1987">
        <f>ROUND(F534*D534,2)</f>
        <v>19682</v>
      </c>
      <c r="I534" s="1987">
        <f>ROUND(G534*D534,2)</f>
        <v>2548</v>
      </c>
      <c r="J534" s="1988">
        <f>+H534+I534</f>
        <v>22230</v>
      </c>
      <c r="K534" s="1977"/>
      <c r="L534" s="1977"/>
      <c r="M534" s="1872" t="s">
        <v>1898</v>
      </c>
    </row>
    <row r="535" spans="1:14" s="1872" customFormat="1">
      <c r="A535" s="1985"/>
      <c r="B535" s="1986"/>
      <c r="C535" s="1974" t="s">
        <v>1075</v>
      </c>
      <c r="D535" s="1930">
        <v>28.45</v>
      </c>
      <c r="E535" s="1909" t="s">
        <v>86</v>
      </c>
      <c r="F535" s="1968">
        <v>8500</v>
      </c>
      <c r="G535" s="1975">
        <v>2200</v>
      </c>
      <c r="H535" s="1987">
        <f>ROUND(F535*D535,2)</f>
        <v>241825</v>
      </c>
      <c r="I535" s="1987">
        <f>ROUND(G535*D535,2)</f>
        <v>62590</v>
      </c>
      <c r="J535" s="1988">
        <f>+H535+I535</f>
        <v>304415</v>
      </c>
      <c r="K535" s="1977"/>
      <c r="L535" s="1979" t="s">
        <v>1885</v>
      </c>
      <c r="M535" s="1952" t="s">
        <v>622</v>
      </c>
    </row>
    <row r="536" spans="1:14" s="1872" customFormat="1">
      <c r="A536" s="1903"/>
      <c r="B536" s="2386" t="s">
        <v>249</v>
      </c>
      <c r="C536" s="2386"/>
      <c r="D536" s="1909"/>
      <c r="E536" s="1910"/>
      <c r="F536" s="1906"/>
      <c r="G536" s="1906"/>
      <c r="H536" s="1906"/>
      <c r="I536" s="1906"/>
      <c r="J536" s="1906"/>
      <c r="K536" s="1977"/>
      <c r="M536" s="1902"/>
    </row>
    <row r="537" spans="1:14">
      <c r="A537" s="1903"/>
      <c r="B537" s="1904" t="s">
        <v>277</v>
      </c>
      <c r="C537" s="1905" t="s">
        <v>381</v>
      </c>
      <c r="D537" s="1909"/>
      <c r="E537" s="1910"/>
      <c r="F537" s="1906"/>
      <c r="G537" s="1906"/>
      <c r="H537" s="1906"/>
      <c r="I537" s="1906"/>
      <c r="J537" s="1906"/>
      <c r="K537" s="1978"/>
      <c r="L537" s="1976"/>
    </row>
    <row r="538" spans="1:14" s="1862" customFormat="1" ht="48">
      <c r="A538" s="1911"/>
      <c r="B538" s="1912" t="s">
        <v>107</v>
      </c>
      <c r="C538" s="1990" t="s">
        <v>1915</v>
      </c>
      <c r="D538" s="1981">
        <v>24.8</v>
      </c>
      <c r="E538" s="1911" t="s">
        <v>86</v>
      </c>
      <c r="F538" s="1922">
        <v>606</v>
      </c>
      <c r="G538" s="1922">
        <v>222</v>
      </c>
      <c r="H538" s="1916">
        <f t="shared" ref="H538:H552" si="82">+F538*D538</f>
        <v>15028.800000000001</v>
      </c>
      <c r="I538" s="1916">
        <f t="shared" ref="I538:I552" si="83">+G538*D538</f>
        <v>5505.6</v>
      </c>
      <c r="J538" s="1916">
        <f t="shared" ref="J538:J552" si="84">+H538+I538</f>
        <v>20534.400000000001</v>
      </c>
      <c r="K538" s="1917"/>
      <c r="L538" s="2048"/>
      <c r="M538" s="1992" t="s">
        <v>1879</v>
      </c>
      <c r="N538" s="1852"/>
    </row>
    <row r="539" spans="1:14">
      <c r="A539" s="1903"/>
      <c r="B539" s="1904" t="s">
        <v>107</v>
      </c>
      <c r="C539" s="1993" t="s">
        <v>948</v>
      </c>
      <c r="D539" s="1981">
        <v>24.8</v>
      </c>
      <c r="E539" s="1994" t="s">
        <v>84</v>
      </c>
      <c r="F539" s="1995">
        <v>0</v>
      </c>
      <c r="G539" s="1996">
        <v>200</v>
      </c>
      <c r="H539" s="1906">
        <f t="shared" si="82"/>
        <v>0</v>
      </c>
      <c r="I539" s="1906">
        <f t="shared" si="83"/>
        <v>4960</v>
      </c>
      <c r="J539" s="1906">
        <f t="shared" si="84"/>
        <v>4960</v>
      </c>
      <c r="K539" s="1907"/>
      <c r="M539" s="1885" t="s">
        <v>1016</v>
      </c>
    </row>
    <row r="540" spans="1:14">
      <c r="A540" s="1863"/>
      <c r="B540" s="1864"/>
      <c r="C540" s="1865"/>
      <c r="D540" s="1866"/>
      <c r="E540" s="1867"/>
      <c r="F540" s="1868"/>
      <c r="G540" s="1868"/>
      <c r="H540" s="1868"/>
      <c r="I540" s="1868"/>
      <c r="J540" s="1868"/>
      <c r="K540" s="1869"/>
      <c r="M540" s="1885"/>
    </row>
    <row r="541" spans="1:14">
      <c r="B541" s="1860"/>
      <c r="C541" s="2133" t="s">
        <v>133</v>
      </c>
      <c r="D541" s="2134"/>
      <c r="E541" s="2135"/>
      <c r="F541" s="2136"/>
      <c r="G541" s="2137"/>
      <c r="H541" s="2137"/>
      <c r="I541" s="2137"/>
      <c r="J541" s="2137"/>
      <c r="K541" s="2137"/>
      <c r="M541" s="1885"/>
    </row>
    <row r="542" spans="1:14">
      <c r="B542" s="2138"/>
      <c r="C542" s="2139" t="s">
        <v>1769</v>
      </c>
      <c r="D542" s="2140"/>
      <c r="E542" s="1861"/>
      <c r="F542" s="2135"/>
      <c r="G542" s="2139" t="s">
        <v>134</v>
      </c>
      <c r="H542" s="2138"/>
      <c r="I542" s="2138"/>
      <c r="J542" s="2138"/>
      <c r="K542" s="2138"/>
      <c r="M542" s="1885"/>
    </row>
    <row r="543" spans="1:14">
      <c r="B543" s="1871"/>
      <c r="C543" s="2141" t="s">
        <v>1970</v>
      </c>
      <c r="D543" s="2140"/>
      <c r="E543" s="2142"/>
      <c r="F543" s="2143"/>
      <c r="G543" s="2144" t="s">
        <v>1971</v>
      </c>
      <c r="H543" s="2145"/>
      <c r="I543" s="2145"/>
      <c r="J543" s="2145"/>
      <c r="K543" s="2145"/>
      <c r="M543" s="1885"/>
    </row>
    <row r="544" spans="1:14">
      <c r="A544" s="1837"/>
      <c r="B544" s="2138"/>
      <c r="C544" s="2139" t="s">
        <v>2031</v>
      </c>
      <c r="D544" s="2140"/>
      <c r="E544" s="1837"/>
      <c r="F544" s="2146"/>
      <c r="G544" s="2139" t="s">
        <v>2031</v>
      </c>
      <c r="H544" s="1837"/>
      <c r="I544" s="1837"/>
      <c r="J544" s="1837"/>
      <c r="K544" s="1837"/>
      <c r="M544" s="1885"/>
    </row>
    <row r="545" spans="1:13">
      <c r="A545" s="1952"/>
      <c r="B545" s="1871"/>
      <c r="C545" s="2147" t="s">
        <v>1984</v>
      </c>
      <c r="D545" s="2140"/>
      <c r="E545" s="1837"/>
      <c r="F545" s="2135"/>
      <c r="G545" s="2147" t="s">
        <v>1985</v>
      </c>
      <c r="H545" s="1952"/>
      <c r="I545" s="1952"/>
      <c r="J545" s="1952"/>
      <c r="K545" s="1952"/>
      <c r="M545" s="1885"/>
    </row>
    <row r="546" spans="1:13">
      <c r="A546" s="1952"/>
      <c r="B546" s="1952"/>
      <c r="C546" s="2139" t="s">
        <v>670</v>
      </c>
      <c r="D546" s="2139"/>
      <c r="E546" s="2143"/>
      <c r="F546" s="2143"/>
      <c r="G546" s="1952"/>
      <c r="H546" s="1952"/>
      <c r="I546" s="1952"/>
      <c r="J546" s="1952"/>
      <c r="K546" s="1952"/>
      <c r="M546" s="1885"/>
    </row>
    <row r="547" spans="1:13">
      <c r="C547" s="2147" t="s">
        <v>1972</v>
      </c>
      <c r="D547" s="2147"/>
      <c r="E547" s="2146"/>
      <c r="F547" s="2146"/>
      <c r="M547" s="1885"/>
    </row>
    <row r="548" spans="1:13">
      <c r="A548" s="1965"/>
      <c r="B548" s="1997" t="s">
        <v>107</v>
      </c>
      <c r="C548" s="1993" t="s">
        <v>1081</v>
      </c>
      <c r="D548" s="1998">
        <v>45.5</v>
      </c>
      <c r="E548" s="1999" t="s">
        <v>87</v>
      </c>
      <c r="F548" s="1975">
        <v>28.9</v>
      </c>
      <c r="G548" s="1975">
        <v>10</v>
      </c>
      <c r="H548" s="1906">
        <f t="shared" si="82"/>
        <v>1314.95</v>
      </c>
      <c r="I548" s="1906">
        <f t="shared" si="83"/>
        <v>455</v>
      </c>
      <c r="J548" s="1906">
        <f t="shared" si="84"/>
        <v>1769.95</v>
      </c>
      <c r="K548" s="1907"/>
      <c r="M548" s="1885" t="s">
        <v>1021</v>
      </c>
    </row>
    <row r="549" spans="1:13">
      <c r="A549" s="1965"/>
      <c r="B549" s="1997" t="s">
        <v>107</v>
      </c>
      <c r="C549" s="1993" t="s">
        <v>1084</v>
      </c>
      <c r="D549" s="1998">
        <v>330.3</v>
      </c>
      <c r="E549" s="1999" t="s">
        <v>87</v>
      </c>
      <c r="F549" s="1975">
        <v>28.9</v>
      </c>
      <c r="G549" s="1975">
        <v>10</v>
      </c>
      <c r="H549" s="1906">
        <f t="shared" si="82"/>
        <v>9545.67</v>
      </c>
      <c r="I549" s="1906">
        <f t="shared" si="83"/>
        <v>3303</v>
      </c>
      <c r="J549" s="1906">
        <f t="shared" si="84"/>
        <v>12848.67</v>
      </c>
      <c r="K549" s="1907"/>
      <c r="M549" s="1885" t="s">
        <v>1021</v>
      </c>
    </row>
    <row r="550" spans="1:13">
      <c r="A550" s="1965"/>
      <c r="B550" s="1997" t="s">
        <v>107</v>
      </c>
      <c r="C550" s="1993" t="s">
        <v>1083</v>
      </c>
      <c r="D550" s="1998">
        <v>45.15</v>
      </c>
      <c r="E550" s="1999" t="s">
        <v>87</v>
      </c>
      <c r="F550" s="1975">
        <v>31</v>
      </c>
      <c r="G550" s="1975">
        <v>10</v>
      </c>
      <c r="H550" s="1906">
        <f t="shared" si="82"/>
        <v>1399.6499999999999</v>
      </c>
      <c r="I550" s="1906">
        <f t="shared" si="83"/>
        <v>451.5</v>
      </c>
      <c r="J550" s="1906">
        <f t="shared" si="84"/>
        <v>1851.1499999999999</v>
      </c>
      <c r="K550" s="1907"/>
      <c r="M550" s="1885" t="s">
        <v>1016</v>
      </c>
    </row>
    <row r="551" spans="1:13">
      <c r="A551" s="1953"/>
      <c r="B551" s="2026" t="s">
        <v>107</v>
      </c>
      <c r="C551" s="2027" t="s">
        <v>956</v>
      </c>
      <c r="D551" s="2028">
        <v>18</v>
      </c>
      <c r="E551" s="2029" t="s">
        <v>109</v>
      </c>
      <c r="F551" s="2024">
        <v>108</v>
      </c>
      <c r="G551" s="2024">
        <v>18</v>
      </c>
      <c r="H551" s="2007">
        <f t="shared" si="82"/>
        <v>1944</v>
      </c>
      <c r="I551" s="2007">
        <f t="shared" si="83"/>
        <v>324</v>
      </c>
      <c r="J551" s="2007">
        <f t="shared" si="84"/>
        <v>2268</v>
      </c>
      <c r="K551" s="1908"/>
      <c r="M551" s="1885" t="s">
        <v>1021</v>
      </c>
    </row>
    <row r="552" spans="1:13">
      <c r="A552" s="1903"/>
      <c r="B552" s="1997" t="s">
        <v>107</v>
      </c>
      <c r="C552" s="1993" t="s">
        <v>1059</v>
      </c>
      <c r="D552" s="1998">
        <v>72</v>
      </c>
      <c r="E552" s="1999" t="s">
        <v>27</v>
      </c>
      <c r="F552" s="1975">
        <v>131.32</v>
      </c>
      <c r="G552" s="1975">
        <v>0</v>
      </c>
      <c r="H552" s="1906">
        <f t="shared" si="82"/>
        <v>9455.0399999999991</v>
      </c>
      <c r="I552" s="1906">
        <f t="shared" si="83"/>
        <v>0</v>
      </c>
      <c r="J552" s="1906">
        <f t="shared" si="84"/>
        <v>9455.0399999999991</v>
      </c>
      <c r="K552" s="1907"/>
      <c r="M552" s="1885" t="s">
        <v>654</v>
      </c>
    </row>
    <row r="553" spans="1:13">
      <c r="A553" s="1903"/>
      <c r="B553" s="1904" t="s">
        <v>953</v>
      </c>
      <c r="C553" s="1905" t="s">
        <v>381</v>
      </c>
      <c r="D553" s="1909"/>
      <c r="E553" s="1910"/>
      <c r="F553" s="1906"/>
      <c r="G553" s="1906"/>
      <c r="H553" s="1906"/>
      <c r="I553" s="1906"/>
      <c r="J553" s="1906"/>
      <c r="K553" s="1907"/>
    </row>
    <row r="554" spans="1:13">
      <c r="A554" s="2000"/>
      <c r="B554" s="2004" t="s">
        <v>107</v>
      </c>
      <c r="C554" s="2027" t="s">
        <v>952</v>
      </c>
      <c r="D554" s="2030">
        <v>13.5</v>
      </c>
      <c r="E554" s="2000" t="s">
        <v>86</v>
      </c>
      <c r="F554" s="2007">
        <v>119</v>
      </c>
      <c r="G554" s="2007">
        <v>82</v>
      </c>
      <c r="H554" s="2007">
        <f>+F554*D554</f>
        <v>1606.5</v>
      </c>
      <c r="I554" s="2007">
        <f>+G554*D554</f>
        <v>1107</v>
      </c>
      <c r="J554" s="2007">
        <f>+H554+I554</f>
        <v>2713.5</v>
      </c>
      <c r="K554" s="1908"/>
      <c r="M554" s="1885" t="s">
        <v>1076</v>
      </c>
    </row>
    <row r="555" spans="1:13">
      <c r="A555" s="1903"/>
      <c r="B555" s="1904" t="s">
        <v>107</v>
      </c>
      <c r="C555" s="1905" t="s">
        <v>957</v>
      </c>
      <c r="D555" s="1909">
        <v>20.45</v>
      </c>
      <c r="E555" s="1910" t="s">
        <v>84</v>
      </c>
      <c r="F555" s="1906">
        <v>200</v>
      </c>
      <c r="G555" s="1906">
        <v>40</v>
      </c>
      <c r="H555" s="1906">
        <f>+F555*D555</f>
        <v>4090</v>
      </c>
      <c r="I555" s="1906">
        <f>+G555*D555</f>
        <v>818</v>
      </c>
      <c r="J555" s="1906">
        <f>+H555+I555</f>
        <v>4908</v>
      </c>
      <c r="K555" s="1907"/>
      <c r="M555" s="1902" t="s">
        <v>1016</v>
      </c>
    </row>
    <row r="556" spans="1:13">
      <c r="A556" s="1903"/>
      <c r="B556" s="1904" t="s">
        <v>107</v>
      </c>
      <c r="C556" s="1905" t="s">
        <v>1780</v>
      </c>
      <c r="D556" s="1909">
        <v>6.4</v>
      </c>
      <c r="E556" s="1910" t="s">
        <v>84</v>
      </c>
      <c r="F556" s="1906">
        <v>2100</v>
      </c>
      <c r="G556" s="1906">
        <v>250</v>
      </c>
      <c r="H556" s="1906">
        <f>F556*D556</f>
        <v>13440</v>
      </c>
      <c r="I556" s="1906">
        <f>G556*D556</f>
        <v>1600</v>
      </c>
      <c r="J556" s="1906">
        <f>H556+I556</f>
        <v>15040</v>
      </c>
      <c r="K556" s="1907"/>
    </row>
    <row r="557" spans="1:13" s="1875" customFormat="1">
      <c r="A557" s="1972"/>
      <c r="B557" s="2001" t="s">
        <v>107</v>
      </c>
      <c r="C557" s="2002" t="s">
        <v>955</v>
      </c>
      <c r="D557" s="1930">
        <v>10</v>
      </c>
      <c r="E557" s="1909" t="s">
        <v>109</v>
      </c>
      <c r="F557" s="1909">
        <v>45</v>
      </c>
      <c r="G557" s="1930">
        <v>7.5</v>
      </c>
      <c r="H557" s="1930">
        <f>F557*D557</f>
        <v>450</v>
      </c>
      <c r="I557" s="1930">
        <f>G557*D557</f>
        <v>75</v>
      </c>
      <c r="J557" s="1930">
        <f>H557+I557</f>
        <v>525</v>
      </c>
      <c r="K557" s="2003"/>
    </row>
    <row r="558" spans="1:13" s="1875" customFormat="1">
      <c r="A558" s="1972"/>
      <c r="B558" s="2001" t="s">
        <v>107</v>
      </c>
      <c r="C558" s="2002" t="s">
        <v>1060</v>
      </c>
      <c r="D558" s="1930">
        <v>40</v>
      </c>
      <c r="E558" s="1909" t="s">
        <v>27</v>
      </c>
      <c r="F558" s="1975">
        <v>99.84</v>
      </c>
      <c r="G558" s="1975">
        <v>0</v>
      </c>
      <c r="H558" s="1930">
        <f>F558*D558</f>
        <v>3993.6000000000004</v>
      </c>
      <c r="I558" s="1930">
        <f>G558*D558</f>
        <v>0</v>
      </c>
      <c r="J558" s="1930">
        <f>H558+I558</f>
        <v>3993.6000000000004</v>
      </c>
      <c r="K558" s="2003"/>
    </row>
    <row r="559" spans="1:13" s="1875" customFormat="1">
      <c r="A559" s="1903"/>
      <c r="B559" s="1904" t="s">
        <v>954</v>
      </c>
      <c r="C559" s="1905" t="s">
        <v>381</v>
      </c>
      <c r="D559" s="1909"/>
      <c r="E559" s="1910"/>
      <c r="F559" s="1906"/>
      <c r="G559" s="1906"/>
      <c r="H559" s="1906"/>
      <c r="I559" s="1906"/>
      <c r="J559" s="1906"/>
      <c r="K559" s="1907"/>
      <c r="L559" s="1871"/>
      <c r="M559" s="1902"/>
    </row>
    <row r="560" spans="1:13">
      <c r="A560" s="1903"/>
      <c r="B560" s="1904" t="s">
        <v>107</v>
      </c>
      <c r="C560" s="1993" t="s">
        <v>952</v>
      </c>
      <c r="D560" s="1991">
        <v>14.3</v>
      </c>
      <c r="E560" s="1903" t="s">
        <v>86</v>
      </c>
      <c r="F560" s="1900">
        <v>119</v>
      </c>
      <c r="G560" s="1900">
        <v>82</v>
      </c>
      <c r="H560" s="1906">
        <f>+F560*D560</f>
        <v>1701.7</v>
      </c>
      <c r="I560" s="1906">
        <f>+G560*D560</f>
        <v>1172.6000000000001</v>
      </c>
      <c r="J560" s="1906">
        <f>+H560+I560</f>
        <v>2874.3</v>
      </c>
      <c r="K560" s="1907"/>
      <c r="M560" s="1885" t="s">
        <v>1076</v>
      </c>
    </row>
    <row r="561" spans="1:13">
      <c r="A561" s="1903"/>
      <c r="B561" s="1904" t="s">
        <v>107</v>
      </c>
      <c r="C561" s="1993" t="s">
        <v>957</v>
      </c>
      <c r="D561" s="1981">
        <v>24.2</v>
      </c>
      <c r="E561" s="1994" t="s">
        <v>84</v>
      </c>
      <c r="F561" s="1995">
        <v>200</v>
      </c>
      <c r="G561" s="1996">
        <v>40</v>
      </c>
      <c r="H561" s="1906">
        <f>+F561*D561</f>
        <v>4840</v>
      </c>
      <c r="I561" s="1906">
        <f>+G561*D561</f>
        <v>968</v>
      </c>
      <c r="J561" s="1906">
        <f>+H561+I561</f>
        <v>5808</v>
      </c>
      <c r="K561" s="1907"/>
      <c r="M561" s="1885" t="s">
        <v>1016</v>
      </c>
    </row>
    <row r="562" spans="1:13">
      <c r="A562" s="1972"/>
      <c r="B562" s="2001" t="s">
        <v>107</v>
      </c>
      <c r="C562" s="2002" t="s">
        <v>1089</v>
      </c>
      <c r="D562" s="1930">
        <v>25.7</v>
      </c>
      <c r="E562" s="1909" t="s">
        <v>87</v>
      </c>
      <c r="F562" s="1909">
        <v>32.1</v>
      </c>
      <c r="G562" s="1930">
        <v>10</v>
      </c>
      <c r="H562" s="1930">
        <f>F562*D562</f>
        <v>824.97</v>
      </c>
      <c r="I562" s="1930">
        <f>G562*D562</f>
        <v>257</v>
      </c>
      <c r="J562" s="1930">
        <f>H562+I562</f>
        <v>1081.97</v>
      </c>
      <c r="K562" s="2003"/>
      <c r="L562" s="1875"/>
      <c r="M562" s="1875"/>
    </row>
    <row r="563" spans="1:13">
      <c r="A563" s="1903"/>
      <c r="B563" s="2386" t="s">
        <v>392</v>
      </c>
      <c r="C563" s="2386"/>
      <c r="D563" s="1909"/>
      <c r="E563" s="1910"/>
      <c r="F563" s="1906"/>
      <c r="G563" s="1906"/>
      <c r="H563" s="1906"/>
      <c r="I563" s="1906"/>
      <c r="J563" s="1906"/>
      <c r="K563" s="1907"/>
    </row>
    <row r="564" spans="1:13">
      <c r="A564" s="1965"/>
      <c r="B564" s="1997" t="s">
        <v>107</v>
      </c>
      <c r="C564" s="1993" t="s">
        <v>949</v>
      </c>
      <c r="D564" s="1998">
        <v>295.8</v>
      </c>
      <c r="E564" s="1999" t="s">
        <v>87</v>
      </c>
      <c r="F564" s="1975">
        <v>28.9</v>
      </c>
      <c r="G564" s="1975">
        <v>10</v>
      </c>
      <c r="H564" s="1906">
        <f>+F564*D564</f>
        <v>8548.6200000000008</v>
      </c>
      <c r="I564" s="1906">
        <f>+G564*D564</f>
        <v>2958</v>
      </c>
      <c r="J564" s="1906">
        <f>+H564+I564</f>
        <v>11506.62</v>
      </c>
      <c r="K564" s="1907"/>
      <c r="M564" s="1885" t="s">
        <v>1021</v>
      </c>
    </row>
    <row r="565" spans="1:13">
      <c r="A565" s="1965"/>
      <c r="B565" s="1997" t="s">
        <v>107</v>
      </c>
      <c r="C565" s="1993" t="s">
        <v>951</v>
      </c>
      <c r="D565" s="1998">
        <v>1388.7</v>
      </c>
      <c r="E565" s="1999" t="s">
        <v>87</v>
      </c>
      <c r="F565" s="1975">
        <v>28.9</v>
      </c>
      <c r="G565" s="1975">
        <v>10</v>
      </c>
      <c r="H565" s="1906">
        <f>+F565*D565</f>
        <v>40133.43</v>
      </c>
      <c r="I565" s="1906">
        <f>+G565*D565</f>
        <v>13887</v>
      </c>
      <c r="J565" s="1906">
        <f>+H565+I565</f>
        <v>54020.43</v>
      </c>
      <c r="K565" s="1907"/>
      <c r="M565" s="1885" t="s">
        <v>1021</v>
      </c>
    </row>
    <row r="566" spans="1:13">
      <c r="A566" s="1965"/>
      <c r="B566" s="1997" t="s">
        <v>107</v>
      </c>
      <c r="C566" s="1993" t="s">
        <v>950</v>
      </c>
      <c r="D566" s="1998">
        <v>218</v>
      </c>
      <c r="E566" s="1999" t="s">
        <v>87</v>
      </c>
      <c r="F566" s="1975">
        <v>31</v>
      </c>
      <c r="G566" s="1975">
        <v>10</v>
      </c>
      <c r="H566" s="1906">
        <f>+F566*D566</f>
        <v>6758</v>
      </c>
      <c r="I566" s="1906">
        <f>+G566*D566</f>
        <v>2180</v>
      </c>
      <c r="J566" s="1906">
        <f>+H566+I566</f>
        <v>8938</v>
      </c>
      <c r="K566" s="1907"/>
      <c r="M566" s="1885" t="s">
        <v>1016</v>
      </c>
    </row>
    <row r="567" spans="1:13">
      <c r="A567" s="1965"/>
      <c r="B567" s="1997" t="s">
        <v>107</v>
      </c>
      <c r="C567" s="1993" t="s">
        <v>956</v>
      </c>
      <c r="D567" s="1998">
        <v>63</v>
      </c>
      <c r="E567" s="1999" t="s">
        <v>109</v>
      </c>
      <c r="F567" s="1975">
        <v>108</v>
      </c>
      <c r="G567" s="1975">
        <v>18</v>
      </c>
      <c r="H567" s="1906">
        <f>+F567*D567</f>
        <v>6804</v>
      </c>
      <c r="I567" s="1906">
        <f>+G567*D567</f>
        <v>1134</v>
      </c>
      <c r="J567" s="1906">
        <f>+H567+I567</f>
        <v>7938</v>
      </c>
      <c r="K567" s="1907"/>
      <c r="M567" s="1885" t="s">
        <v>1021</v>
      </c>
    </row>
    <row r="568" spans="1:13">
      <c r="A568" s="2000"/>
      <c r="B568" s="1997" t="s">
        <v>107</v>
      </c>
      <c r="C568" s="1993" t="s">
        <v>1059</v>
      </c>
      <c r="D568" s="1998">
        <f>D567*4</f>
        <v>252</v>
      </c>
      <c r="E568" s="1999" t="s">
        <v>27</v>
      </c>
      <c r="F568" s="1975">
        <v>131.32</v>
      </c>
      <c r="G568" s="1975">
        <v>0</v>
      </c>
      <c r="H568" s="1906">
        <f>+F568*D568</f>
        <v>33092.639999999999</v>
      </c>
      <c r="I568" s="1906">
        <f>+G568*D568</f>
        <v>0</v>
      </c>
      <c r="J568" s="1906">
        <f>+H568+I568</f>
        <v>33092.639999999999</v>
      </c>
      <c r="K568" s="1907"/>
      <c r="M568" s="1885" t="s">
        <v>654</v>
      </c>
    </row>
    <row r="569" spans="1:13">
      <c r="A569" s="1903"/>
      <c r="B569" s="2386" t="s">
        <v>384</v>
      </c>
      <c r="C569" s="2386"/>
      <c r="D569" s="1909"/>
      <c r="E569" s="1910"/>
      <c r="F569" s="1906"/>
      <c r="G569" s="1906"/>
      <c r="H569" s="1906"/>
      <c r="I569" s="1906"/>
      <c r="J569" s="1906"/>
      <c r="K569" s="1907"/>
    </row>
    <row r="570" spans="1:13">
      <c r="A570" s="1903"/>
      <c r="B570" s="1997" t="s">
        <v>107</v>
      </c>
      <c r="C570" s="1980" t="s">
        <v>1026</v>
      </c>
      <c r="D570" s="1998">
        <v>1040</v>
      </c>
      <c r="E570" s="1999" t="s">
        <v>1027</v>
      </c>
      <c r="F570" s="1975">
        <v>48</v>
      </c>
      <c r="G570" s="1975">
        <v>19</v>
      </c>
      <c r="H570" s="1906">
        <f>+F570*D570</f>
        <v>49920</v>
      </c>
      <c r="I570" s="1906">
        <f>+G570*D570</f>
        <v>19760</v>
      </c>
      <c r="J570" s="1906">
        <f>+H570+I570</f>
        <v>69680</v>
      </c>
      <c r="K570" s="1907"/>
      <c r="L570" s="1907" t="s">
        <v>1967</v>
      </c>
      <c r="M570" s="1885" t="s">
        <v>622</v>
      </c>
    </row>
    <row r="571" spans="1:13" s="1875" customFormat="1">
      <c r="A571" s="1972"/>
      <c r="B571" s="1997" t="s">
        <v>107</v>
      </c>
      <c r="C571" s="1993" t="s">
        <v>1807</v>
      </c>
      <c r="D571" s="1998">
        <v>35</v>
      </c>
      <c r="E571" s="1999" t="s">
        <v>109</v>
      </c>
      <c r="F571" s="1975">
        <v>7500</v>
      </c>
      <c r="G571" s="1975">
        <v>500</v>
      </c>
      <c r="H571" s="1906">
        <f>+F571*D571</f>
        <v>262500</v>
      </c>
      <c r="I571" s="1906">
        <f>+G571*D571</f>
        <v>17500</v>
      </c>
      <c r="J571" s="1906">
        <f>+H571+I571</f>
        <v>280000</v>
      </c>
      <c r="K571" s="1907"/>
      <c r="L571" s="2031" t="s">
        <v>1900</v>
      </c>
      <c r="M571" s="1875" t="s">
        <v>622</v>
      </c>
    </row>
    <row r="572" spans="1:13">
      <c r="A572" s="1903"/>
      <c r="B572" s="1997" t="s">
        <v>107</v>
      </c>
      <c r="C572" s="1993" t="s">
        <v>1810</v>
      </c>
      <c r="D572" s="1998">
        <v>56</v>
      </c>
      <c r="E572" s="1999" t="s">
        <v>962</v>
      </c>
      <c r="F572" s="1975">
        <v>3428.58</v>
      </c>
      <c r="G572" s="1975">
        <f>F572*0.3</f>
        <v>1028.5739999999998</v>
      </c>
      <c r="H572" s="1906">
        <f>+F572*D572</f>
        <v>192000.47999999998</v>
      </c>
      <c r="I572" s="1906">
        <f>+G572*D572</f>
        <v>57600.143999999993</v>
      </c>
      <c r="J572" s="1906">
        <f>+H572+I572</f>
        <v>249600.62399999998</v>
      </c>
      <c r="K572" s="1907"/>
      <c r="L572" s="1907" t="s">
        <v>1910</v>
      </c>
      <c r="M572" s="1902" t="s">
        <v>622</v>
      </c>
    </row>
    <row r="573" spans="1:13">
      <c r="A573" s="2032"/>
      <c r="B573" s="1878"/>
      <c r="C573" s="2033"/>
      <c r="D573" s="1880"/>
      <c r="E573" s="1881"/>
      <c r="F573" s="1882"/>
      <c r="G573" s="1882"/>
      <c r="H573" s="2017"/>
      <c r="I573" s="2017"/>
      <c r="J573" s="2017"/>
      <c r="K573" s="1907"/>
    </row>
    <row r="574" spans="1:13" ht="24.75" thickBot="1">
      <c r="A574" s="2034"/>
      <c r="B574" s="2035"/>
      <c r="C574" s="1888" t="str">
        <f>"รวมราคา "&amp;B399</f>
        <v>รวมราคา งานสถาปัตยกรรม ชั้น 3</v>
      </c>
      <c r="D574" s="1889"/>
      <c r="E574" s="1890"/>
      <c r="F574" s="1891"/>
      <c r="G574" s="1891"/>
      <c r="H574" s="1891">
        <f>SUM(H400:H572)</f>
        <v>5034452.129999999</v>
      </c>
      <c r="I574" s="1891">
        <f>SUM(I400:I572)</f>
        <v>1430031.6940000001</v>
      </c>
      <c r="J574" s="1891">
        <f>SUM(J400:J572)</f>
        <v>6464483.8239999991</v>
      </c>
      <c r="K574" s="1891"/>
      <c r="L574" s="1870"/>
      <c r="M574" s="2036"/>
    </row>
    <row r="575" spans="1:13" ht="24.75" thickTop="1">
      <c r="A575" s="1863"/>
      <c r="B575" s="1864"/>
      <c r="C575" s="1865"/>
      <c r="D575" s="1866"/>
      <c r="E575" s="1867"/>
      <c r="F575" s="1868"/>
      <c r="G575" s="1868"/>
      <c r="H575" s="1868"/>
      <c r="I575" s="1868"/>
      <c r="J575" s="1868"/>
      <c r="K575" s="1869"/>
      <c r="L575" s="1870"/>
      <c r="M575" s="2036"/>
    </row>
    <row r="576" spans="1:13">
      <c r="B576" s="1860"/>
      <c r="C576" s="2133" t="s">
        <v>133</v>
      </c>
      <c r="D576" s="2134"/>
      <c r="E576" s="2135"/>
      <c r="F576" s="2136"/>
      <c r="G576" s="2137"/>
      <c r="H576" s="2137"/>
      <c r="I576" s="2137"/>
      <c r="J576" s="2137"/>
      <c r="K576" s="2137"/>
      <c r="L576" s="1870"/>
      <c r="M576" s="2036"/>
    </row>
    <row r="577" spans="1:14">
      <c r="B577" s="2138"/>
      <c r="C577" s="2139" t="s">
        <v>1769</v>
      </c>
      <c r="D577" s="2140"/>
      <c r="E577" s="1861"/>
      <c r="F577" s="2135"/>
      <c r="G577" s="2139" t="s">
        <v>134</v>
      </c>
      <c r="H577" s="2138"/>
      <c r="I577" s="2138"/>
      <c r="J577" s="2138"/>
      <c r="K577" s="2138"/>
      <c r="L577" s="1870"/>
      <c r="M577" s="2036"/>
    </row>
    <row r="578" spans="1:14">
      <c r="B578" s="1871"/>
      <c r="C578" s="2141" t="s">
        <v>1970</v>
      </c>
      <c r="D578" s="2140"/>
      <c r="E578" s="2142"/>
      <c r="F578" s="2143"/>
      <c r="G578" s="2144" t="s">
        <v>1971</v>
      </c>
      <c r="H578" s="2145"/>
      <c r="I578" s="2145"/>
      <c r="J578" s="2145"/>
      <c r="K578" s="2145"/>
      <c r="L578" s="1870"/>
      <c r="M578" s="2036"/>
    </row>
    <row r="579" spans="1:14">
      <c r="A579" s="1837"/>
      <c r="B579" s="2138"/>
      <c r="C579" s="2139" t="s">
        <v>2031</v>
      </c>
      <c r="D579" s="2140"/>
      <c r="E579" s="1837"/>
      <c r="F579" s="2146"/>
      <c r="G579" s="2139" t="s">
        <v>2031</v>
      </c>
      <c r="H579" s="1837"/>
      <c r="I579" s="1837"/>
      <c r="J579" s="1837"/>
      <c r="K579" s="1837"/>
      <c r="L579" s="1870"/>
      <c r="M579" s="2036"/>
    </row>
    <row r="580" spans="1:14">
      <c r="A580" s="1952"/>
      <c r="B580" s="1871"/>
      <c r="C580" s="2147" t="s">
        <v>1984</v>
      </c>
      <c r="D580" s="2140"/>
      <c r="E580" s="1837"/>
      <c r="F580" s="2135"/>
      <c r="G580" s="2147" t="s">
        <v>1985</v>
      </c>
      <c r="H580" s="1952"/>
      <c r="I580" s="1952"/>
      <c r="J580" s="1952"/>
      <c r="K580" s="1952"/>
      <c r="L580" s="1870"/>
      <c r="M580" s="2036"/>
    </row>
    <row r="581" spans="1:14">
      <c r="A581" s="1952"/>
      <c r="B581" s="1952"/>
      <c r="C581" s="2139" t="s">
        <v>670</v>
      </c>
      <c r="D581" s="2139"/>
      <c r="E581" s="2143"/>
      <c r="F581" s="2143"/>
      <c r="G581" s="1952"/>
      <c r="H581" s="1952"/>
      <c r="I581" s="1952"/>
      <c r="J581" s="1952"/>
      <c r="K581" s="1952"/>
      <c r="L581" s="1870"/>
      <c r="M581" s="2036"/>
    </row>
    <row r="582" spans="1:14">
      <c r="C582" s="2147" t="s">
        <v>1972</v>
      </c>
      <c r="D582" s="2147"/>
      <c r="E582" s="2146"/>
      <c r="F582" s="2146"/>
      <c r="L582" s="1870"/>
      <c r="M582" s="2036"/>
    </row>
    <row r="583" spans="1:14">
      <c r="A583" s="2037">
        <v>2.4</v>
      </c>
      <c r="B583" s="2387" t="s">
        <v>195</v>
      </c>
      <c r="C583" s="2387"/>
      <c r="D583" s="2038"/>
      <c r="E583" s="2037"/>
      <c r="F583" s="2039"/>
      <c r="G583" s="2039"/>
      <c r="H583" s="2039"/>
      <c r="I583" s="2039"/>
      <c r="J583" s="2039"/>
      <c r="K583" s="2039"/>
      <c r="L583" s="2175"/>
      <c r="M583" s="2036"/>
    </row>
    <row r="584" spans="1:14" s="2040" customFormat="1">
      <c r="A584" s="1903"/>
      <c r="B584" s="2386" t="s">
        <v>201</v>
      </c>
      <c r="C584" s="2386"/>
      <c r="D584" s="1898"/>
      <c r="E584" s="1899"/>
      <c r="F584" s="1900"/>
      <c r="G584" s="1900"/>
      <c r="H584" s="1906"/>
      <c r="I584" s="1906"/>
      <c r="J584" s="1906"/>
      <c r="K584" s="1907"/>
      <c r="L584" s="1871"/>
      <c r="M584" s="1902"/>
    </row>
    <row r="585" spans="1:14" s="2040" customFormat="1">
      <c r="A585" s="1903"/>
      <c r="B585" s="1904" t="s">
        <v>3</v>
      </c>
      <c r="C585" s="1905" t="s">
        <v>723</v>
      </c>
      <c r="D585" s="1898">
        <v>241.1</v>
      </c>
      <c r="E585" s="1899" t="s">
        <v>86</v>
      </c>
      <c r="F585" s="1900">
        <v>606</v>
      </c>
      <c r="G585" s="1900">
        <v>222</v>
      </c>
      <c r="H585" s="1906">
        <f t="shared" ref="H585:H593" si="85">+F585*D585</f>
        <v>146106.6</v>
      </c>
      <c r="I585" s="1906">
        <f t="shared" ref="I585:I593" si="86">+G585*D585</f>
        <v>53524.2</v>
      </c>
      <c r="J585" s="1906">
        <f t="shared" ref="J585:J593" si="87">+H585+I585</f>
        <v>199630.8</v>
      </c>
      <c r="K585" s="1907"/>
      <c r="L585" s="1871"/>
      <c r="M585" s="1885" t="s">
        <v>1875</v>
      </c>
    </row>
    <row r="586" spans="1:14">
      <c r="A586" s="1903"/>
      <c r="B586" s="1904" t="s">
        <v>137</v>
      </c>
      <c r="C586" s="1905" t="s">
        <v>724</v>
      </c>
      <c r="D586" s="1898">
        <v>58.5</v>
      </c>
      <c r="E586" s="1899" t="s">
        <v>86</v>
      </c>
      <c r="F586" s="1900">
        <v>606</v>
      </c>
      <c r="G586" s="1900">
        <v>222</v>
      </c>
      <c r="H586" s="1906">
        <f t="shared" si="85"/>
        <v>35451</v>
      </c>
      <c r="I586" s="1906">
        <f t="shared" si="86"/>
        <v>12987</v>
      </c>
      <c r="J586" s="1906">
        <f t="shared" si="87"/>
        <v>48438</v>
      </c>
      <c r="K586" s="1907"/>
      <c r="M586" s="1885" t="s">
        <v>1875</v>
      </c>
      <c r="N586" s="1861"/>
    </row>
    <row r="587" spans="1:14" s="1862" customFormat="1">
      <c r="A587" s="1903"/>
      <c r="B587" s="1904" t="s">
        <v>4</v>
      </c>
      <c r="C587" s="1905" t="s">
        <v>149</v>
      </c>
      <c r="D587" s="1898">
        <v>41.5</v>
      </c>
      <c r="E587" s="1899" t="s">
        <v>86</v>
      </c>
      <c r="F587" s="1900">
        <v>113</v>
      </c>
      <c r="G587" s="1900">
        <v>87</v>
      </c>
      <c r="H587" s="1906">
        <f t="shared" si="85"/>
        <v>4689.5</v>
      </c>
      <c r="I587" s="1906">
        <f t="shared" si="86"/>
        <v>3610.5</v>
      </c>
      <c r="J587" s="1906">
        <f t="shared" si="87"/>
        <v>8300</v>
      </c>
      <c r="K587" s="1907"/>
      <c r="L587" s="1871"/>
      <c r="M587" s="1885" t="s">
        <v>1875</v>
      </c>
    </row>
    <row r="588" spans="1:14" s="1862" customFormat="1">
      <c r="A588" s="1903"/>
      <c r="B588" s="1904" t="s">
        <v>368</v>
      </c>
      <c r="C588" s="1905" t="s">
        <v>939</v>
      </c>
      <c r="D588" s="1898">
        <v>524.5</v>
      </c>
      <c r="E588" s="1899" t="s">
        <v>86</v>
      </c>
      <c r="F588" s="1900">
        <v>465</v>
      </c>
      <c r="G588" s="1900">
        <v>100</v>
      </c>
      <c r="H588" s="1906">
        <f t="shared" si="85"/>
        <v>243892.5</v>
      </c>
      <c r="I588" s="1906">
        <f t="shared" si="86"/>
        <v>52450</v>
      </c>
      <c r="J588" s="1906">
        <f t="shared" si="87"/>
        <v>296342.5</v>
      </c>
      <c r="L588" s="1907" t="s">
        <v>1925</v>
      </c>
      <c r="M588" s="1885" t="s">
        <v>1927</v>
      </c>
    </row>
    <row r="589" spans="1:14">
      <c r="A589" s="1903"/>
      <c r="B589" s="1904"/>
      <c r="C589" s="1905" t="s">
        <v>1025</v>
      </c>
      <c r="D589" s="1898">
        <v>199.91</v>
      </c>
      <c r="E589" s="1899" t="s">
        <v>84</v>
      </c>
      <c r="F589" s="1900">
        <v>95</v>
      </c>
      <c r="G589" s="1900">
        <v>40</v>
      </c>
      <c r="H589" s="1906">
        <f t="shared" si="85"/>
        <v>18991.45</v>
      </c>
      <c r="I589" s="1906">
        <f t="shared" si="86"/>
        <v>7996.4</v>
      </c>
      <c r="J589" s="1906">
        <f t="shared" si="87"/>
        <v>26987.85</v>
      </c>
      <c r="K589" s="1907"/>
      <c r="M589" s="1885" t="s">
        <v>1928</v>
      </c>
      <c r="N589" s="1861"/>
    </row>
    <row r="590" spans="1:14" s="1862" customFormat="1" ht="48">
      <c r="A590" s="1911"/>
      <c r="B590" s="1912" t="s">
        <v>150</v>
      </c>
      <c r="C590" s="1913" t="s">
        <v>940</v>
      </c>
      <c r="D590" s="1920">
        <v>12.5</v>
      </c>
      <c r="E590" s="1921" t="s">
        <v>86</v>
      </c>
      <c r="F590" s="1922">
        <v>1150</v>
      </c>
      <c r="G590" s="1922">
        <v>350</v>
      </c>
      <c r="H590" s="1916">
        <f t="shared" si="85"/>
        <v>14375</v>
      </c>
      <c r="I590" s="1916">
        <f t="shared" si="86"/>
        <v>4375</v>
      </c>
      <c r="J590" s="1916">
        <f t="shared" si="87"/>
        <v>18750</v>
      </c>
      <c r="K590" s="1917"/>
      <c r="L590" s="2048" t="s">
        <v>1925</v>
      </c>
      <c r="M590" s="1918" t="s">
        <v>1076</v>
      </c>
    </row>
    <row r="591" spans="1:14">
      <c r="A591" s="1903"/>
      <c r="B591" s="1904" t="s">
        <v>108</v>
      </c>
      <c r="C591" s="1905" t="s">
        <v>725</v>
      </c>
      <c r="D591" s="1898">
        <v>60.4</v>
      </c>
      <c r="E591" s="1899" t="s">
        <v>86</v>
      </c>
      <c r="F591" s="1900">
        <v>123</v>
      </c>
      <c r="G591" s="1900">
        <v>82</v>
      </c>
      <c r="H591" s="1906">
        <f t="shared" si="85"/>
        <v>7429.2</v>
      </c>
      <c r="I591" s="1906">
        <f t="shared" si="86"/>
        <v>4952.8</v>
      </c>
      <c r="J591" s="1906">
        <f t="shared" si="87"/>
        <v>12382</v>
      </c>
      <c r="K591" s="1907"/>
      <c r="M591" s="1885" t="s">
        <v>1875</v>
      </c>
      <c r="N591" s="1861"/>
    </row>
    <row r="592" spans="1:14" s="1862" customFormat="1">
      <c r="A592" s="2000"/>
      <c r="B592" s="2004"/>
      <c r="C592" s="2005" t="s">
        <v>727</v>
      </c>
      <c r="D592" s="2015">
        <f>D585+D586</f>
        <v>299.60000000000002</v>
      </c>
      <c r="E592" s="2016" t="s">
        <v>86</v>
      </c>
      <c r="F592" s="2017">
        <v>109</v>
      </c>
      <c r="G592" s="2017">
        <v>64</v>
      </c>
      <c r="H592" s="2007">
        <f t="shared" si="85"/>
        <v>32656.400000000001</v>
      </c>
      <c r="I592" s="2007">
        <f t="shared" si="86"/>
        <v>19174.400000000001</v>
      </c>
      <c r="J592" s="2007">
        <f t="shared" si="87"/>
        <v>51830.8</v>
      </c>
      <c r="K592" s="1908"/>
      <c r="L592" s="1871"/>
      <c r="M592" s="1885" t="s">
        <v>1878</v>
      </c>
    </row>
    <row r="593" spans="1:14" s="1862" customFormat="1">
      <c r="A593" s="1903"/>
      <c r="B593" s="1904"/>
      <c r="C593" s="1905" t="s">
        <v>728</v>
      </c>
      <c r="D593" s="1909">
        <f>D588</f>
        <v>524.5</v>
      </c>
      <c r="E593" s="1910" t="s">
        <v>86</v>
      </c>
      <c r="F593" s="1906">
        <v>175</v>
      </c>
      <c r="G593" s="1906">
        <v>40</v>
      </c>
      <c r="H593" s="1906">
        <f t="shared" si="85"/>
        <v>91787.5</v>
      </c>
      <c r="I593" s="1906">
        <f t="shared" si="86"/>
        <v>20980</v>
      </c>
      <c r="J593" s="1906">
        <f t="shared" si="87"/>
        <v>112767.5</v>
      </c>
      <c r="K593" s="1907"/>
      <c r="L593" s="1871"/>
      <c r="M593" s="1885" t="s">
        <v>1076</v>
      </c>
    </row>
    <row r="594" spans="1:14">
      <c r="A594" s="1897"/>
      <c r="B594" s="2388" t="s">
        <v>366</v>
      </c>
      <c r="C594" s="2388"/>
      <c r="D594" s="1898"/>
      <c r="E594" s="1899"/>
      <c r="F594" s="1900"/>
      <c r="G594" s="1900"/>
      <c r="H594" s="1900"/>
      <c r="I594" s="1900"/>
      <c r="J594" s="1900"/>
      <c r="K594" s="1901"/>
    </row>
    <row r="595" spans="1:14">
      <c r="A595" s="1903"/>
      <c r="B595" s="1904" t="s">
        <v>733</v>
      </c>
      <c r="C595" s="1905" t="s">
        <v>1241</v>
      </c>
      <c r="D595" s="1898">
        <v>741.72</v>
      </c>
      <c r="E595" s="1899" t="s">
        <v>86</v>
      </c>
      <c r="F595" s="1900">
        <v>273</v>
      </c>
      <c r="G595" s="1900">
        <v>53</v>
      </c>
      <c r="H595" s="1906">
        <f>+F595*D595</f>
        <v>202489.56</v>
      </c>
      <c r="I595" s="1906">
        <f>+G595*D595</f>
        <v>39311.160000000003</v>
      </c>
      <c r="J595" s="1906">
        <f>+H595+I595</f>
        <v>241800.72</v>
      </c>
      <c r="K595" s="1901"/>
      <c r="M595" s="1885" t="s">
        <v>1876</v>
      </c>
      <c r="N595" s="1861"/>
    </row>
    <row r="596" spans="1:14">
      <c r="A596" s="1903"/>
      <c r="B596" s="1904" t="s">
        <v>734</v>
      </c>
      <c r="C596" s="1905" t="s">
        <v>653</v>
      </c>
      <c r="D596" s="1898">
        <v>9</v>
      </c>
      <c r="E596" s="1899" t="s">
        <v>5</v>
      </c>
      <c r="F596" s="1900">
        <v>14500</v>
      </c>
      <c r="G596" s="1900">
        <v>800</v>
      </c>
      <c r="H596" s="1906">
        <f>+F596*D596</f>
        <v>130500</v>
      </c>
      <c r="I596" s="1906">
        <f>+G596*D596</f>
        <v>7200</v>
      </c>
      <c r="J596" s="1906">
        <f>+H596+I596</f>
        <v>137700</v>
      </c>
      <c r="K596" s="1901"/>
      <c r="L596" s="1908" t="s">
        <v>1885</v>
      </c>
      <c r="M596" s="1885" t="s">
        <v>622</v>
      </c>
    </row>
    <row r="597" spans="1:14">
      <c r="A597" s="1903"/>
      <c r="B597" s="1904" t="s">
        <v>735</v>
      </c>
      <c r="C597" s="1905" t="s">
        <v>1768</v>
      </c>
      <c r="D597" s="1898">
        <v>225.5</v>
      </c>
      <c r="E597" s="1899" t="s">
        <v>86</v>
      </c>
      <c r="F597" s="1900">
        <v>754</v>
      </c>
      <c r="G597" s="1900">
        <v>75</v>
      </c>
      <c r="H597" s="1906">
        <f>+F597*D597</f>
        <v>170027</v>
      </c>
      <c r="I597" s="1906">
        <f>+G597*D597</f>
        <v>16912.5</v>
      </c>
      <c r="J597" s="1906">
        <f>+H597+I597</f>
        <v>186939.5</v>
      </c>
      <c r="K597" s="1907"/>
      <c r="M597" s="1885" t="s">
        <v>1877</v>
      </c>
      <c r="N597" s="1861"/>
    </row>
    <row r="598" spans="1:14">
      <c r="A598" s="1903"/>
      <c r="B598" s="2386" t="s">
        <v>365</v>
      </c>
      <c r="C598" s="2386"/>
      <c r="D598" s="1909"/>
      <c r="E598" s="1910"/>
      <c r="F598" s="1906"/>
      <c r="G598" s="1906"/>
      <c r="H598" s="1906"/>
      <c r="I598" s="1906"/>
      <c r="J598" s="1906"/>
      <c r="K598" s="1907"/>
    </row>
    <row r="599" spans="1:14" s="1862" customFormat="1" ht="48">
      <c r="A599" s="1911"/>
      <c r="B599" s="1912">
        <v>1</v>
      </c>
      <c r="C599" s="1913" t="s">
        <v>736</v>
      </c>
      <c r="D599" s="1914">
        <v>276</v>
      </c>
      <c r="E599" s="1915" t="s">
        <v>86</v>
      </c>
      <c r="F599" s="1916">
        <v>165</v>
      </c>
      <c r="G599" s="1916">
        <v>240</v>
      </c>
      <c r="H599" s="1916">
        <f t="shared" ref="H599:H612" si="88">+F599*D599</f>
        <v>45540</v>
      </c>
      <c r="I599" s="1916">
        <f t="shared" ref="I599:I612" si="89">+G599*D599</f>
        <v>66240</v>
      </c>
      <c r="J599" s="1916">
        <f t="shared" ref="J599:J612" si="90">+H599+I599</f>
        <v>111780</v>
      </c>
      <c r="K599" s="1917"/>
      <c r="L599" s="2048"/>
      <c r="M599" s="1918" t="s">
        <v>1076</v>
      </c>
      <c r="N599" s="1852"/>
    </row>
    <row r="600" spans="1:14" s="1862" customFormat="1">
      <c r="A600" s="1911"/>
      <c r="B600" s="1912">
        <v>2</v>
      </c>
      <c r="C600" s="1913" t="s">
        <v>738</v>
      </c>
      <c r="D600" s="1920">
        <v>81.8</v>
      </c>
      <c r="E600" s="1921" t="s">
        <v>86</v>
      </c>
      <c r="F600" s="1922">
        <v>155</v>
      </c>
      <c r="G600" s="1922">
        <v>155</v>
      </c>
      <c r="H600" s="1916">
        <f t="shared" si="88"/>
        <v>12679</v>
      </c>
      <c r="I600" s="1916">
        <f t="shared" si="89"/>
        <v>12679</v>
      </c>
      <c r="J600" s="1916">
        <f t="shared" si="90"/>
        <v>25358</v>
      </c>
      <c r="K600" s="1917"/>
      <c r="L600" s="2048"/>
      <c r="M600" s="1918" t="s">
        <v>1076</v>
      </c>
      <c r="N600" s="1852"/>
    </row>
    <row r="601" spans="1:14" s="1862" customFormat="1">
      <c r="A601" s="1911"/>
      <c r="B601" s="1912">
        <v>3</v>
      </c>
      <c r="C601" s="1913" t="s">
        <v>737</v>
      </c>
      <c r="D601" s="1920">
        <v>11.7</v>
      </c>
      <c r="E601" s="1921" t="s">
        <v>86</v>
      </c>
      <c r="F601" s="1922">
        <v>135</v>
      </c>
      <c r="G601" s="1922">
        <v>155</v>
      </c>
      <c r="H601" s="1916">
        <f t="shared" si="88"/>
        <v>1579.5</v>
      </c>
      <c r="I601" s="1916">
        <f t="shared" si="89"/>
        <v>1813.5</v>
      </c>
      <c r="J601" s="1916">
        <f t="shared" si="90"/>
        <v>3393</v>
      </c>
      <c r="K601" s="1917"/>
      <c r="L601" s="2048"/>
      <c r="M601" s="1918" t="s">
        <v>1076</v>
      </c>
    </row>
    <row r="602" spans="1:14" s="1862" customFormat="1" ht="48">
      <c r="A602" s="1911"/>
      <c r="B602" s="1912">
        <v>4</v>
      </c>
      <c r="C602" s="1913" t="s">
        <v>1767</v>
      </c>
      <c r="D602" s="1920">
        <v>162.4</v>
      </c>
      <c r="E602" s="1921" t="s">
        <v>86</v>
      </c>
      <c r="F602" s="1922">
        <v>540</v>
      </c>
      <c r="G602" s="1922">
        <v>271</v>
      </c>
      <c r="H602" s="1916">
        <f t="shared" si="88"/>
        <v>87696</v>
      </c>
      <c r="I602" s="1916">
        <f t="shared" si="89"/>
        <v>44010.400000000001</v>
      </c>
      <c r="J602" s="1916">
        <f t="shared" si="90"/>
        <v>131706.4</v>
      </c>
      <c r="K602" s="1917" t="s">
        <v>1939</v>
      </c>
      <c r="L602" s="2048"/>
      <c r="M602" s="1918" t="s">
        <v>1076</v>
      </c>
      <c r="N602" s="1852"/>
    </row>
    <row r="603" spans="1:14" s="1862" customFormat="1" ht="48">
      <c r="A603" s="1911"/>
      <c r="B603" s="1912">
        <v>5</v>
      </c>
      <c r="C603" s="1913" t="s">
        <v>739</v>
      </c>
      <c r="D603" s="1920">
        <v>295.60000000000002</v>
      </c>
      <c r="E603" s="1921" t="s">
        <v>86</v>
      </c>
      <c r="F603" s="1922">
        <v>165</v>
      </c>
      <c r="G603" s="1922">
        <v>240</v>
      </c>
      <c r="H603" s="1916">
        <f t="shared" si="88"/>
        <v>48774.000000000007</v>
      </c>
      <c r="I603" s="1916">
        <f t="shared" si="89"/>
        <v>70944</v>
      </c>
      <c r="J603" s="1916">
        <f t="shared" si="90"/>
        <v>119718</v>
      </c>
      <c r="K603" s="1917"/>
      <c r="L603" s="2048"/>
      <c r="M603" s="1918" t="s">
        <v>1076</v>
      </c>
    </row>
    <row r="604" spans="1:14" s="1862" customFormat="1" ht="48">
      <c r="A604" s="1911"/>
      <c r="B604" s="1912">
        <v>6</v>
      </c>
      <c r="C604" s="1913" t="s">
        <v>740</v>
      </c>
      <c r="D604" s="1920">
        <v>78.2</v>
      </c>
      <c r="E604" s="1921" t="s">
        <v>86</v>
      </c>
      <c r="F604" s="1922">
        <v>285</v>
      </c>
      <c r="G604" s="1922">
        <v>240</v>
      </c>
      <c r="H604" s="1916">
        <f t="shared" si="88"/>
        <v>22287</v>
      </c>
      <c r="I604" s="1916">
        <f t="shared" si="89"/>
        <v>18768</v>
      </c>
      <c r="J604" s="1916">
        <f t="shared" si="90"/>
        <v>41055</v>
      </c>
      <c r="K604" s="1917"/>
      <c r="L604" s="2048"/>
      <c r="M604" s="1918" t="s">
        <v>1076</v>
      </c>
      <c r="N604" s="1852"/>
    </row>
    <row r="605" spans="1:14">
      <c r="A605" s="1903"/>
      <c r="B605" s="1904">
        <v>7</v>
      </c>
      <c r="C605" s="1905" t="s">
        <v>372</v>
      </c>
      <c r="D605" s="1898">
        <v>2.9</v>
      </c>
      <c r="E605" s="1899" t="s">
        <v>86</v>
      </c>
      <c r="F605" s="1900">
        <v>151</v>
      </c>
      <c r="G605" s="1900">
        <v>92</v>
      </c>
      <c r="H605" s="1906">
        <f t="shared" si="88"/>
        <v>437.9</v>
      </c>
      <c r="I605" s="1906">
        <f t="shared" si="89"/>
        <v>266.8</v>
      </c>
      <c r="J605" s="1906">
        <f t="shared" si="90"/>
        <v>704.7</v>
      </c>
      <c r="K605" s="1907"/>
      <c r="M605" s="1885" t="s">
        <v>1876</v>
      </c>
      <c r="N605" s="1861"/>
    </row>
    <row r="606" spans="1:14">
      <c r="A606" s="1903"/>
      <c r="B606" s="1904">
        <v>9</v>
      </c>
      <c r="C606" s="1905" t="s">
        <v>741</v>
      </c>
      <c r="D606" s="1898">
        <v>54</v>
      </c>
      <c r="E606" s="1899" t="s">
        <v>86</v>
      </c>
      <c r="F606" s="1900">
        <v>1526</v>
      </c>
      <c r="G606" s="1900">
        <v>276</v>
      </c>
      <c r="H606" s="1906">
        <f t="shared" si="88"/>
        <v>82404</v>
      </c>
      <c r="I606" s="1906">
        <f t="shared" si="89"/>
        <v>14904</v>
      </c>
      <c r="J606" s="1906">
        <f t="shared" si="90"/>
        <v>97308</v>
      </c>
      <c r="K606" s="1907"/>
      <c r="L606" s="1907" t="s">
        <v>1940</v>
      </c>
      <c r="M606" s="1885" t="s">
        <v>1076</v>
      </c>
    </row>
    <row r="607" spans="1:14">
      <c r="A607" s="1903"/>
      <c r="B607" s="1904">
        <v>10</v>
      </c>
      <c r="C607" s="1905" t="s">
        <v>1747</v>
      </c>
      <c r="D607" s="1898">
        <v>889.8</v>
      </c>
      <c r="E607" s="1899" t="s">
        <v>86</v>
      </c>
      <c r="F607" s="1900">
        <v>75</v>
      </c>
      <c r="G607" s="1900">
        <v>87</v>
      </c>
      <c r="H607" s="1906">
        <f t="shared" si="88"/>
        <v>66735</v>
      </c>
      <c r="I607" s="1906">
        <f t="shared" si="89"/>
        <v>77412.599999999991</v>
      </c>
      <c r="J607" s="1906">
        <f t="shared" si="90"/>
        <v>144147.59999999998</v>
      </c>
      <c r="K607" s="1907"/>
      <c r="M607" s="1885" t="s">
        <v>1879</v>
      </c>
    </row>
    <row r="608" spans="1:14">
      <c r="A608" s="1903"/>
      <c r="B608" s="1904">
        <v>11</v>
      </c>
      <c r="C608" s="1905" t="s">
        <v>1747</v>
      </c>
      <c r="D608" s="1898">
        <v>185.2</v>
      </c>
      <c r="E608" s="1899" t="s">
        <v>86</v>
      </c>
      <c r="F608" s="1900">
        <v>75</v>
      </c>
      <c r="G608" s="1900">
        <v>87</v>
      </c>
      <c r="H608" s="1906">
        <f t="shared" si="88"/>
        <v>13890</v>
      </c>
      <c r="I608" s="1906">
        <f t="shared" si="89"/>
        <v>16112.4</v>
      </c>
      <c r="J608" s="1906">
        <f t="shared" si="90"/>
        <v>30002.400000000001</v>
      </c>
      <c r="K608" s="1907"/>
      <c r="M608" s="1885"/>
    </row>
    <row r="609" spans="1:14">
      <c r="A609" s="1903"/>
      <c r="B609" s="1904" t="s">
        <v>620</v>
      </c>
      <c r="C609" s="1905" t="s">
        <v>1008</v>
      </c>
      <c r="D609" s="1909">
        <v>912.2</v>
      </c>
      <c r="E609" s="1910" t="s">
        <v>84</v>
      </c>
      <c r="F609" s="1906">
        <v>79</v>
      </c>
      <c r="G609" s="1906">
        <v>46</v>
      </c>
      <c r="H609" s="1906">
        <f t="shared" si="88"/>
        <v>72063.8</v>
      </c>
      <c r="I609" s="1906">
        <f t="shared" si="89"/>
        <v>41961.200000000004</v>
      </c>
      <c r="J609" s="1906">
        <f t="shared" si="90"/>
        <v>114025</v>
      </c>
      <c r="K609" s="1907"/>
      <c r="M609" s="1885" t="s">
        <v>1879</v>
      </c>
      <c r="N609" s="1861"/>
    </row>
    <row r="610" spans="1:14">
      <c r="A610" s="1903"/>
      <c r="B610" s="1904" t="s">
        <v>621</v>
      </c>
      <c r="C610" s="1905" t="s">
        <v>1009</v>
      </c>
      <c r="D610" s="1909">
        <v>208.35</v>
      </c>
      <c r="E610" s="1910" t="s">
        <v>84</v>
      </c>
      <c r="F610" s="1906">
        <v>120</v>
      </c>
      <c r="G610" s="1906">
        <v>64</v>
      </c>
      <c r="H610" s="1906">
        <f t="shared" si="88"/>
        <v>25002</v>
      </c>
      <c r="I610" s="1906">
        <f t="shared" si="89"/>
        <v>13334.4</v>
      </c>
      <c r="J610" s="1906">
        <f t="shared" si="90"/>
        <v>38336.400000000001</v>
      </c>
      <c r="K610" s="1907"/>
      <c r="M610" s="1885" t="s">
        <v>1879</v>
      </c>
      <c r="N610" s="1861"/>
    </row>
    <row r="611" spans="1:14">
      <c r="A611" s="1903"/>
      <c r="B611" s="1904" t="s">
        <v>1007</v>
      </c>
      <c r="C611" s="1905" t="s">
        <v>1010</v>
      </c>
      <c r="D611" s="1909">
        <v>25</v>
      </c>
      <c r="E611" s="1910" t="s">
        <v>84</v>
      </c>
      <c r="F611" s="1906">
        <v>120</v>
      </c>
      <c r="G611" s="1906">
        <v>81</v>
      </c>
      <c r="H611" s="1906">
        <f t="shared" si="88"/>
        <v>3000</v>
      </c>
      <c r="I611" s="1906">
        <f t="shared" si="89"/>
        <v>2025</v>
      </c>
      <c r="J611" s="1906">
        <f t="shared" si="90"/>
        <v>5025</v>
      </c>
      <c r="K611" s="1907"/>
      <c r="M611" s="1885" t="s">
        <v>1879</v>
      </c>
      <c r="N611" s="1861"/>
    </row>
    <row r="612" spans="1:14">
      <c r="A612" s="1903"/>
      <c r="B612" s="1904"/>
      <c r="C612" s="1905" t="s">
        <v>1078</v>
      </c>
      <c r="D612" s="1898">
        <v>251</v>
      </c>
      <c r="E612" s="1910" t="s">
        <v>113</v>
      </c>
      <c r="F612" s="1900">
        <v>0</v>
      </c>
      <c r="G612" s="1900">
        <v>15</v>
      </c>
      <c r="H612" s="1906">
        <f t="shared" si="88"/>
        <v>0</v>
      </c>
      <c r="I612" s="1906">
        <f t="shared" si="89"/>
        <v>3765</v>
      </c>
      <c r="J612" s="1906">
        <f t="shared" si="90"/>
        <v>3765</v>
      </c>
      <c r="K612" s="1907"/>
      <c r="M612" s="1885" t="s">
        <v>1015</v>
      </c>
      <c r="N612" s="1861"/>
    </row>
    <row r="613" spans="1:14">
      <c r="A613" s="1863"/>
      <c r="B613" s="1864"/>
      <c r="C613" s="1865"/>
      <c r="D613" s="1866"/>
      <c r="E613" s="1867"/>
      <c r="F613" s="1868"/>
      <c r="G613" s="1868"/>
      <c r="H613" s="1868"/>
      <c r="I613" s="1868"/>
      <c r="J613" s="1868"/>
      <c r="K613" s="1869"/>
      <c r="M613" s="1885"/>
      <c r="N613" s="1861"/>
    </row>
    <row r="614" spans="1:14">
      <c r="B614" s="1860"/>
      <c r="C614" s="2133" t="s">
        <v>133</v>
      </c>
      <c r="D614" s="2134"/>
      <c r="E614" s="2135"/>
      <c r="F614" s="2136"/>
      <c r="G614" s="2137"/>
      <c r="H614" s="2137"/>
      <c r="I614" s="2137"/>
      <c r="J614" s="2137"/>
      <c r="K614" s="2137"/>
      <c r="M614" s="1885"/>
      <c r="N614" s="1861"/>
    </row>
    <row r="615" spans="1:14">
      <c r="B615" s="2138"/>
      <c r="C615" s="2139" t="s">
        <v>1769</v>
      </c>
      <c r="D615" s="2140"/>
      <c r="E615" s="1861"/>
      <c r="F615" s="2135"/>
      <c r="G615" s="2139" t="s">
        <v>134</v>
      </c>
      <c r="H615" s="2138"/>
      <c r="I615" s="2138"/>
      <c r="J615" s="2138"/>
      <c r="K615" s="2138"/>
      <c r="M615" s="1885"/>
      <c r="N615" s="1861"/>
    </row>
    <row r="616" spans="1:14">
      <c r="B616" s="1871"/>
      <c r="C616" s="2141" t="s">
        <v>1970</v>
      </c>
      <c r="D616" s="2140"/>
      <c r="E616" s="2142"/>
      <c r="F616" s="2143"/>
      <c r="G616" s="2144" t="s">
        <v>1971</v>
      </c>
      <c r="H616" s="2145"/>
      <c r="I616" s="2145"/>
      <c r="J616" s="2145"/>
      <c r="K616" s="2145"/>
      <c r="M616" s="1885"/>
      <c r="N616" s="1861"/>
    </row>
    <row r="617" spans="1:14">
      <c r="A617" s="1837"/>
      <c r="B617" s="2138"/>
      <c r="C617" s="2139" t="s">
        <v>2031</v>
      </c>
      <c r="D617" s="2140"/>
      <c r="E617" s="1837"/>
      <c r="F617" s="2146"/>
      <c r="G617" s="2139" t="s">
        <v>2031</v>
      </c>
      <c r="H617" s="1837"/>
      <c r="I617" s="1837"/>
      <c r="J617" s="1837"/>
      <c r="K617" s="1837"/>
      <c r="M617" s="1885"/>
      <c r="N617" s="1861"/>
    </row>
    <row r="618" spans="1:14">
      <c r="A618" s="1952"/>
      <c r="B618" s="1871"/>
      <c r="C618" s="2147" t="s">
        <v>1984</v>
      </c>
      <c r="D618" s="2140"/>
      <c r="E618" s="1837"/>
      <c r="F618" s="2135"/>
      <c r="G618" s="2147" t="s">
        <v>1985</v>
      </c>
      <c r="H618" s="1952"/>
      <c r="I618" s="1952"/>
      <c r="J618" s="1952"/>
      <c r="K618" s="1952"/>
      <c r="M618" s="1885"/>
      <c r="N618" s="1861"/>
    </row>
    <row r="619" spans="1:14">
      <c r="A619" s="1952"/>
      <c r="B619" s="1952"/>
      <c r="C619" s="2139" t="s">
        <v>670</v>
      </c>
      <c r="D619" s="2139"/>
      <c r="E619" s="2143"/>
      <c r="F619" s="2143"/>
      <c r="G619" s="1952"/>
      <c r="H619" s="1952"/>
      <c r="I619" s="1952"/>
      <c r="J619" s="1952"/>
      <c r="K619" s="1952"/>
      <c r="M619" s="1885"/>
      <c r="N619" s="1861"/>
    </row>
    <row r="620" spans="1:14">
      <c r="C620" s="2147" t="s">
        <v>1972</v>
      </c>
      <c r="D620" s="2147"/>
      <c r="E620" s="2146"/>
      <c r="F620" s="2146"/>
      <c r="M620" s="1885"/>
      <c r="N620" s="1861"/>
    </row>
    <row r="621" spans="1:14">
      <c r="A621" s="1903"/>
      <c r="B621" s="2386" t="s">
        <v>205</v>
      </c>
      <c r="C621" s="2386"/>
      <c r="D621" s="1909"/>
      <c r="E621" s="1910"/>
      <c r="F621" s="1906"/>
      <c r="G621" s="1906"/>
      <c r="H621" s="1906"/>
      <c r="I621" s="1906"/>
      <c r="J621" s="1906"/>
      <c r="K621" s="1907"/>
    </row>
    <row r="622" spans="1:14">
      <c r="A622" s="1903"/>
      <c r="B622" s="1904" t="s">
        <v>941</v>
      </c>
      <c r="C622" s="1905" t="s">
        <v>1066</v>
      </c>
      <c r="D622" s="1909">
        <f>D607</f>
        <v>889.8</v>
      </c>
      <c r="E622" s="1910" t="s">
        <v>86</v>
      </c>
      <c r="F622" s="1906">
        <v>35</v>
      </c>
      <c r="G622" s="1906">
        <v>30</v>
      </c>
      <c r="H622" s="1906">
        <f t="shared" ref="H622:H627" si="91">F622*D622</f>
        <v>31143</v>
      </c>
      <c r="I622" s="1906">
        <f t="shared" ref="I622:I627" si="92">G622*D622</f>
        <v>26694</v>
      </c>
      <c r="J622" s="1906">
        <f t="shared" ref="J622:J627" si="93">H622+I622</f>
        <v>57837</v>
      </c>
      <c r="K622" s="1907"/>
      <c r="M622" s="1885" t="s">
        <v>1875</v>
      </c>
      <c r="N622" s="1861"/>
    </row>
    <row r="623" spans="1:14">
      <c r="A623" s="1903"/>
      <c r="B623" s="1904" t="s">
        <v>942</v>
      </c>
      <c r="C623" s="1905" t="s">
        <v>1067</v>
      </c>
      <c r="D623" s="1909">
        <f>D608</f>
        <v>185.2</v>
      </c>
      <c r="E623" s="1910" t="s">
        <v>86</v>
      </c>
      <c r="F623" s="1906">
        <v>44</v>
      </c>
      <c r="G623" s="1906">
        <v>34</v>
      </c>
      <c r="H623" s="1906">
        <f t="shared" si="91"/>
        <v>8148.7999999999993</v>
      </c>
      <c r="I623" s="1906">
        <f t="shared" si="92"/>
        <v>6296.7999999999993</v>
      </c>
      <c r="J623" s="1906">
        <f t="shared" si="93"/>
        <v>14445.599999999999</v>
      </c>
      <c r="K623" s="1907"/>
      <c r="M623" s="1885" t="s">
        <v>1875</v>
      </c>
      <c r="N623" s="1861"/>
    </row>
    <row r="624" spans="1:14" s="1873" customFormat="1" ht="48">
      <c r="A624" s="1944"/>
      <c r="B624" s="1939" t="s">
        <v>944</v>
      </c>
      <c r="C624" s="1946" t="s">
        <v>1069</v>
      </c>
      <c r="D624" s="1947">
        <f>D632</f>
        <v>81</v>
      </c>
      <c r="E624" s="1944" t="s">
        <v>86</v>
      </c>
      <c r="F624" s="1948">
        <v>33</v>
      </c>
      <c r="G624" s="1942">
        <v>30</v>
      </c>
      <c r="H624" s="1948">
        <f t="shared" si="91"/>
        <v>2673</v>
      </c>
      <c r="I624" s="1948">
        <f t="shared" si="92"/>
        <v>2430</v>
      </c>
      <c r="J624" s="1949">
        <f t="shared" si="93"/>
        <v>5103</v>
      </c>
      <c r="K624" s="1949"/>
      <c r="L624" s="2156"/>
      <c r="M624" s="1918" t="s">
        <v>1875</v>
      </c>
    </row>
    <row r="625" spans="1:13" s="1873" customFormat="1" ht="48">
      <c r="A625" s="1938"/>
      <c r="B625" s="1939" t="s">
        <v>945</v>
      </c>
      <c r="C625" s="1940" t="s">
        <v>1070</v>
      </c>
      <c r="D625" s="1941">
        <f>D630</f>
        <v>376.7</v>
      </c>
      <c r="E625" s="1938" t="s">
        <v>86</v>
      </c>
      <c r="F625" s="1948">
        <v>33</v>
      </c>
      <c r="G625" s="1948">
        <v>30</v>
      </c>
      <c r="H625" s="1942">
        <f t="shared" si="91"/>
        <v>12431.1</v>
      </c>
      <c r="I625" s="1942">
        <f t="shared" si="92"/>
        <v>11301</v>
      </c>
      <c r="J625" s="1943">
        <f t="shared" si="93"/>
        <v>23732.1</v>
      </c>
      <c r="K625" s="1943"/>
      <c r="L625" s="2156"/>
      <c r="M625" s="1918" t="s">
        <v>1875</v>
      </c>
    </row>
    <row r="626" spans="1:13" s="1872" customFormat="1">
      <c r="A626" s="1926"/>
      <c r="B626" s="1927" t="s">
        <v>946</v>
      </c>
      <c r="C626" s="1928" t="s">
        <v>1071</v>
      </c>
      <c r="D626" s="1929">
        <v>68</v>
      </c>
      <c r="E626" s="1926" t="s">
        <v>86</v>
      </c>
      <c r="F626" s="1950">
        <v>58</v>
      </c>
      <c r="G626" s="1950">
        <v>35</v>
      </c>
      <c r="H626" s="1930">
        <f t="shared" si="91"/>
        <v>3944</v>
      </c>
      <c r="I626" s="1930">
        <f t="shared" si="92"/>
        <v>2380</v>
      </c>
      <c r="J626" s="1931">
        <f t="shared" si="93"/>
        <v>6324</v>
      </c>
      <c r="K626" s="1931"/>
      <c r="L626" s="2155"/>
      <c r="M626" s="1885" t="s">
        <v>1879</v>
      </c>
    </row>
    <row r="627" spans="1:13" s="1872" customFormat="1">
      <c r="A627" s="1926"/>
      <c r="B627" s="1927" t="s">
        <v>1102</v>
      </c>
      <c r="C627" s="1928" t="s">
        <v>1103</v>
      </c>
      <c r="D627" s="1929">
        <v>26.1</v>
      </c>
      <c r="E627" s="1926" t="s">
        <v>86</v>
      </c>
      <c r="F627" s="1950">
        <v>471</v>
      </c>
      <c r="G627" s="1950">
        <v>30</v>
      </c>
      <c r="H627" s="1930">
        <f t="shared" si="91"/>
        <v>12293.1</v>
      </c>
      <c r="I627" s="1930">
        <f t="shared" si="92"/>
        <v>783</v>
      </c>
      <c r="J627" s="1931">
        <f t="shared" si="93"/>
        <v>13076.1</v>
      </c>
      <c r="K627" s="1931"/>
      <c r="L627" s="2155"/>
      <c r="M627" s="1885" t="s">
        <v>1879</v>
      </c>
    </row>
    <row r="628" spans="1:13" s="1872" customFormat="1">
      <c r="A628" s="1903"/>
      <c r="B628" s="2386" t="s">
        <v>204</v>
      </c>
      <c r="C628" s="2386"/>
      <c r="D628" s="1909"/>
      <c r="E628" s="1910"/>
      <c r="F628" s="1906"/>
      <c r="G628" s="1906"/>
      <c r="H628" s="1906"/>
      <c r="I628" s="1906"/>
      <c r="J628" s="1906"/>
      <c r="K628" s="1907"/>
      <c r="L628" s="1871"/>
      <c r="M628" s="1951"/>
    </row>
    <row r="629" spans="1:13" s="1872" customFormat="1">
      <c r="A629" s="1903"/>
      <c r="B629" s="1904" t="s">
        <v>197</v>
      </c>
      <c r="C629" s="1905" t="s">
        <v>937</v>
      </c>
      <c r="D629" s="1909">
        <v>596.82000000000005</v>
      </c>
      <c r="E629" s="1910" t="s">
        <v>86</v>
      </c>
      <c r="F629" s="1906">
        <v>177</v>
      </c>
      <c r="G629" s="1906">
        <v>134</v>
      </c>
      <c r="H629" s="1906">
        <f>+F629*D629</f>
        <v>105637.14000000001</v>
      </c>
      <c r="I629" s="1906">
        <f>+G629*D629</f>
        <v>79973.88</v>
      </c>
      <c r="J629" s="1906">
        <f>+H629+I629</f>
        <v>185611.02000000002</v>
      </c>
      <c r="K629" s="1907"/>
      <c r="L629" s="1871"/>
      <c r="M629" s="1885" t="s">
        <v>1076</v>
      </c>
    </row>
    <row r="630" spans="1:13" s="1853" customFormat="1">
      <c r="A630" s="1903"/>
      <c r="B630" s="1904" t="s">
        <v>373</v>
      </c>
      <c r="C630" s="1905" t="s">
        <v>938</v>
      </c>
      <c r="D630" s="1909">
        <v>376.7</v>
      </c>
      <c r="E630" s="1910" t="s">
        <v>86</v>
      </c>
      <c r="F630" s="1906">
        <v>100</v>
      </c>
      <c r="G630" s="1906">
        <v>82</v>
      </c>
      <c r="H630" s="1906">
        <f>+F630*D630</f>
        <v>37670</v>
      </c>
      <c r="I630" s="1906">
        <f>+G630*D630</f>
        <v>30889.399999999998</v>
      </c>
      <c r="J630" s="1906">
        <f>+H630+I630</f>
        <v>68559.399999999994</v>
      </c>
      <c r="K630" s="1907"/>
      <c r="L630" s="1871"/>
      <c r="M630" s="1885" t="s">
        <v>1879</v>
      </c>
    </row>
    <row r="631" spans="1:13" s="1853" customFormat="1">
      <c r="A631" s="1903"/>
      <c r="B631" s="1904" t="s">
        <v>374</v>
      </c>
      <c r="C631" s="1905" t="s">
        <v>1236</v>
      </c>
      <c r="D631" s="1909">
        <v>12</v>
      </c>
      <c r="E631" s="1910" t="s">
        <v>86</v>
      </c>
      <c r="F631" s="1906">
        <v>298</v>
      </c>
      <c r="G631" s="1906">
        <v>75</v>
      </c>
      <c r="H631" s="1906">
        <f>+F631*D631</f>
        <v>3576</v>
      </c>
      <c r="I631" s="1906">
        <f>+G631*D631</f>
        <v>900</v>
      </c>
      <c r="J631" s="1906">
        <f>+H631+I631</f>
        <v>4476</v>
      </c>
      <c r="K631" s="1907"/>
      <c r="L631" s="1871"/>
      <c r="M631" s="1885" t="s">
        <v>1876</v>
      </c>
    </row>
    <row r="632" spans="1:13" s="1853" customFormat="1">
      <c r="A632" s="2000"/>
      <c r="B632" s="2004" t="s">
        <v>375</v>
      </c>
      <c r="C632" s="2005" t="s">
        <v>1235</v>
      </c>
      <c r="D632" s="1956">
        <v>81</v>
      </c>
      <c r="E632" s="2006" t="s">
        <v>86</v>
      </c>
      <c r="F632" s="2007">
        <v>343</v>
      </c>
      <c r="G632" s="2007">
        <v>75</v>
      </c>
      <c r="H632" s="2007">
        <f>+F632*D632</f>
        <v>27783</v>
      </c>
      <c r="I632" s="2007">
        <f>+G632*D632</f>
        <v>6075</v>
      </c>
      <c r="J632" s="2007">
        <f>+H632+I632</f>
        <v>33858</v>
      </c>
      <c r="K632" s="1908"/>
      <c r="L632" s="1871"/>
      <c r="M632" s="1885" t="s">
        <v>1876</v>
      </c>
    </row>
    <row r="633" spans="1:13" s="1853" customFormat="1">
      <c r="A633" s="1903"/>
      <c r="B633" s="1904"/>
      <c r="C633" s="1905" t="s">
        <v>1199</v>
      </c>
      <c r="D633" s="1909">
        <v>3</v>
      </c>
      <c r="E633" s="1910" t="s">
        <v>5</v>
      </c>
      <c r="F633" s="1906">
        <v>500</v>
      </c>
      <c r="G633" s="1906">
        <v>100</v>
      </c>
      <c r="H633" s="1906">
        <f>+F633*D633</f>
        <v>1500</v>
      </c>
      <c r="I633" s="1906">
        <f>+G633*D633</f>
        <v>300</v>
      </c>
      <c r="J633" s="1906">
        <f>+H633+I633</f>
        <v>1800</v>
      </c>
      <c r="K633" s="1907"/>
      <c r="L633" s="1871"/>
      <c r="M633" s="2018" t="s">
        <v>1076</v>
      </c>
    </row>
    <row r="634" spans="1:13" s="1853" customFormat="1">
      <c r="A634" s="1897"/>
      <c r="B634" s="2388" t="s">
        <v>202</v>
      </c>
      <c r="C634" s="2388"/>
      <c r="D634" s="1898"/>
      <c r="E634" s="1899"/>
      <c r="F634" s="1900"/>
      <c r="G634" s="1900"/>
      <c r="H634" s="1900"/>
      <c r="I634" s="1900"/>
      <c r="J634" s="1900"/>
      <c r="K634" s="1901"/>
      <c r="L634" s="1871"/>
      <c r="M634" s="1902"/>
    </row>
    <row r="635" spans="1:13" s="1853" customFormat="1">
      <c r="A635" s="1903"/>
      <c r="B635" s="2386" t="s">
        <v>110</v>
      </c>
      <c r="C635" s="2386"/>
      <c r="D635" s="1909"/>
      <c r="E635" s="1910"/>
      <c r="F635" s="1906"/>
      <c r="G635" s="1906"/>
      <c r="H635" s="1906"/>
      <c r="I635" s="1906"/>
      <c r="J635" s="1906"/>
      <c r="K635" s="1907"/>
      <c r="L635" s="1871"/>
      <c r="M635" s="1902"/>
    </row>
    <row r="636" spans="1:13">
      <c r="A636" s="1903"/>
      <c r="B636" s="1904" t="s">
        <v>612</v>
      </c>
      <c r="C636" s="1905" t="s">
        <v>893</v>
      </c>
      <c r="D636" s="1909">
        <v>2</v>
      </c>
      <c r="E636" s="1910" t="s">
        <v>5</v>
      </c>
      <c r="F636" s="1900">
        <v>12306</v>
      </c>
      <c r="G636" s="1900">
        <v>450</v>
      </c>
      <c r="H636" s="1906">
        <f t="shared" ref="H636:H641" si="94">+F636*D636</f>
        <v>24612</v>
      </c>
      <c r="I636" s="1906">
        <f t="shared" ref="I636:I641" si="95">+G636*D636</f>
        <v>900</v>
      </c>
      <c r="J636" s="1906">
        <f t="shared" ref="J636:J641" si="96">+H636+I636</f>
        <v>25512</v>
      </c>
      <c r="K636" s="1907"/>
      <c r="M636" s="1952" t="s">
        <v>1926</v>
      </c>
    </row>
    <row r="637" spans="1:13">
      <c r="A637" s="1903"/>
      <c r="B637" s="1904" t="s">
        <v>604</v>
      </c>
      <c r="C637" s="1905" t="s">
        <v>990</v>
      </c>
      <c r="D637" s="1909">
        <v>3</v>
      </c>
      <c r="E637" s="1910" t="s">
        <v>5</v>
      </c>
      <c r="F637" s="1900">
        <v>22000</v>
      </c>
      <c r="G637" s="1900">
        <f>F637*0.3</f>
        <v>6600</v>
      </c>
      <c r="H637" s="1906">
        <f t="shared" si="94"/>
        <v>66000</v>
      </c>
      <c r="I637" s="1906">
        <f t="shared" si="95"/>
        <v>19800</v>
      </c>
      <c r="J637" s="1906">
        <f t="shared" si="96"/>
        <v>85800</v>
      </c>
      <c r="K637" s="1907"/>
      <c r="L637" s="1907" t="s">
        <v>1968</v>
      </c>
      <c r="M637" s="1952" t="s">
        <v>622</v>
      </c>
    </row>
    <row r="638" spans="1:13">
      <c r="A638" s="1903"/>
      <c r="B638" s="1904" t="s">
        <v>890</v>
      </c>
      <c r="C638" s="1905" t="s">
        <v>896</v>
      </c>
      <c r="D638" s="1909">
        <v>1</v>
      </c>
      <c r="E638" s="1910" t="s">
        <v>5</v>
      </c>
      <c r="F638" s="1900">
        <v>21100</v>
      </c>
      <c r="G638" s="1900">
        <v>1450</v>
      </c>
      <c r="H638" s="1906">
        <f t="shared" si="94"/>
        <v>21100</v>
      </c>
      <c r="I638" s="1906">
        <f t="shared" si="95"/>
        <v>1450</v>
      </c>
      <c r="J638" s="1906">
        <f t="shared" si="96"/>
        <v>22550</v>
      </c>
      <c r="K638" s="1907"/>
      <c r="L638" s="1901" t="s">
        <v>1941</v>
      </c>
      <c r="M638" s="1952" t="s">
        <v>1942</v>
      </c>
    </row>
    <row r="639" spans="1:13" s="1874" customFormat="1">
      <c r="A639" s="1903"/>
      <c r="B639" s="1904" t="s">
        <v>609</v>
      </c>
      <c r="C639" s="1905" t="s">
        <v>895</v>
      </c>
      <c r="D639" s="1909">
        <v>2</v>
      </c>
      <c r="E639" s="1910" t="s">
        <v>5</v>
      </c>
      <c r="F639" s="1906">
        <v>8713</v>
      </c>
      <c r="G639" s="1906">
        <v>450</v>
      </c>
      <c r="H639" s="1906">
        <f t="shared" si="94"/>
        <v>17426</v>
      </c>
      <c r="I639" s="1906">
        <f t="shared" si="95"/>
        <v>900</v>
      </c>
      <c r="J639" s="1906">
        <f t="shared" si="96"/>
        <v>18326</v>
      </c>
      <c r="K639" s="1907"/>
      <c r="L639" s="1907"/>
      <c r="M639" s="1952" t="s">
        <v>1926</v>
      </c>
    </row>
    <row r="640" spans="1:13" s="1874" customFormat="1">
      <c r="A640" s="1903"/>
      <c r="B640" s="1904" t="s">
        <v>902</v>
      </c>
      <c r="C640" s="1905" t="s">
        <v>906</v>
      </c>
      <c r="D640" s="1898">
        <v>7</v>
      </c>
      <c r="E640" s="1899" t="s">
        <v>5</v>
      </c>
      <c r="F640" s="1900">
        <v>19000</v>
      </c>
      <c r="G640" s="1900">
        <v>1500</v>
      </c>
      <c r="H640" s="1906">
        <f t="shared" si="94"/>
        <v>133000</v>
      </c>
      <c r="I640" s="1906">
        <f t="shared" si="95"/>
        <v>10500</v>
      </c>
      <c r="J640" s="1906">
        <f t="shared" si="96"/>
        <v>143500</v>
      </c>
      <c r="K640" s="1907"/>
      <c r="L640" s="1907" t="s">
        <v>1919</v>
      </c>
      <c r="M640" s="1952" t="s">
        <v>622</v>
      </c>
    </row>
    <row r="641" spans="1:13" s="1853" customFormat="1">
      <c r="A641" s="1903"/>
      <c r="B641" s="1904" t="s">
        <v>1046</v>
      </c>
      <c r="C641" s="1905" t="s">
        <v>1047</v>
      </c>
      <c r="D641" s="1898">
        <v>1</v>
      </c>
      <c r="E641" s="1899" t="s">
        <v>5</v>
      </c>
      <c r="F641" s="1900">
        <v>5975</v>
      </c>
      <c r="G641" s="1900">
        <v>450</v>
      </c>
      <c r="H641" s="1906">
        <f t="shared" si="94"/>
        <v>5975</v>
      </c>
      <c r="I641" s="1906">
        <f t="shared" si="95"/>
        <v>450</v>
      </c>
      <c r="J641" s="1906">
        <f t="shared" si="96"/>
        <v>6425</v>
      </c>
      <c r="K641" s="1907"/>
      <c r="L641" s="1907"/>
      <c r="M641" s="1952" t="s">
        <v>1926</v>
      </c>
    </row>
    <row r="642" spans="1:13" s="1853" customFormat="1">
      <c r="A642" s="1863"/>
      <c r="B642" s="1864"/>
      <c r="C642" s="1865"/>
      <c r="D642" s="1866"/>
      <c r="E642" s="1867"/>
      <c r="F642" s="1868"/>
      <c r="G642" s="1868"/>
      <c r="H642" s="1868"/>
      <c r="I642" s="1868"/>
      <c r="J642" s="1868"/>
      <c r="K642" s="1869"/>
      <c r="L642" s="1907"/>
      <c r="M642" s="1952"/>
    </row>
    <row r="643" spans="1:13" s="1853" customFormat="1">
      <c r="A643" s="1840"/>
      <c r="B643" s="1860"/>
      <c r="C643" s="2133" t="s">
        <v>133</v>
      </c>
      <c r="D643" s="2134"/>
      <c r="E643" s="2135"/>
      <c r="F643" s="2136"/>
      <c r="G643" s="2137"/>
      <c r="H643" s="2137"/>
      <c r="I643" s="2137"/>
      <c r="J643" s="2137"/>
      <c r="K643" s="2137"/>
      <c r="L643" s="1907"/>
      <c r="M643" s="1952"/>
    </row>
    <row r="644" spans="1:13" s="1853" customFormat="1">
      <c r="A644" s="1840"/>
      <c r="B644" s="2138"/>
      <c r="C644" s="2139" t="s">
        <v>1769</v>
      </c>
      <c r="D644" s="2140"/>
      <c r="E644" s="1861"/>
      <c r="F644" s="2135"/>
      <c r="G644" s="2139" t="s">
        <v>134</v>
      </c>
      <c r="H644" s="2138"/>
      <c r="I644" s="2138"/>
      <c r="J644" s="2138"/>
      <c r="K644" s="2138"/>
      <c r="L644" s="1907"/>
      <c r="M644" s="1952"/>
    </row>
    <row r="645" spans="1:13" s="1853" customFormat="1">
      <c r="A645" s="1840"/>
      <c r="B645" s="1871"/>
      <c r="C645" s="2141" t="s">
        <v>1970</v>
      </c>
      <c r="D645" s="2140"/>
      <c r="E645" s="2142"/>
      <c r="F645" s="2143"/>
      <c r="G645" s="2144" t="s">
        <v>1971</v>
      </c>
      <c r="H645" s="2145"/>
      <c r="I645" s="2145"/>
      <c r="J645" s="2145"/>
      <c r="K645" s="2145"/>
      <c r="L645" s="1907"/>
      <c r="M645" s="1952"/>
    </row>
    <row r="646" spans="1:13" s="1853" customFormat="1">
      <c r="A646" s="1837"/>
      <c r="B646" s="2138"/>
      <c r="C646" s="2139" t="s">
        <v>2031</v>
      </c>
      <c r="D646" s="2140"/>
      <c r="E646" s="1837"/>
      <c r="F646" s="2146"/>
      <c r="G646" s="2139" t="s">
        <v>2031</v>
      </c>
      <c r="H646" s="1837"/>
      <c r="I646" s="1837"/>
      <c r="J646" s="1837"/>
      <c r="K646" s="1837"/>
      <c r="L646" s="1907"/>
      <c r="M646" s="1952"/>
    </row>
    <row r="647" spans="1:13" s="1853" customFormat="1">
      <c r="A647" s="1952"/>
      <c r="B647" s="1871"/>
      <c r="C647" s="2147" t="s">
        <v>1984</v>
      </c>
      <c r="D647" s="2140"/>
      <c r="E647" s="1837"/>
      <c r="F647" s="2135"/>
      <c r="G647" s="2147" t="s">
        <v>1985</v>
      </c>
      <c r="H647" s="1952"/>
      <c r="I647" s="1952"/>
      <c r="J647" s="1952"/>
      <c r="K647" s="1952"/>
      <c r="L647" s="1907"/>
      <c r="M647" s="1952"/>
    </row>
    <row r="648" spans="1:13" s="1853" customFormat="1">
      <c r="A648" s="1952"/>
      <c r="B648" s="1952"/>
      <c r="C648" s="2139" t="s">
        <v>670</v>
      </c>
      <c r="D648" s="2139"/>
      <c r="E648" s="2143"/>
      <c r="F648" s="2143"/>
      <c r="G648" s="1952"/>
      <c r="H648" s="1952"/>
      <c r="I648" s="1952"/>
      <c r="J648" s="1952"/>
      <c r="K648" s="1952"/>
      <c r="L648" s="1907"/>
      <c r="M648" s="1952"/>
    </row>
    <row r="649" spans="1:13" s="1853" customFormat="1">
      <c r="A649" s="1840"/>
      <c r="B649" s="1840"/>
      <c r="C649" s="2147" t="s">
        <v>1972</v>
      </c>
      <c r="D649" s="2147"/>
      <c r="E649" s="2146"/>
      <c r="F649" s="2146"/>
      <c r="G649" s="1870"/>
      <c r="H649" s="1870"/>
      <c r="I649" s="1870"/>
      <c r="J649" s="1870"/>
      <c r="K649" s="1871"/>
      <c r="L649" s="1907"/>
      <c r="M649" s="1952"/>
    </row>
    <row r="650" spans="1:13" s="1853" customFormat="1">
      <c r="A650" s="1903"/>
      <c r="B650" s="2386" t="s">
        <v>111</v>
      </c>
      <c r="C650" s="2386"/>
      <c r="D650" s="1898"/>
      <c r="E650" s="1899"/>
      <c r="F650" s="1900"/>
      <c r="G650" s="1900"/>
      <c r="H650" s="1906"/>
      <c r="I650" s="1906"/>
      <c r="J650" s="1906"/>
      <c r="K650" s="1907"/>
      <c r="L650" s="1907"/>
      <c r="M650" s="1902"/>
    </row>
    <row r="651" spans="1:13" s="1853" customFormat="1">
      <c r="A651" s="1903"/>
      <c r="B651" s="1904" t="s">
        <v>908</v>
      </c>
      <c r="C651" s="1905" t="s">
        <v>899</v>
      </c>
      <c r="D651" s="1898">
        <v>1</v>
      </c>
      <c r="E651" s="1899" t="s">
        <v>5</v>
      </c>
      <c r="F651" s="1906">
        <v>28900</v>
      </c>
      <c r="G651" s="1906">
        <f t="shared" ref="G651:G661" si="97">F651*0.3</f>
        <v>8670</v>
      </c>
      <c r="H651" s="1906">
        <f t="shared" ref="H651:H661" si="98">+F651*D651</f>
        <v>28900</v>
      </c>
      <c r="I651" s="1906">
        <f t="shared" ref="I651:I661" si="99">+G651*D651</f>
        <v>8670</v>
      </c>
      <c r="J651" s="1906">
        <f t="shared" ref="J651:J661" si="100">+H651+I651</f>
        <v>37570</v>
      </c>
      <c r="K651" s="1907"/>
      <c r="L651" s="1907" t="s">
        <v>1935</v>
      </c>
      <c r="M651" s="1952" t="s">
        <v>622</v>
      </c>
    </row>
    <row r="652" spans="1:13">
      <c r="A652" s="1903"/>
      <c r="B652" s="1904" t="s">
        <v>897</v>
      </c>
      <c r="C652" s="1905" t="s">
        <v>901</v>
      </c>
      <c r="D652" s="1909">
        <v>2</v>
      </c>
      <c r="E652" s="1910" t="s">
        <v>5</v>
      </c>
      <c r="F652" s="1906">
        <v>5715</v>
      </c>
      <c r="G652" s="1906">
        <f t="shared" si="97"/>
        <v>1714.5</v>
      </c>
      <c r="H652" s="1906">
        <f t="shared" si="98"/>
        <v>11430</v>
      </c>
      <c r="I652" s="1906">
        <f t="shared" si="99"/>
        <v>3429</v>
      </c>
      <c r="J652" s="1906">
        <f t="shared" si="100"/>
        <v>14859</v>
      </c>
      <c r="K652" s="1907"/>
      <c r="L652" s="1907"/>
      <c r="M652" s="1952" t="s">
        <v>622</v>
      </c>
    </row>
    <row r="653" spans="1:13">
      <c r="A653" s="1903"/>
      <c r="B653" s="1904" t="s">
        <v>370</v>
      </c>
      <c r="C653" s="1905" t="s">
        <v>913</v>
      </c>
      <c r="D653" s="1909">
        <v>1</v>
      </c>
      <c r="E653" s="1910" t="s">
        <v>5</v>
      </c>
      <c r="F653" s="1906">
        <v>11100</v>
      </c>
      <c r="G653" s="1906">
        <f t="shared" si="97"/>
        <v>3330</v>
      </c>
      <c r="H653" s="1906">
        <f t="shared" si="98"/>
        <v>11100</v>
      </c>
      <c r="I653" s="1906">
        <f t="shared" si="99"/>
        <v>3330</v>
      </c>
      <c r="J653" s="1906">
        <f t="shared" si="100"/>
        <v>14430</v>
      </c>
      <c r="K653" s="1907"/>
      <c r="L653" s="1907" t="s">
        <v>1935</v>
      </c>
      <c r="M653" s="1952" t="s">
        <v>622</v>
      </c>
    </row>
    <row r="654" spans="1:13">
      <c r="A654" s="1903"/>
      <c r="B654" s="1904" t="s">
        <v>371</v>
      </c>
      <c r="C654" s="1905" t="s">
        <v>914</v>
      </c>
      <c r="D654" s="1909">
        <v>6</v>
      </c>
      <c r="E654" s="1910" t="s">
        <v>5</v>
      </c>
      <c r="F654" s="1906">
        <v>46000</v>
      </c>
      <c r="G654" s="1906">
        <f t="shared" si="97"/>
        <v>13800</v>
      </c>
      <c r="H654" s="1906">
        <f t="shared" si="98"/>
        <v>276000</v>
      </c>
      <c r="I654" s="1906">
        <f t="shared" si="99"/>
        <v>82800</v>
      </c>
      <c r="J654" s="1906">
        <f t="shared" si="100"/>
        <v>358800</v>
      </c>
      <c r="K654" s="1907"/>
      <c r="L654" s="1907" t="s">
        <v>1935</v>
      </c>
      <c r="M654" s="1952" t="s">
        <v>622</v>
      </c>
    </row>
    <row r="655" spans="1:13">
      <c r="A655" s="1903"/>
      <c r="B655" s="1904" t="s">
        <v>8</v>
      </c>
      <c r="C655" s="1905" t="s">
        <v>914</v>
      </c>
      <c r="D655" s="1909">
        <v>4</v>
      </c>
      <c r="E655" s="1910" t="s">
        <v>5</v>
      </c>
      <c r="F655" s="1906">
        <v>52100</v>
      </c>
      <c r="G655" s="1906">
        <f t="shared" si="97"/>
        <v>15630</v>
      </c>
      <c r="H655" s="1906">
        <f t="shared" si="98"/>
        <v>208400</v>
      </c>
      <c r="I655" s="1906">
        <f t="shared" si="99"/>
        <v>62520</v>
      </c>
      <c r="J655" s="1906">
        <f t="shared" si="100"/>
        <v>270920</v>
      </c>
      <c r="K655" s="1907"/>
      <c r="L655" s="1907" t="s">
        <v>1935</v>
      </c>
      <c r="M655" s="1952" t="s">
        <v>622</v>
      </c>
    </row>
    <row r="656" spans="1:13">
      <c r="A656" s="1897"/>
      <c r="B656" s="2008" t="s">
        <v>909</v>
      </c>
      <c r="C656" s="2019" t="s">
        <v>915</v>
      </c>
      <c r="D656" s="1898">
        <v>1</v>
      </c>
      <c r="E656" s="1899" t="s">
        <v>5</v>
      </c>
      <c r="F656" s="1900">
        <v>18300</v>
      </c>
      <c r="G656" s="1900">
        <f t="shared" si="97"/>
        <v>5490</v>
      </c>
      <c r="H656" s="1900">
        <f t="shared" si="98"/>
        <v>18300</v>
      </c>
      <c r="I656" s="1900">
        <f t="shared" si="99"/>
        <v>5490</v>
      </c>
      <c r="J656" s="1900">
        <f t="shared" si="100"/>
        <v>23790</v>
      </c>
      <c r="K656" s="1907"/>
      <c r="L656" s="1901" t="s">
        <v>1935</v>
      </c>
      <c r="M656" s="1952" t="s">
        <v>622</v>
      </c>
    </row>
    <row r="657" spans="1:13">
      <c r="A657" s="1903"/>
      <c r="B657" s="1904" t="s">
        <v>911</v>
      </c>
      <c r="C657" s="1905" t="s">
        <v>900</v>
      </c>
      <c r="D657" s="1909">
        <v>4</v>
      </c>
      <c r="E657" s="1910" t="s">
        <v>5</v>
      </c>
      <c r="F657" s="1906">
        <v>10400</v>
      </c>
      <c r="G657" s="1906">
        <f t="shared" si="97"/>
        <v>3120</v>
      </c>
      <c r="H657" s="1906">
        <f t="shared" si="98"/>
        <v>41600</v>
      </c>
      <c r="I657" s="1906">
        <f t="shared" si="99"/>
        <v>12480</v>
      </c>
      <c r="J657" s="1906">
        <f t="shared" si="100"/>
        <v>54080</v>
      </c>
      <c r="K657" s="1907"/>
      <c r="L657" s="1907" t="s">
        <v>1935</v>
      </c>
      <c r="M657" s="1952" t="s">
        <v>622</v>
      </c>
    </row>
    <row r="658" spans="1:13">
      <c r="A658" s="1903"/>
      <c r="B658" s="1904" t="s">
        <v>912</v>
      </c>
      <c r="C658" s="1905" t="s">
        <v>914</v>
      </c>
      <c r="D658" s="1909">
        <v>1</v>
      </c>
      <c r="E658" s="1910" t="s">
        <v>5</v>
      </c>
      <c r="F658" s="1906">
        <v>73400</v>
      </c>
      <c r="G658" s="1906">
        <f t="shared" si="97"/>
        <v>22020</v>
      </c>
      <c r="H658" s="1906">
        <f t="shared" si="98"/>
        <v>73400</v>
      </c>
      <c r="I658" s="1906">
        <f t="shared" si="99"/>
        <v>22020</v>
      </c>
      <c r="J658" s="1906">
        <f t="shared" si="100"/>
        <v>95420</v>
      </c>
      <c r="K658" s="1907"/>
      <c r="L658" s="1907" t="s">
        <v>1935</v>
      </c>
      <c r="M658" s="1952" t="s">
        <v>622</v>
      </c>
    </row>
    <row r="659" spans="1:13">
      <c r="A659" s="1903"/>
      <c r="B659" s="1904" t="s">
        <v>916</v>
      </c>
      <c r="C659" s="1905" t="s">
        <v>923</v>
      </c>
      <c r="D659" s="1909">
        <v>7</v>
      </c>
      <c r="E659" s="1910" t="s">
        <v>5</v>
      </c>
      <c r="F659" s="1906">
        <v>11300</v>
      </c>
      <c r="G659" s="1906">
        <f t="shared" si="97"/>
        <v>3390</v>
      </c>
      <c r="H659" s="1906">
        <f t="shared" si="98"/>
        <v>79100</v>
      </c>
      <c r="I659" s="1906">
        <f t="shared" si="99"/>
        <v>23730</v>
      </c>
      <c r="J659" s="1906">
        <f t="shared" si="100"/>
        <v>102830</v>
      </c>
      <c r="K659" s="1907"/>
      <c r="L659" s="1907" t="s">
        <v>1935</v>
      </c>
      <c r="M659" s="1952" t="s">
        <v>622</v>
      </c>
    </row>
    <row r="660" spans="1:13">
      <c r="A660" s="1903"/>
      <c r="B660" s="1904" t="s">
        <v>917</v>
      </c>
      <c r="C660" s="1905" t="s">
        <v>898</v>
      </c>
      <c r="D660" s="1909">
        <v>1</v>
      </c>
      <c r="E660" s="1910" t="s">
        <v>5</v>
      </c>
      <c r="F660" s="1906">
        <v>116800</v>
      </c>
      <c r="G660" s="1906">
        <f t="shared" si="97"/>
        <v>35040</v>
      </c>
      <c r="H660" s="1906">
        <f t="shared" si="98"/>
        <v>116800</v>
      </c>
      <c r="I660" s="1906">
        <f t="shared" si="99"/>
        <v>35040</v>
      </c>
      <c r="J660" s="1906">
        <f t="shared" si="100"/>
        <v>151840</v>
      </c>
      <c r="K660" s="1907"/>
      <c r="L660" s="1907" t="s">
        <v>1935</v>
      </c>
      <c r="M660" s="1952" t="s">
        <v>622</v>
      </c>
    </row>
    <row r="661" spans="1:13">
      <c r="A661" s="1903"/>
      <c r="B661" s="1904" t="s">
        <v>925</v>
      </c>
      <c r="C661" s="1905" t="s">
        <v>924</v>
      </c>
      <c r="D661" s="1909">
        <v>4</v>
      </c>
      <c r="E661" s="1910" t="s">
        <v>5</v>
      </c>
      <c r="F661" s="1906">
        <v>32200</v>
      </c>
      <c r="G661" s="1906">
        <f t="shared" si="97"/>
        <v>9660</v>
      </c>
      <c r="H661" s="1906">
        <f t="shared" si="98"/>
        <v>128800</v>
      </c>
      <c r="I661" s="1906">
        <f t="shared" si="99"/>
        <v>38640</v>
      </c>
      <c r="J661" s="1906">
        <f t="shared" si="100"/>
        <v>167440</v>
      </c>
      <c r="K661" s="1907"/>
      <c r="L661" s="1907" t="s">
        <v>1935</v>
      </c>
      <c r="M661" s="1952" t="s">
        <v>622</v>
      </c>
    </row>
    <row r="662" spans="1:13">
      <c r="A662" s="1903"/>
      <c r="B662" s="2386" t="s">
        <v>203</v>
      </c>
      <c r="C662" s="2386"/>
      <c r="D662" s="1909"/>
      <c r="E662" s="1910"/>
      <c r="F662" s="1906"/>
      <c r="G662" s="1906"/>
      <c r="H662" s="1906"/>
      <c r="I662" s="1906"/>
      <c r="J662" s="1906"/>
      <c r="K662" s="1907"/>
    </row>
    <row r="663" spans="1:13" s="1976" customFormat="1">
      <c r="A663" s="1972"/>
      <c r="B663" s="1973"/>
      <c r="C663" s="1974" t="s">
        <v>865</v>
      </c>
      <c r="D663" s="1930">
        <v>9</v>
      </c>
      <c r="E663" s="1909" t="s">
        <v>5</v>
      </c>
      <c r="F663" s="1968">
        <v>4850</v>
      </c>
      <c r="G663" s="1975">
        <v>450</v>
      </c>
      <c r="H663" s="1975">
        <f t="shared" ref="H663:H689" si="101">F663*D663</f>
        <v>43650</v>
      </c>
      <c r="I663" s="1975">
        <f t="shared" ref="I663:I689" si="102">G663*D663</f>
        <v>4050</v>
      </c>
      <c r="J663" s="1975">
        <f t="shared" ref="J663:J689" si="103">SUM(H663:I663)</f>
        <v>47700</v>
      </c>
      <c r="K663" s="1977"/>
      <c r="L663" s="1872"/>
      <c r="M663" s="1885" t="s">
        <v>1879</v>
      </c>
    </row>
    <row r="664" spans="1:13" s="1872" customFormat="1">
      <c r="A664" s="1972"/>
      <c r="B664" s="1973"/>
      <c r="C664" s="1974" t="s">
        <v>866</v>
      </c>
      <c r="D664" s="1930">
        <f>D663</f>
        <v>9</v>
      </c>
      <c r="E664" s="1909" t="s">
        <v>5</v>
      </c>
      <c r="F664" s="1968">
        <v>120</v>
      </c>
      <c r="G664" s="1975">
        <v>0</v>
      </c>
      <c r="H664" s="1975">
        <f t="shared" si="101"/>
        <v>1080</v>
      </c>
      <c r="I664" s="1975">
        <f t="shared" si="102"/>
        <v>0</v>
      </c>
      <c r="J664" s="1975">
        <f t="shared" si="103"/>
        <v>1080</v>
      </c>
      <c r="K664" s="1977"/>
      <c r="M664" s="1885" t="s">
        <v>1879</v>
      </c>
    </row>
    <row r="665" spans="1:13" s="1976" customFormat="1">
      <c r="A665" s="1972"/>
      <c r="B665" s="1973"/>
      <c r="C665" s="1974" t="s">
        <v>867</v>
      </c>
      <c r="D665" s="1930">
        <f>D663</f>
        <v>9</v>
      </c>
      <c r="E665" s="1909" t="s">
        <v>5</v>
      </c>
      <c r="F665" s="1968">
        <v>80</v>
      </c>
      <c r="G665" s="1975">
        <v>35</v>
      </c>
      <c r="H665" s="1975">
        <f t="shared" si="101"/>
        <v>720</v>
      </c>
      <c r="I665" s="1975">
        <f t="shared" si="102"/>
        <v>315</v>
      </c>
      <c r="J665" s="1975">
        <f t="shared" si="103"/>
        <v>1035</v>
      </c>
      <c r="K665" s="1977"/>
      <c r="L665" s="1872"/>
      <c r="M665" s="1885" t="s">
        <v>1879</v>
      </c>
    </row>
    <row r="666" spans="1:13" s="1872" customFormat="1">
      <c r="A666" s="1965"/>
      <c r="B666" s="1966"/>
      <c r="C666" s="1967" t="s">
        <v>879</v>
      </c>
      <c r="D666" s="1909">
        <v>1</v>
      </c>
      <c r="E666" s="1968" t="s">
        <v>5</v>
      </c>
      <c r="F666" s="1969">
        <v>7690</v>
      </c>
      <c r="G666" s="1970">
        <v>450</v>
      </c>
      <c r="H666" s="1969">
        <f t="shared" si="101"/>
        <v>7690</v>
      </c>
      <c r="I666" s="1969">
        <f t="shared" si="102"/>
        <v>450</v>
      </c>
      <c r="J666" s="1969">
        <f t="shared" si="103"/>
        <v>8140</v>
      </c>
      <c r="K666" s="1977"/>
      <c r="L666" s="1971" t="s">
        <v>1899</v>
      </c>
      <c r="M666" s="1952" t="s">
        <v>1907</v>
      </c>
    </row>
    <row r="667" spans="1:13" s="1872" customFormat="1">
      <c r="A667" s="1972"/>
      <c r="B667" s="1973"/>
      <c r="C667" s="1974" t="s">
        <v>866</v>
      </c>
      <c r="D667" s="1930">
        <f>D666</f>
        <v>1</v>
      </c>
      <c r="E667" s="1909" t="s">
        <v>5</v>
      </c>
      <c r="F667" s="1968">
        <v>120</v>
      </c>
      <c r="G667" s="1975">
        <v>0</v>
      </c>
      <c r="H667" s="1975">
        <f t="shared" si="101"/>
        <v>120</v>
      </c>
      <c r="I667" s="1975">
        <f t="shared" si="102"/>
        <v>0</v>
      </c>
      <c r="J667" s="1975">
        <f t="shared" si="103"/>
        <v>120</v>
      </c>
      <c r="K667" s="1977"/>
      <c r="M667" s="1885" t="s">
        <v>1879</v>
      </c>
    </row>
    <row r="668" spans="1:13" s="1976" customFormat="1">
      <c r="A668" s="1972"/>
      <c r="B668" s="1973"/>
      <c r="C668" s="1974" t="s">
        <v>867</v>
      </c>
      <c r="D668" s="1930">
        <f>D666</f>
        <v>1</v>
      </c>
      <c r="E668" s="1909" t="s">
        <v>5</v>
      </c>
      <c r="F668" s="1968">
        <v>80</v>
      </c>
      <c r="G668" s="1975">
        <v>35</v>
      </c>
      <c r="H668" s="1975">
        <f t="shared" si="101"/>
        <v>80</v>
      </c>
      <c r="I668" s="1975">
        <f t="shared" si="102"/>
        <v>35</v>
      </c>
      <c r="J668" s="1975">
        <f t="shared" si="103"/>
        <v>115</v>
      </c>
      <c r="K668" s="1977"/>
      <c r="L668" s="1872"/>
      <c r="M668" s="1885" t="s">
        <v>1879</v>
      </c>
    </row>
    <row r="669" spans="1:13" s="1872" customFormat="1">
      <c r="A669" s="1965"/>
      <c r="B669" s="1966"/>
      <c r="C669" s="1974" t="s">
        <v>868</v>
      </c>
      <c r="D669" s="1930">
        <v>5</v>
      </c>
      <c r="E669" s="1909" t="s">
        <v>5</v>
      </c>
      <c r="F669" s="1968">
        <v>5500</v>
      </c>
      <c r="G669" s="1975">
        <v>450</v>
      </c>
      <c r="H669" s="1969">
        <f t="shared" si="101"/>
        <v>27500</v>
      </c>
      <c r="I669" s="1969">
        <f t="shared" si="102"/>
        <v>2250</v>
      </c>
      <c r="J669" s="1969">
        <f t="shared" si="103"/>
        <v>29750</v>
      </c>
      <c r="K669" s="1978"/>
      <c r="L669" s="1976"/>
      <c r="M669" s="1885" t="s">
        <v>1879</v>
      </c>
    </row>
    <row r="670" spans="1:13" s="1976" customFormat="1">
      <c r="A670" s="1972"/>
      <c r="B670" s="1973"/>
      <c r="C670" s="1974" t="s">
        <v>869</v>
      </c>
      <c r="D670" s="1930">
        <v>9</v>
      </c>
      <c r="E670" s="1909" t="s">
        <v>5</v>
      </c>
      <c r="F670" s="1968">
        <v>3500</v>
      </c>
      <c r="G670" s="1975">
        <v>450</v>
      </c>
      <c r="H670" s="1975">
        <f t="shared" si="101"/>
        <v>31500</v>
      </c>
      <c r="I670" s="1975">
        <f t="shared" si="102"/>
        <v>4050</v>
      </c>
      <c r="J670" s="1975">
        <f t="shared" si="103"/>
        <v>35550</v>
      </c>
      <c r="K670" s="1977"/>
      <c r="L670" s="1872"/>
      <c r="M670" s="1885" t="s">
        <v>1879</v>
      </c>
    </row>
    <row r="671" spans="1:13" s="1872" customFormat="1">
      <c r="A671" s="1972"/>
      <c r="B671" s="1973"/>
      <c r="C671" s="1974" t="s">
        <v>870</v>
      </c>
      <c r="D671" s="1930">
        <f>D670</f>
        <v>9</v>
      </c>
      <c r="E671" s="1909" t="s">
        <v>5</v>
      </c>
      <c r="F671" s="1968">
        <v>900</v>
      </c>
      <c r="G671" s="1975">
        <v>150</v>
      </c>
      <c r="H671" s="1975">
        <f t="shared" si="101"/>
        <v>8100</v>
      </c>
      <c r="I671" s="1975">
        <f t="shared" si="102"/>
        <v>1350</v>
      </c>
      <c r="J671" s="1975">
        <f t="shared" si="103"/>
        <v>9450</v>
      </c>
      <c r="K671" s="1977"/>
      <c r="M671" s="1885" t="s">
        <v>1879</v>
      </c>
    </row>
    <row r="672" spans="1:13" s="1872" customFormat="1">
      <c r="A672" s="2020"/>
      <c r="B672" s="2021"/>
      <c r="C672" s="2022" t="s">
        <v>871</v>
      </c>
      <c r="D672" s="2023">
        <f>D670</f>
        <v>9</v>
      </c>
      <c r="E672" s="1956" t="s">
        <v>5</v>
      </c>
      <c r="F672" s="1963">
        <v>210</v>
      </c>
      <c r="G672" s="2024">
        <v>0</v>
      </c>
      <c r="H672" s="2024">
        <f t="shared" si="101"/>
        <v>1890</v>
      </c>
      <c r="I672" s="2024">
        <f t="shared" si="102"/>
        <v>0</v>
      </c>
      <c r="J672" s="2024">
        <f t="shared" si="103"/>
        <v>1890</v>
      </c>
      <c r="K672" s="2025"/>
      <c r="M672" s="1885" t="s">
        <v>1879</v>
      </c>
    </row>
    <row r="673" spans="1:13" s="1872" customFormat="1">
      <c r="A673" s="1972"/>
      <c r="B673" s="1973"/>
      <c r="C673" s="1974" t="s">
        <v>872</v>
      </c>
      <c r="D673" s="1930">
        <f>D670</f>
        <v>9</v>
      </c>
      <c r="E673" s="1909" t="s">
        <v>5</v>
      </c>
      <c r="F673" s="1968">
        <v>310</v>
      </c>
      <c r="G673" s="1975">
        <v>0</v>
      </c>
      <c r="H673" s="1975">
        <f t="shared" si="101"/>
        <v>2790</v>
      </c>
      <c r="I673" s="1975">
        <f t="shared" si="102"/>
        <v>0</v>
      </c>
      <c r="J673" s="1975">
        <f t="shared" si="103"/>
        <v>2790</v>
      </c>
      <c r="K673" s="1977"/>
      <c r="M673" s="1885" t="s">
        <v>1879</v>
      </c>
    </row>
    <row r="674" spans="1:13" s="1872" customFormat="1">
      <c r="A674" s="1972"/>
      <c r="B674" s="1973"/>
      <c r="C674" s="1974" t="s">
        <v>873</v>
      </c>
      <c r="D674" s="1930">
        <f>D670</f>
        <v>9</v>
      </c>
      <c r="E674" s="1909" t="s">
        <v>5</v>
      </c>
      <c r="F674" s="1968">
        <v>120</v>
      </c>
      <c r="G674" s="1975">
        <v>0</v>
      </c>
      <c r="H674" s="1975">
        <f t="shared" si="101"/>
        <v>1080</v>
      </c>
      <c r="I674" s="1975">
        <f t="shared" si="102"/>
        <v>0</v>
      </c>
      <c r="J674" s="1975">
        <f t="shared" si="103"/>
        <v>1080</v>
      </c>
      <c r="K674" s="1977"/>
      <c r="M674" s="1885" t="s">
        <v>1879</v>
      </c>
    </row>
    <row r="675" spans="1:13" s="1872" customFormat="1">
      <c r="A675" s="1972"/>
      <c r="B675" s="1973"/>
      <c r="C675" s="1974" t="s">
        <v>867</v>
      </c>
      <c r="D675" s="1930">
        <f>D670</f>
        <v>9</v>
      </c>
      <c r="E675" s="1909" t="s">
        <v>5</v>
      </c>
      <c r="F675" s="1968">
        <v>80</v>
      </c>
      <c r="G675" s="1975">
        <v>35</v>
      </c>
      <c r="H675" s="1975">
        <f t="shared" si="101"/>
        <v>720</v>
      </c>
      <c r="I675" s="1975">
        <f t="shared" si="102"/>
        <v>315</v>
      </c>
      <c r="J675" s="1975">
        <f t="shared" si="103"/>
        <v>1035</v>
      </c>
      <c r="K675" s="1977"/>
      <c r="M675" s="1885" t="s">
        <v>1879</v>
      </c>
    </row>
    <row r="676" spans="1:13" s="1872" customFormat="1">
      <c r="A676" s="1863"/>
      <c r="B676" s="1864"/>
      <c r="C676" s="1865"/>
      <c r="D676" s="1866"/>
      <c r="E676" s="1867"/>
      <c r="F676" s="1868"/>
      <c r="G676" s="1868"/>
      <c r="H676" s="1868"/>
      <c r="I676" s="1868"/>
      <c r="J676" s="1868"/>
      <c r="K676" s="1869"/>
      <c r="M676" s="1885"/>
    </row>
    <row r="677" spans="1:13" s="1872" customFormat="1">
      <c r="A677" s="1840"/>
      <c r="B677" s="1860"/>
      <c r="C677" s="2133" t="s">
        <v>133</v>
      </c>
      <c r="D677" s="2134"/>
      <c r="E677" s="2135"/>
      <c r="F677" s="2136"/>
      <c r="G677" s="2137"/>
      <c r="H677" s="2137"/>
      <c r="I677" s="2137"/>
      <c r="J677" s="2137"/>
      <c r="K677" s="2137"/>
      <c r="M677" s="1885"/>
    </row>
    <row r="678" spans="1:13" s="1872" customFormat="1">
      <c r="A678" s="1840"/>
      <c r="B678" s="2138"/>
      <c r="C678" s="2139" t="s">
        <v>1769</v>
      </c>
      <c r="D678" s="2140"/>
      <c r="E678" s="1861"/>
      <c r="F678" s="2135"/>
      <c r="G678" s="2139" t="s">
        <v>134</v>
      </c>
      <c r="H678" s="2138"/>
      <c r="I678" s="2138"/>
      <c r="J678" s="2138"/>
      <c r="K678" s="2138"/>
      <c r="M678" s="1885"/>
    </row>
    <row r="679" spans="1:13" s="1872" customFormat="1">
      <c r="A679" s="1840"/>
      <c r="B679" s="1871"/>
      <c r="C679" s="2141" t="s">
        <v>1970</v>
      </c>
      <c r="D679" s="2140"/>
      <c r="E679" s="2142"/>
      <c r="F679" s="2143"/>
      <c r="G679" s="2144" t="s">
        <v>1971</v>
      </c>
      <c r="H679" s="2145"/>
      <c r="I679" s="2145"/>
      <c r="J679" s="2145"/>
      <c r="K679" s="2145"/>
      <c r="M679" s="1885"/>
    </row>
    <row r="680" spans="1:13" s="1872" customFormat="1">
      <c r="A680" s="1837"/>
      <c r="B680" s="2138"/>
      <c r="C680" s="2139" t="s">
        <v>2031</v>
      </c>
      <c r="D680" s="2140"/>
      <c r="E680" s="1837"/>
      <c r="F680" s="2146"/>
      <c r="G680" s="2139" t="s">
        <v>2031</v>
      </c>
      <c r="H680" s="1837"/>
      <c r="I680" s="1837"/>
      <c r="J680" s="1837"/>
      <c r="K680" s="1837"/>
      <c r="M680" s="1885"/>
    </row>
    <row r="681" spans="1:13" s="1872" customFormat="1">
      <c r="A681" s="1952"/>
      <c r="B681" s="1871"/>
      <c r="C681" s="2147" t="s">
        <v>1984</v>
      </c>
      <c r="D681" s="2140"/>
      <c r="E681" s="1837"/>
      <c r="F681" s="2135"/>
      <c r="G681" s="2147" t="s">
        <v>1985</v>
      </c>
      <c r="H681" s="1952"/>
      <c r="I681" s="1952"/>
      <c r="J681" s="1952"/>
      <c r="K681" s="1952"/>
      <c r="M681" s="1885"/>
    </row>
    <row r="682" spans="1:13" s="1872" customFormat="1">
      <c r="A682" s="1952"/>
      <c r="B682" s="1952"/>
      <c r="C682" s="2139" t="s">
        <v>670</v>
      </c>
      <c r="D682" s="2139"/>
      <c r="E682" s="2143"/>
      <c r="F682" s="2143"/>
      <c r="G682" s="1952"/>
      <c r="H682" s="1952"/>
      <c r="I682" s="1952"/>
      <c r="J682" s="1952"/>
      <c r="K682" s="1952"/>
      <c r="M682" s="1885"/>
    </row>
    <row r="683" spans="1:13" s="1872" customFormat="1">
      <c r="A683" s="1840"/>
      <c r="B683" s="1840"/>
      <c r="C683" s="2147" t="s">
        <v>1972</v>
      </c>
      <c r="D683" s="2147"/>
      <c r="E683" s="2146"/>
      <c r="F683" s="2146"/>
      <c r="G683" s="1870"/>
      <c r="H683" s="1870"/>
      <c r="I683" s="1870"/>
      <c r="J683" s="1870"/>
      <c r="K683" s="1871"/>
      <c r="M683" s="1885"/>
    </row>
    <row r="684" spans="1:13" s="1872" customFormat="1">
      <c r="A684" s="1960"/>
      <c r="B684" s="1961"/>
      <c r="C684" s="1962" t="s">
        <v>886</v>
      </c>
      <c r="D684" s="1950">
        <v>1</v>
      </c>
      <c r="E684" s="1898" t="s">
        <v>5</v>
      </c>
      <c r="F684" s="1968">
        <v>3500</v>
      </c>
      <c r="G684" s="1975">
        <v>450</v>
      </c>
      <c r="H684" s="1964">
        <f t="shared" si="101"/>
        <v>3500</v>
      </c>
      <c r="I684" s="1964">
        <f t="shared" si="102"/>
        <v>450</v>
      </c>
      <c r="J684" s="1964">
        <f t="shared" si="103"/>
        <v>3950</v>
      </c>
      <c r="K684" s="1989"/>
      <c r="M684" s="1885" t="s">
        <v>1879</v>
      </c>
    </row>
    <row r="685" spans="1:13" s="1872" customFormat="1">
      <c r="A685" s="1972"/>
      <c r="B685" s="1973"/>
      <c r="C685" s="1974" t="s">
        <v>880</v>
      </c>
      <c r="D685" s="1930">
        <f>D684</f>
        <v>1</v>
      </c>
      <c r="E685" s="1909" t="s">
        <v>5</v>
      </c>
      <c r="F685" s="1968">
        <v>900</v>
      </c>
      <c r="G685" s="1975">
        <v>150</v>
      </c>
      <c r="H685" s="1975">
        <f t="shared" si="101"/>
        <v>900</v>
      </c>
      <c r="I685" s="1975">
        <f t="shared" si="102"/>
        <v>150</v>
      </c>
      <c r="J685" s="1975">
        <f t="shared" si="103"/>
        <v>1050</v>
      </c>
      <c r="K685" s="1977"/>
      <c r="M685" s="1885" t="s">
        <v>1879</v>
      </c>
    </row>
    <row r="686" spans="1:13" s="1872" customFormat="1">
      <c r="A686" s="1972"/>
      <c r="B686" s="1973"/>
      <c r="C686" s="1974" t="s">
        <v>881</v>
      </c>
      <c r="D686" s="1930">
        <f>D684</f>
        <v>1</v>
      </c>
      <c r="E686" s="1909" t="s">
        <v>5</v>
      </c>
      <c r="F686" s="1963">
        <v>210</v>
      </c>
      <c r="G686" s="1975">
        <v>0</v>
      </c>
      <c r="H686" s="1975">
        <f t="shared" si="101"/>
        <v>210</v>
      </c>
      <c r="I686" s="1975">
        <f t="shared" si="102"/>
        <v>0</v>
      </c>
      <c r="J686" s="1975">
        <f t="shared" si="103"/>
        <v>210</v>
      </c>
      <c r="K686" s="1977"/>
      <c r="M686" s="1885" t="s">
        <v>1879</v>
      </c>
    </row>
    <row r="687" spans="1:13" s="1872" customFormat="1">
      <c r="A687" s="1972"/>
      <c r="B687" s="1973"/>
      <c r="C687" s="1974" t="s">
        <v>882</v>
      </c>
      <c r="D687" s="1930">
        <f>D684</f>
        <v>1</v>
      </c>
      <c r="E687" s="1909" t="s">
        <v>5</v>
      </c>
      <c r="F687" s="1968">
        <v>310</v>
      </c>
      <c r="G687" s="1975">
        <v>0</v>
      </c>
      <c r="H687" s="1975">
        <f t="shared" si="101"/>
        <v>310</v>
      </c>
      <c r="I687" s="1975">
        <f t="shared" si="102"/>
        <v>0</v>
      </c>
      <c r="J687" s="1975">
        <f t="shared" si="103"/>
        <v>310</v>
      </c>
      <c r="K687" s="1977"/>
      <c r="M687" s="1885" t="s">
        <v>1879</v>
      </c>
    </row>
    <row r="688" spans="1:13" s="1872" customFormat="1">
      <c r="A688" s="1960"/>
      <c r="B688" s="1961"/>
      <c r="C688" s="1962" t="s">
        <v>873</v>
      </c>
      <c r="D688" s="1950">
        <f>D684</f>
        <v>1</v>
      </c>
      <c r="E688" s="1898" t="s">
        <v>5</v>
      </c>
      <c r="F688" s="1968">
        <v>120</v>
      </c>
      <c r="G688" s="1975">
        <v>0</v>
      </c>
      <c r="H688" s="1964">
        <f t="shared" si="101"/>
        <v>120</v>
      </c>
      <c r="I688" s="1964">
        <f t="shared" si="102"/>
        <v>0</v>
      </c>
      <c r="J688" s="1964">
        <f t="shared" si="103"/>
        <v>120</v>
      </c>
      <c r="K688" s="1989"/>
      <c r="M688" s="1885" t="s">
        <v>1879</v>
      </c>
    </row>
    <row r="689" spans="1:14" s="1872" customFormat="1">
      <c r="A689" s="1960"/>
      <c r="B689" s="1961"/>
      <c r="C689" s="1962" t="s">
        <v>867</v>
      </c>
      <c r="D689" s="1950">
        <f>D684</f>
        <v>1</v>
      </c>
      <c r="E689" s="1898" t="s">
        <v>5</v>
      </c>
      <c r="F689" s="1968">
        <v>80</v>
      </c>
      <c r="G689" s="1975">
        <v>35</v>
      </c>
      <c r="H689" s="1964">
        <f t="shared" si="101"/>
        <v>80</v>
      </c>
      <c r="I689" s="1964">
        <f t="shared" si="102"/>
        <v>35</v>
      </c>
      <c r="J689" s="1964">
        <f t="shared" si="103"/>
        <v>115</v>
      </c>
      <c r="K689" s="1989"/>
      <c r="M689" s="1885" t="s">
        <v>1879</v>
      </c>
    </row>
    <row r="690" spans="1:14" s="1872" customFormat="1">
      <c r="A690" s="1960"/>
      <c r="B690" s="1961"/>
      <c r="C690" s="1962" t="s">
        <v>883</v>
      </c>
      <c r="D690" s="1950">
        <v>1</v>
      </c>
      <c r="E690" s="1898" t="s">
        <v>5</v>
      </c>
      <c r="F690" s="1968">
        <v>3400</v>
      </c>
      <c r="G690" s="1975">
        <v>105</v>
      </c>
      <c r="H690" s="1964">
        <f>+F690*D690</f>
        <v>3400</v>
      </c>
      <c r="I690" s="1964">
        <f>+G690*D690</f>
        <v>105</v>
      </c>
      <c r="J690" s="1964">
        <f>+H690+I690</f>
        <v>3505</v>
      </c>
      <c r="K690" s="1989"/>
      <c r="M690" s="1885" t="s">
        <v>1879</v>
      </c>
    </row>
    <row r="691" spans="1:14" s="1872" customFormat="1">
      <c r="A691" s="1903"/>
      <c r="B691" s="1904"/>
      <c r="C691" s="1905" t="s">
        <v>884</v>
      </c>
      <c r="D691" s="1898">
        <v>1</v>
      </c>
      <c r="E691" s="1899" t="s">
        <v>5</v>
      </c>
      <c r="F691" s="1900">
        <v>3400</v>
      </c>
      <c r="G691" s="1900">
        <v>105</v>
      </c>
      <c r="H691" s="1906">
        <f>+F691*D691</f>
        <v>3400</v>
      </c>
      <c r="I691" s="1906">
        <f>+G691*D691</f>
        <v>105</v>
      </c>
      <c r="J691" s="1906">
        <f>+H691+I691</f>
        <v>3505</v>
      </c>
      <c r="K691" s="1977"/>
      <c r="M691" s="1885" t="s">
        <v>622</v>
      </c>
    </row>
    <row r="692" spans="1:14" s="1872" customFormat="1">
      <c r="A692" s="1903"/>
      <c r="B692" s="1904"/>
      <c r="C692" s="1905" t="s">
        <v>885</v>
      </c>
      <c r="D692" s="1898">
        <v>1</v>
      </c>
      <c r="E692" s="1899" t="s">
        <v>5</v>
      </c>
      <c r="F692" s="1900">
        <v>220</v>
      </c>
      <c r="G692" s="1900">
        <v>70</v>
      </c>
      <c r="H692" s="1906">
        <f>+F692*D692</f>
        <v>220</v>
      </c>
      <c r="I692" s="1906">
        <f>+G692*D692</f>
        <v>70</v>
      </c>
      <c r="J692" s="1906">
        <f>+H692+I692</f>
        <v>290</v>
      </c>
      <c r="K692" s="1977"/>
      <c r="M692" s="1885" t="s">
        <v>1879</v>
      </c>
    </row>
    <row r="693" spans="1:14">
      <c r="A693" s="1972"/>
      <c r="B693" s="1973"/>
      <c r="C693" s="1974" t="s">
        <v>874</v>
      </c>
      <c r="D693" s="1930">
        <v>1</v>
      </c>
      <c r="E693" s="1909" t="s">
        <v>5</v>
      </c>
      <c r="F693" s="1968">
        <v>1142</v>
      </c>
      <c r="G693" s="1975">
        <v>70</v>
      </c>
      <c r="H693" s="1975">
        <f t="shared" ref="H693:H701" si="104">F693*D693</f>
        <v>1142</v>
      </c>
      <c r="I693" s="1975">
        <f t="shared" ref="I693:I701" si="105">G693*D693</f>
        <v>70</v>
      </c>
      <c r="J693" s="1975">
        <f t="shared" ref="J693:J701" si="106">SUM(H693:I693)</f>
        <v>1212</v>
      </c>
      <c r="K693" s="1977"/>
      <c r="L693" s="1979" t="s">
        <v>1899</v>
      </c>
      <c r="M693" s="1872" t="s">
        <v>1907</v>
      </c>
    </row>
    <row r="694" spans="1:14" s="1872" customFormat="1">
      <c r="A694" s="1972"/>
      <c r="B694" s="1973"/>
      <c r="C694" s="1974" t="s">
        <v>1897</v>
      </c>
      <c r="D694" s="1930">
        <v>1</v>
      </c>
      <c r="E694" s="1909" t="s">
        <v>5</v>
      </c>
      <c r="F694" s="1968">
        <v>3200</v>
      </c>
      <c r="G694" s="1975">
        <v>400</v>
      </c>
      <c r="H694" s="1975">
        <f>F694*D694</f>
        <v>3200</v>
      </c>
      <c r="I694" s="1975">
        <f>G694*D694</f>
        <v>400</v>
      </c>
      <c r="J694" s="1975">
        <f>SUM(H694:I694)</f>
        <v>3600</v>
      </c>
      <c r="K694" s="1977"/>
      <c r="L694" s="1979" t="s">
        <v>1906</v>
      </c>
      <c r="M694" s="1952" t="s">
        <v>1908</v>
      </c>
    </row>
    <row r="695" spans="1:14" s="1872" customFormat="1">
      <c r="A695" s="1972"/>
      <c r="B695" s="1973"/>
      <c r="C695" s="1974" t="s">
        <v>1902</v>
      </c>
      <c r="D695" s="1930">
        <v>1</v>
      </c>
      <c r="E695" s="1909" t="s">
        <v>5</v>
      </c>
      <c r="F695" s="1968">
        <v>4000</v>
      </c>
      <c r="G695" s="1975">
        <v>400</v>
      </c>
      <c r="H695" s="1975">
        <f>F695*D695</f>
        <v>4000</v>
      </c>
      <c r="I695" s="1975">
        <f>G695*D695</f>
        <v>400</v>
      </c>
      <c r="J695" s="1975">
        <f>SUM(H695:I695)</f>
        <v>4400</v>
      </c>
      <c r="K695" s="1977"/>
      <c r="L695" s="1979" t="s">
        <v>1906</v>
      </c>
      <c r="M695" s="1952" t="s">
        <v>1908</v>
      </c>
    </row>
    <row r="696" spans="1:14" s="1872" customFormat="1">
      <c r="A696" s="1972"/>
      <c r="B696" s="1973"/>
      <c r="C696" s="1974" t="s">
        <v>377</v>
      </c>
      <c r="D696" s="1930">
        <v>10</v>
      </c>
      <c r="E696" s="1909" t="s">
        <v>5</v>
      </c>
      <c r="F696" s="1968">
        <v>300</v>
      </c>
      <c r="G696" s="1975">
        <v>70</v>
      </c>
      <c r="H696" s="1975">
        <f t="shared" si="104"/>
        <v>3000</v>
      </c>
      <c r="I696" s="1975">
        <f t="shared" si="105"/>
        <v>700</v>
      </c>
      <c r="J696" s="1975">
        <f t="shared" si="106"/>
        <v>3700</v>
      </c>
      <c r="K696" s="1977"/>
      <c r="L696" s="1977"/>
      <c r="M696" s="1885" t="s">
        <v>1879</v>
      </c>
    </row>
    <row r="697" spans="1:14" s="1872" customFormat="1">
      <c r="A697" s="1972"/>
      <c r="B697" s="1973"/>
      <c r="C697" s="1974" t="s">
        <v>867</v>
      </c>
      <c r="D697" s="1930">
        <f>D696</f>
        <v>10</v>
      </c>
      <c r="E697" s="1909" t="s">
        <v>5</v>
      </c>
      <c r="F697" s="1968">
        <v>80</v>
      </c>
      <c r="G697" s="1975">
        <v>35</v>
      </c>
      <c r="H697" s="1975">
        <f t="shared" si="104"/>
        <v>800</v>
      </c>
      <c r="I697" s="1975">
        <f t="shared" si="105"/>
        <v>350</v>
      </c>
      <c r="J697" s="1975">
        <f t="shared" si="106"/>
        <v>1150</v>
      </c>
      <c r="K697" s="1977"/>
      <c r="L697" s="1977"/>
      <c r="M697" s="1885" t="s">
        <v>1879</v>
      </c>
    </row>
    <row r="698" spans="1:14" s="1872" customFormat="1">
      <c r="A698" s="1903"/>
      <c r="B698" s="1904"/>
      <c r="C698" s="1993" t="s">
        <v>376</v>
      </c>
      <c r="D698" s="1981">
        <v>10</v>
      </c>
      <c r="E698" s="1903" t="s">
        <v>5</v>
      </c>
      <c r="F698" s="1996">
        <v>390</v>
      </c>
      <c r="G698" s="1996">
        <v>120</v>
      </c>
      <c r="H698" s="1975">
        <f t="shared" si="104"/>
        <v>3900</v>
      </c>
      <c r="I698" s="1975">
        <f t="shared" si="105"/>
        <v>1200</v>
      </c>
      <c r="J698" s="1975">
        <f t="shared" si="106"/>
        <v>5100</v>
      </c>
      <c r="K698" s="1977"/>
      <c r="L698" s="1977"/>
      <c r="M698" s="1885" t="s">
        <v>1879</v>
      </c>
    </row>
    <row r="699" spans="1:14" s="1872" customFormat="1">
      <c r="A699" s="1972"/>
      <c r="B699" s="1973"/>
      <c r="C699" s="1974" t="s">
        <v>875</v>
      </c>
      <c r="D699" s="1930">
        <v>3</v>
      </c>
      <c r="E699" s="1909" t="s">
        <v>5</v>
      </c>
      <c r="F699" s="1968">
        <v>125</v>
      </c>
      <c r="G699" s="1975">
        <v>25</v>
      </c>
      <c r="H699" s="1975">
        <f t="shared" si="104"/>
        <v>375</v>
      </c>
      <c r="I699" s="1975">
        <f t="shared" si="105"/>
        <v>75</v>
      </c>
      <c r="J699" s="1975">
        <f t="shared" si="106"/>
        <v>450</v>
      </c>
      <c r="K699" s="1977"/>
      <c r="L699" s="1977"/>
      <c r="M699" s="1885" t="s">
        <v>1879</v>
      </c>
    </row>
    <row r="700" spans="1:14">
      <c r="A700" s="1972"/>
      <c r="B700" s="1973"/>
      <c r="C700" s="1974" t="s">
        <v>878</v>
      </c>
      <c r="D700" s="1930">
        <v>12</v>
      </c>
      <c r="E700" s="1909" t="s">
        <v>5</v>
      </c>
      <c r="F700" s="1968">
        <v>150</v>
      </c>
      <c r="G700" s="1975">
        <v>75</v>
      </c>
      <c r="H700" s="1975">
        <f t="shared" si="104"/>
        <v>1800</v>
      </c>
      <c r="I700" s="1975">
        <f t="shared" si="105"/>
        <v>900</v>
      </c>
      <c r="J700" s="1975">
        <f t="shared" si="106"/>
        <v>2700</v>
      </c>
      <c r="K700" s="1977"/>
      <c r="L700" s="1977"/>
      <c r="M700" s="1885" t="s">
        <v>1879</v>
      </c>
      <c r="N700" s="1861"/>
    </row>
    <row r="701" spans="1:14" s="1872" customFormat="1">
      <c r="A701" s="1972"/>
      <c r="B701" s="1973"/>
      <c r="C701" s="1980" t="s">
        <v>1778</v>
      </c>
      <c r="D701" s="1981">
        <v>7.8</v>
      </c>
      <c r="E701" s="1982" t="s">
        <v>86</v>
      </c>
      <c r="F701" s="1983">
        <v>2850</v>
      </c>
      <c r="G701" s="1984">
        <v>198</v>
      </c>
      <c r="H701" s="1975">
        <f t="shared" si="104"/>
        <v>22230</v>
      </c>
      <c r="I701" s="1975">
        <f t="shared" si="105"/>
        <v>1544.3999999999999</v>
      </c>
      <c r="J701" s="1975">
        <f t="shared" si="106"/>
        <v>23774.400000000001</v>
      </c>
      <c r="K701" s="1977"/>
      <c r="L701" s="1971" t="s">
        <v>1922</v>
      </c>
      <c r="M701" s="1872" t="s">
        <v>1898</v>
      </c>
    </row>
    <row r="702" spans="1:14" s="1872" customFormat="1">
      <c r="A702" s="1985"/>
      <c r="B702" s="1986"/>
      <c r="C702" s="1974" t="s">
        <v>877</v>
      </c>
      <c r="D702" s="1930">
        <v>6.5</v>
      </c>
      <c r="E702" s="1909" t="s">
        <v>86</v>
      </c>
      <c r="F702" s="1968">
        <v>3028</v>
      </c>
      <c r="G702" s="1975">
        <v>392</v>
      </c>
      <c r="H702" s="1987">
        <f>ROUND(F702*D702,2)</f>
        <v>19682</v>
      </c>
      <c r="I702" s="1987">
        <f>ROUND(G702*D702,2)</f>
        <v>2548</v>
      </c>
      <c r="J702" s="1988">
        <f>+H702+I702</f>
        <v>22230</v>
      </c>
      <c r="K702" s="1977"/>
      <c r="L702" s="1977"/>
      <c r="M702" s="1872" t="s">
        <v>1898</v>
      </c>
    </row>
    <row r="703" spans="1:14" s="1872" customFormat="1">
      <c r="A703" s="1985"/>
      <c r="B703" s="1986"/>
      <c r="C703" s="1974" t="s">
        <v>1075</v>
      </c>
      <c r="D703" s="1930">
        <v>25.2</v>
      </c>
      <c r="E703" s="1909" t="s">
        <v>86</v>
      </c>
      <c r="F703" s="1968">
        <v>8500</v>
      </c>
      <c r="G703" s="1975">
        <v>2200</v>
      </c>
      <c r="H703" s="1987">
        <f>ROUND(F703*D703,2)</f>
        <v>214200</v>
      </c>
      <c r="I703" s="1987">
        <f>ROUND(G703*D703,2)</f>
        <v>55440</v>
      </c>
      <c r="J703" s="1988">
        <f>+H703+I703</f>
        <v>269640</v>
      </c>
      <c r="K703" s="1977"/>
      <c r="L703" s="1979" t="s">
        <v>1885</v>
      </c>
      <c r="M703" s="1952" t="s">
        <v>622</v>
      </c>
    </row>
    <row r="704" spans="1:14" s="1872" customFormat="1">
      <c r="A704" s="1863"/>
      <c r="B704" s="1864"/>
      <c r="C704" s="1865"/>
      <c r="D704" s="1866"/>
      <c r="E704" s="1867"/>
      <c r="F704" s="1868"/>
      <c r="G704" s="1868"/>
      <c r="H704" s="1868"/>
      <c r="I704" s="1868"/>
      <c r="J704" s="1868"/>
      <c r="K704" s="1869"/>
      <c r="L704" s="2041"/>
      <c r="M704" s="1952"/>
    </row>
    <row r="705" spans="1:14" s="1872" customFormat="1">
      <c r="A705" s="1840"/>
      <c r="B705" s="1860"/>
      <c r="C705" s="2133" t="s">
        <v>133</v>
      </c>
      <c r="D705" s="2134"/>
      <c r="E705" s="2135"/>
      <c r="F705" s="2136"/>
      <c r="G705" s="2137"/>
      <c r="H705" s="2137"/>
      <c r="I705" s="2137"/>
      <c r="J705" s="2137"/>
      <c r="K705" s="2137"/>
      <c r="L705" s="2041"/>
      <c r="M705" s="1952"/>
    </row>
    <row r="706" spans="1:14" s="1872" customFormat="1">
      <c r="A706" s="1840"/>
      <c r="B706" s="2138"/>
      <c r="C706" s="2139" t="s">
        <v>1769</v>
      </c>
      <c r="D706" s="2140"/>
      <c r="E706" s="1861"/>
      <c r="F706" s="2135"/>
      <c r="G706" s="2139" t="s">
        <v>134</v>
      </c>
      <c r="H706" s="2138"/>
      <c r="I706" s="2138"/>
      <c r="J706" s="2138"/>
      <c r="K706" s="2138"/>
      <c r="L706" s="2041"/>
      <c r="M706" s="1952"/>
    </row>
    <row r="707" spans="1:14" s="1872" customFormat="1">
      <c r="A707" s="1840"/>
      <c r="B707" s="1871"/>
      <c r="C707" s="2141" t="s">
        <v>1970</v>
      </c>
      <c r="D707" s="2140"/>
      <c r="E707" s="2142"/>
      <c r="F707" s="2143"/>
      <c r="G707" s="2144" t="s">
        <v>1971</v>
      </c>
      <c r="H707" s="2145"/>
      <c r="I707" s="2145"/>
      <c r="J707" s="2145"/>
      <c r="K707" s="2145"/>
      <c r="L707" s="2041"/>
      <c r="M707" s="1952"/>
    </row>
    <row r="708" spans="1:14" s="1872" customFormat="1">
      <c r="A708" s="1837"/>
      <c r="B708" s="2138"/>
      <c r="C708" s="2139" t="s">
        <v>2031</v>
      </c>
      <c r="D708" s="2140"/>
      <c r="E708" s="1837"/>
      <c r="F708" s="2146"/>
      <c r="G708" s="2139" t="s">
        <v>2031</v>
      </c>
      <c r="H708" s="1837"/>
      <c r="I708" s="1837"/>
      <c r="J708" s="1837"/>
      <c r="K708" s="1837"/>
      <c r="L708" s="2041"/>
      <c r="M708" s="1952"/>
    </row>
    <row r="709" spans="1:14" s="1872" customFormat="1">
      <c r="A709" s="1952"/>
      <c r="B709" s="1871"/>
      <c r="C709" s="2147" t="s">
        <v>1984</v>
      </c>
      <c r="D709" s="2140"/>
      <c r="E709" s="1837"/>
      <c r="F709" s="2135"/>
      <c r="G709" s="2147" t="s">
        <v>1985</v>
      </c>
      <c r="H709" s="1952"/>
      <c r="I709" s="1952"/>
      <c r="J709" s="1952"/>
      <c r="K709" s="1952"/>
      <c r="L709" s="2041"/>
      <c r="M709" s="1952"/>
    </row>
    <row r="710" spans="1:14" s="1872" customFormat="1">
      <c r="A710" s="1952"/>
      <c r="B710" s="1952"/>
      <c r="C710" s="2139" t="s">
        <v>670</v>
      </c>
      <c r="D710" s="2139"/>
      <c r="E710" s="2143"/>
      <c r="F710" s="2143"/>
      <c r="G710" s="1952"/>
      <c r="H710" s="1952"/>
      <c r="I710" s="1952"/>
      <c r="J710" s="1952"/>
      <c r="K710" s="1952"/>
      <c r="L710" s="2041"/>
      <c r="M710" s="1952"/>
    </row>
    <row r="711" spans="1:14" s="1872" customFormat="1">
      <c r="A711" s="1840"/>
      <c r="B711" s="1840"/>
      <c r="C711" s="2147" t="s">
        <v>1972</v>
      </c>
      <c r="D711" s="2147"/>
      <c r="E711" s="2146"/>
      <c r="F711" s="2146"/>
      <c r="G711" s="1870"/>
      <c r="H711" s="1870"/>
      <c r="I711" s="1870"/>
      <c r="J711" s="1870"/>
      <c r="K711" s="1871"/>
      <c r="L711" s="2041"/>
      <c r="M711" s="1952"/>
    </row>
    <row r="712" spans="1:14" s="1872" customFormat="1">
      <c r="A712" s="1903"/>
      <c r="B712" s="2386" t="s">
        <v>249</v>
      </c>
      <c r="C712" s="2392"/>
      <c r="D712" s="1909"/>
      <c r="E712" s="1910"/>
      <c r="F712" s="1906"/>
      <c r="G712" s="1906"/>
      <c r="H712" s="1906"/>
      <c r="I712" s="1906"/>
      <c r="J712" s="1906"/>
      <c r="K712" s="1977"/>
      <c r="M712" s="1902"/>
    </row>
    <row r="713" spans="1:14" s="1872" customFormat="1">
      <c r="A713" s="1903"/>
      <c r="B713" s="1904" t="s">
        <v>277</v>
      </c>
      <c r="C713" s="1905" t="s">
        <v>382</v>
      </c>
      <c r="D713" s="1909"/>
      <c r="E713" s="1910"/>
      <c r="F713" s="1906"/>
      <c r="G713" s="1906"/>
      <c r="H713" s="1906"/>
      <c r="I713" s="1906"/>
      <c r="J713" s="1906"/>
      <c r="K713" s="1978"/>
      <c r="L713" s="1976"/>
      <c r="M713" s="1902"/>
    </row>
    <row r="714" spans="1:14" s="1862" customFormat="1" ht="48">
      <c r="A714" s="1911"/>
      <c r="B714" s="1912" t="s">
        <v>107</v>
      </c>
      <c r="C714" s="1990" t="s">
        <v>1915</v>
      </c>
      <c r="D714" s="1981">
        <v>24.8</v>
      </c>
      <c r="E714" s="1911" t="s">
        <v>86</v>
      </c>
      <c r="F714" s="1922">
        <v>606</v>
      </c>
      <c r="G714" s="1922">
        <v>222</v>
      </c>
      <c r="H714" s="1916">
        <f t="shared" ref="H714:H720" si="107">+F714*D714</f>
        <v>15028.800000000001</v>
      </c>
      <c r="I714" s="1916">
        <f t="shared" ref="I714:I720" si="108">+G714*D714</f>
        <v>5505.6</v>
      </c>
      <c r="J714" s="1916">
        <f t="shared" ref="J714:J720" si="109">+H714+I714</f>
        <v>20534.400000000001</v>
      </c>
      <c r="K714" s="1917"/>
      <c r="L714" s="2048"/>
      <c r="M714" s="1992" t="s">
        <v>1879</v>
      </c>
      <c r="N714" s="1852"/>
    </row>
    <row r="715" spans="1:14">
      <c r="A715" s="1903"/>
      <c r="B715" s="1904" t="s">
        <v>107</v>
      </c>
      <c r="C715" s="1993" t="s">
        <v>948</v>
      </c>
      <c r="D715" s="1981">
        <v>24.8</v>
      </c>
      <c r="E715" s="1994" t="s">
        <v>84</v>
      </c>
      <c r="F715" s="1995">
        <v>0</v>
      </c>
      <c r="G715" s="1996">
        <v>200</v>
      </c>
      <c r="H715" s="1906">
        <f t="shared" si="107"/>
        <v>0</v>
      </c>
      <c r="I715" s="1906">
        <f t="shared" si="108"/>
        <v>4960</v>
      </c>
      <c r="J715" s="1906">
        <f t="shared" si="109"/>
        <v>4960</v>
      </c>
      <c r="K715" s="1907"/>
      <c r="M715" s="1885" t="s">
        <v>1016</v>
      </c>
    </row>
    <row r="716" spans="1:14">
      <c r="A716" s="1965"/>
      <c r="B716" s="1997" t="s">
        <v>107</v>
      </c>
      <c r="C716" s="1993" t="s">
        <v>949</v>
      </c>
      <c r="D716" s="1998">
        <v>45.5</v>
      </c>
      <c r="E716" s="1999" t="s">
        <v>87</v>
      </c>
      <c r="F716" s="1975">
        <v>28.9</v>
      </c>
      <c r="G716" s="1975">
        <v>10</v>
      </c>
      <c r="H716" s="1906">
        <f t="shared" si="107"/>
        <v>1314.95</v>
      </c>
      <c r="I716" s="1906">
        <f t="shared" si="108"/>
        <v>455</v>
      </c>
      <c r="J716" s="1906">
        <f t="shared" si="109"/>
        <v>1769.95</v>
      </c>
      <c r="K716" s="1907"/>
      <c r="M716" s="1885" t="s">
        <v>1021</v>
      </c>
    </row>
    <row r="717" spans="1:14">
      <c r="A717" s="1965"/>
      <c r="B717" s="1997" t="s">
        <v>107</v>
      </c>
      <c r="C717" s="1993" t="s">
        <v>951</v>
      </c>
      <c r="D717" s="1998">
        <v>330.3</v>
      </c>
      <c r="E717" s="1999" t="s">
        <v>87</v>
      </c>
      <c r="F717" s="1975">
        <v>28.9</v>
      </c>
      <c r="G717" s="1975">
        <v>10</v>
      </c>
      <c r="H717" s="1906">
        <f t="shared" si="107"/>
        <v>9545.67</v>
      </c>
      <c r="I717" s="1906">
        <f t="shared" si="108"/>
        <v>3303</v>
      </c>
      <c r="J717" s="1906">
        <f t="shared" si="109"/>
        <v>12848.67</v>
      </c>
      <c r="K717" s="1907"/>
      <c r="M717" s="1885" t="s">
        <v>1021</v>
      </c>
    </row>
    <row r="718" spans="1:14">
      <c r="A718" s="1965"/>
      <c r="B718" s="1997" t="s">
        <v>107</v>
      </c>
      <c r="C718" s="1993" t="s">
        <v>950</v>
      </c>
      <c r="D718" s="1998">
        <v>45.15</v>
      </c>
      <c r="E718" s="1999" t="s">
        <v>87</v>
      </c>
      <c r="F718" s="1975">
        <v>31</v>
      </c>
      <c r="G718" s="1975">
        <v>10</v>
      </c>
      <c r="H718" s="1906">
        <f t="shared" si="107"/>
        <v>1399.6499999999999</v>
      </c>
      <c r="I718" s="1906">
        <f t="shared" si="108"/>
        <v>451.5</v>
      </c>
      <c r="J718" s="1906">
        <f t="shared" si="109"/>
        <v>1851.1499999999999</v>
      </c>
      <c r="K718" s="1907"/>
      <c r="M718" s="1885" t="s">
        <v>1016</v>
      </c>
    </row>
    <row r="719" spans="1:14">
      <c r="A719" s="1965"/>
      <c r="B719" s="1997" t="s">
        <v>107</v>
      </c>
      <c r="C719" s="1993" t="s">
        <v>956</v>
      </c>
      <c r="D719" s="1998">
        <v>18</v>
      </c>
      <c r="E719" s="1999" t="s">
        <v>109</v>
      </c>
      <c r="F719" s="1975">
        <v>108</v>
      </c>
      <c r="G719" s="1975">
        <v>18</v>
      </c>
      <c r="H719" s="1906">
        <f t="shared" si="107"/>
        <v>1944</v>
      </c>
      <c r="I719" s="1906">
        <f t="shared" si="108"/>
        <v>324</v>
      </c>
      <c r="J719" s="1906">
        <f t="shared" si="109"/>
        <v>2268</v>
      </c>
      <c r="K719" s="1907"/>
      <c r="M719" s="1885" t="s">
        <v>1021</v>
      </c>
    </row>
    <row r="720" spans="1:14">
      <c r="A720" s="1903"/>
      <c r="B720" s="1904" t="s">
        <v>107</v>
      </c>
      <c r="C720" s="1993" t="s">
        <v>1059</v>
      </c>
      <c r="D720" s="1981">
        <v>72</v>
      </c>
      <c r="E720" s="1994" t="s">
        <v>27</v>
      </c>
      <c r="F720" s="1995">
        <v>131.32</v>
      </c>
      <c r="G720" s="1996">
        <v>0</v>
      </c>
      <c r="H720" s="1906">
        <f t="shared" si="107"/>
        <v>9455.0399999999991</v>
      </c>
      <c r="I720" s="1906">
        <f t="shared" si="108"/>
        <v>0</v>
      </c>
      <c r="J720" s="1906">
        <f t="shared" si="109"/>
        <v>9455.0399999999991</v>
      </c>
      <c r="K720" s="1907"/>
      <c r="M720" s="1885" t="s">
        <v>654</v>
      </c>
    </row>
    <row r="721" spans="1:13">
      <c r="A721" s="1903"/>
      <c r="B721" s="1904" t="s">
        <v>953</v>
      </c>
      <c r="C721" s="1993" t="s">
        <v>382</v>
      </c>
      <c r="D721" s="1981"/>
      <c r="E721" s="1994"/>
      <c r="F721" s="1995"/>
      <c r="G721" s="1996"/>
      <c r="H721" s="1906"/>
      <c r="I721" s="1906"/>
      <c r="J721" s="1906"/>
      <c r="K721" s="1907"/>
      <c r="M721" s="1885"/>
    </row>
    <row r="722" spans="1:13">
      <c r="A722" s="1903"/>
      <c r="B722" s="1904" t="s">
        <v>107</v>
      </c>
      <c r="C722" s="1993" t="s">
        <v>952</v>
      </c>
      <c r="D722" s="1991">
        <v>13.5</v>
      </c>
      <c r="E722" s="1903" t="s">
        <v>86</v>
      </c>
      <c r="F722" s="1900">
        <v>119</v>
      </c>
      <c r="G722" s="1900">
        <v>82</v>
      </c>
      <c r="H722" s="1906">
        <f>+F722*D722</f>
        <v>1606.5</v>
      </c>
      <c r="I722" s="1906">
        <f>+G722*D722</f>
        <v>1107</v>
      </c>
      <c r="J722" s="1906">
        <f>+H722+I722</f>
        <v>2713.5</v>
      </c>
      <c r="K722" s="1907"/>
      <c r="M722" s="1885" t="s">
        <v>1076</v>
      </c>
    </row>
    <row r="723" spans="1:13">
      <c r="A723" s="2000"/>
      <c r="B723" s="1997" t="s">
        <v>107</v>
      </c>
      <c r="C723" s="1993" t="s">
        <v>957</v>
      </c>
      <c r="D723" s="1998">
        <v>20.399999999999999</v>
      </c>
      <c r="E723" s="1999" t="s">
        <v>84</v>
      </c>
      <c r="F723" s="1975">
        <v>200</v>
      </c>
      <c r="G723" s="1975">
        <v>40</v>
      </c>
      <c r="H723" s="1906">
        <f>+F723*D723</f>
        <v>4079.9999999999995</v>
      </c>
      <c r="I723" s="1906">
        <f>+G723*D723</f>
        <v>816</v>
      </c>
      <c r="J723" s="1906">
        <f>+H723+I723</f>
        <v>4896</v>
      </c>
      <c r="K723" s="1907"/>
      <c r="M723" s="1885" t="s">
        <v>1016</v>
      </c>
    </row>
    <row r="724" spans="1:13">
      <c r="A724" s="2000"/>
      <c r="B724" s="1997" t="s">
        <v>107</v>
      </c>
      <c r="C724" s="1993" t="s">
        <v>1780</v>
      </c>
      <c r="D724" s="1998">
        <v>6.4</v>
      </c>
      <c r="E724" s="1999" t="s">
        <v>84</v>
      </c>
      <c r="F724" s="1975">
        <v>2100</v>
      </c>
      <c r="G724" s="1975">
        <v>250</v>
      </c>
      <c r="H724" s="1906">
        <f>F724*D724</f>
        <v>13440</v>
      </c>
      <c r="I724" s="1906">
        <f>G724*D724</f>
        <v>1600</v>
      </c>
      <c r="J724" s="1906">
        <f>H724+I724</f>
        <v>15040</v>
      </c>
      <c r="K724" s="1907"/>
      <c r="M724" s="1885"/>
    </row>
    <row r="725" spans="1:13">
      <c r="A725" s="1972"/>
      <c r="B725" s="2001" t="s">
        <v>107</v>
      </c>
      <c r="C725" s="2002" t="s">
        <v>955</v>
      </c>
      <c r="D725" s="1930">
        <v>10</v>
      </c>
      <c r="E725" s="1909" t="s">
        <v>109</v>
      </c>
      <c r="F725" s="1909">
        <v>45</v>
      </c>
      <c r="G725" s="1930">
        <v>7.5</v>
      </c>
      <c r="H725" s="1930">
        <f>F725*D725</f>
        <v>450</v>
      </c>
      <c r="I725" s="1930">
        <f>G725*D725</f>
        <v>75</v>
      </c>
      <c r="J725" s="1930">
        <f>H725+I725</f>
        <v>525</v>
      </c>
      <c r="K725" s="2003"/>
      <c r="L725" s="1875"/>
      <c r="M725" s="1875"/>
    </row>
    <row r="726" spans="1:13" s="1875" customFormat="1">
      <c r="A726" s="1972"/>
      <c r="B726" s="2001" t="s">
        <v>107</v>
      </c>
      <c r="C726" s="2002" t="s">
        <v>1060</v>
      </c>
      <c r="D726" s="1930">
        <v>40</v>
      </c>
      <c r="E726" s="1909" t="s">
        <v>27</v>
      </c>
      <c r="F726" s="1975">
        <v>99.84</v>
      </c>
      <c r="G726" s="1975">
        <v>0</v>
      </c>
      <c r="H726" s="1930">
        <f>F726*D726</f>
        <v>3993.6000000000004</v>
      </c>
      <c r="I726" s="1930">
        <f>G726*D726</f>
        <v>0</v>
      </c>
      <c r="J726" s="1930">
        <f>H726+I726</f>
        <v>3993.6000000000004</v>
      </c>
      <c r="K726" s="2003"/>
    </row>
    <row r="727" spans="1:13" s="1875" customFormat="1">
      <c r="A727" s="1903"/>
      <c r="B727" s="1904" t="s">
        <v>954</v>
      </c>
      <c r="C727" s="1905" t="s">
        <v>382</v>
      </c>
      <c r="D727" s="1909"/>
      <c r="E727" s="1910"/>
      <c r="F727" s="1906"/>
      <c r="G727" s="1906"/>
      <c r="H727" s="1906"/>
      <c r="I727" s="1906"/>
      <c r="J727" s="1906"/>
      <c r="K727" s="1907"/>
      <c r="L727" s="1871"/>
      <c r="M727" s="1902"/>
    </row>
    <row r="728" spans="1:13" s="1875" customFormat="1">
      <c r="A728" s="1903"/>
      <c r="B728" s="1904" t="s">
        <v>107</v>
      </c>
      <c r="C728" s="1993" t="s">
        <v>952</v>
      </c>
      <c r="D728" s="1991">
        <v>14.3</v>
      </c>
      <c r="E728" s="1903" t="s">
        <v>86</v>
      </c>
      <c r="F728" s="1900">
        <v>119</v>
      </c>
      <c r="G728" s="1900">
        <v>82</v>
      </c>
      <c r="H728" s="1906">
        <f>+F728*D728</f>
        <v>1701.7</v>
      </c>
      <c r="I728" s="1906">
        <f>+G728*D728</f>
        <v>1172.6000000000001</v>
      </c>
      <c r="J728" s="1906">
        <f>+H728+I728</f>
        <v>2874.3</v>
      </c>
      <c r="K728" s="1907"/>
      <c r="L728" s="1871"/>
      <c r="M728" s="1885" t="s">
        <v>1076</v>
      </c>
    </row>
    <row r="729" spans="1:13">
      <c r="A729" s="1903"/>
      <c r="B729" s="1904" t="s">
        <v>107</v>
      </c>
      <c r="C729" s="1993" t="s">
        <v>957</v>
      </c>
      <c r="D729" s="1981">
        <v>24.2</v>
      </c>
      <c r="E729" s="1994" t="s">
        <v>84</v>
      </c>
      <c r="F729" s="1995">
        <v>200</v>
      </c>
      <c r="G729" s="1996">
        <v>40</v>
      </c>
      <c r="H729" s="1906">
        <f>+F729*D729</f>
        <v>4840</v>
      </c>
      <c r="I729" s="1906">
        <f>+G729*D729</f>
        <v>968</v>
      </c>
      <c r="J729" s="1906">
        <f>+H729+I729</f>
        <v>5808</v>
      </c>
      <c r="K729" s="1907"/>
      <c r="M729" s="1885" t="s">
        <v>1016</v>
      </c>
    </row>
    <row r="730" spans="1:13">
      <c r="A730" s="1972"/>
      <c r="B730" s="2001" t="s">
        <v>107</v>
      </c>
      <c r="C730" s="2002" t="s">
        <v>1779</v>
      </c>
      <c r="D730" s="1930">
        <v>25.7</v>
      </c>
      <c r="E730" s="1909" t="s">
        <v>87</v>
      </c>
      <c r="F730" s="1909">
        <v>32.1</v>
      </c>
      <c r="G730" s="1930">
        <v>10</v>
      </c>
      <c r="H730" s="1930">
        <f>F730*D730</f>
        <v>824.97</v>
      </c>
      <c r="I730" s="1930">
        <f>G730*D730</f>
        <v>257</v>
      </c>
      <c r="J730" s="1930">
        <f>H730+I730</f>
        <v>1081.97</v>
      </c>
      <c r="K730" s="2003"/>
      <c r="L730" s="1875"/>
      <c r="M730" s="1875"/>
    </row>
    <row r="731" spans="1:13">
      <c r="A731" s="1863"/>
      <c r="B731" s="1864"/>
      <c r="C731" s="1865"/>
      <c r="D731" s="1866"/>
      <c r="E731" s="1867"/>
      <c r="F731" s="1868"/>
      <c r="G731" s="1868"/>
      <c r="H731" s="1868"/>
      <c r="I731" s="1868"/>
      <c r="J731" s="1868"/>
      <c r="K731" s="1869"/>
      <c r="L731" s="1875"/>
      <c r="M731" s="1875"/>
    </row>
    <row r="732" spans="1:13">
      <c r="B732" s="1860"/>
      <c r="C732" s="2133" t="s">
        <v>133</v>
      </c>
      <c r="D732" s="2134"/>
      <c r="E732" s="2135"/>
      <c r="F732" s="2136"/>
      <c r="G732" s="2137"/>
      <c r="H732" s="2137"/>
      <c r="I732" s="2137"/>
      <c r="J732" s="2137"/>
      <c r="K732" s="2137"/>
      <c r="L732" s="1875"/>
      <c r="M732" s="1875"/>
    </row>
    <row r="733" spans="1:13">
      <c r="B733" s="2138"/>
      <c r="C733" s="2139" t="s">
        <v>1769</v>
      </c>
      <c r="D733" s="2140"/>
      <c r="E733" s="1861"/>
      <c r="F733" s="2135"/>
      <c r="G733" s="2139" t="s">
        <v>134</v>
      </c>
      <c r="H733" s="2138"/>
      <c r="I733" s="2138"/>
      <c r="J733" s="2138"/>
      <c r="K733" s="2138"/>
      <c r="L733" s="1875"/>
      <c r="M733" s="1875"/>
    </row>
    <row r="734" spans="1:13">
      <c r="B734" s="1871"/>
      <c r="C734" s="2141" t="s">
        <v>1970</v>
      </c>
      <c r="D734" s="2140"/>
      <c r="E734" s="2142"/>
      <c r="F734" s="2143"/>
      <c r="G734" s="2144" t="s">
        <v>1971</v>
      </c>
      <c r="H734" s="2145"/>
      <c r="I734" s="2145"/>
      <c r="J734" s="2145"/>
      <c r="K734" s="2145"/>
      <c r="L734" s="1875"/>
      <c r="M734" s="1875"/>
    </row>
    <row r="735" spans="1:13">
      <c r="A735" s="1837"/>
      <c r="B735" s="2138"/>
      <c r="C735" s="2139" t="s">
        <v>2031</v>
      </c>
      <c r="D735" s="2140"/>
      <c r="E735" s="1837"/>
      <c r="F735" s="2146"/>
      <c r="G735" s="2139" t="s">
        <v>2031</v>
      </c>
      <c r="H735" s="1837"/>
      <c r="I735" s="1837"/>
      <c r="J735" s="1837"/>
      <c r="K735" s="1837"/>
      <c r="L735" s="1875"/>
      <c r="M735" s="1875"/>
    </row>
    <row r="736" spans="1:13">
      <c r="A736" s="1952"/>
      <c r="B736" s="1871"/>
      <c r="C736" s="2147" t="s">
        <v>1984</v>
      </c>
      <c r="D736" s="2140"/>
      <c r="E736" s="1837"/>
      <c r="F736" s="2135"/>
      <c r="G736" s="2147" t="s">
        <v>1985</v>
      </c>
      <c r="H736" s="1952"/>
      <c r="I736" s="1952"/>
      <c r="J736" s="1952"/>
      <c r="K736" s="1952"/>
      <c r="L736" s="1875"/>
      <c r="M736" s="1875"/>
    </row>
    <row r="737" spans="1:13">
      <c r="A737" s="1952"/>
      <c r="B737" s="1952"/>
      <c r="C737" s="2139" t="s">
        <v>670</v>
      </c>
      <c r="D737" s="2139"/>
      <c r="E737" s="2143"/>
      <c r="F737" s="2143"/>
      <c r="G737" s="1952"/>
      <c r="H737" s="1952"/>
      <c r="I737" s="1952"/>
      <c r="J737" s="1952"/>
      <c r="K737" s="1952"/>
      <c r="L737" s="1875"/>
      <c r="M737" s="1875"/>
    </row>
    <row r="738" spans="1:13">
      <c r="C738" s="2147" t="s">
        <v>1972</v>
      </c>
      <c r="D738" s="2147"/>
      <c r="E738" s="2146"/>
      <c r="F738" s="2146"/>
      <c r="L738" s="1875"/>
      <c r="M738" s="1875"/>
    </row>
    <row r="739" spans="1:13">
      <c r="A739" s="1903"/>
      <c r="B739" s="2386" t="s">
        <v>392</v>
      </c>
      <c r="C739" s="2386"/>
      <c r="D739" s="1909"/>
      <c r="E739" s="1910"/>
      <c r="F739" s="1906"/>
      <c r="G739" s="1906"/>
      <c r="H739" s="1906"/>
      <c r="I739" s="1906"/>
      <c r="J739" s="1906"/>
      <c r="K739" s="1907"/>
    </row>
    <row r="740" spans="1:13">
      <c r="A740" s="1965"/>
      <c r="B740" s="1997" t="s">
        <v>107</v>
      </c>
      <c r="C740" s="1993" t="s">
        <v>1087</v>
      </c>
      <c r="D740" s="1998">
        <v>215.7</v>
      </c>
      <c r="E740" s="1999" t="s">
        <v>87</v>
      </c>
      <c r="F740" s="1975">
        <v>28.9</v>
      </c>
      <c r="G740" s="1975">
        <v>10</v>
      </c>
      <c r="H740" s="1906">
        <f>+F740*D740</f>
        <v>6233.73</v>
      </c>
      <c r="I740" s="1906">
        <f>+G740*D740</f>
        <v>2157</v>
      </c>
      <c r="J740" s="1906">
        <f>+H740+I740</f>
        <v>8390.73</v>
      </c>
      <c r="K740" s="1907"/>
      <c r="M740" s="1885" t="s">
        <v>1021</v>
      </c>
    </row>
    <row r="741" spans="1:13">
      <c r="A741" s="1965"/>
      <c r="B741" s="1997" t="s">
        <v>107</v>
      </c>
      <c r="C741" s="1993" t="s">
        <v>1084</v>
      </c>
      <c r="D741" s="1998">
        <v>774.5</v>
      </c>
      <c r="E741" s="1999" t="s">
        <v>87</v>
      </c>
      <c r="F741" s="1975">
        <v>28.9</v>
      </c>
      <c r="G741" s="1975">
        <v>10</v>
      </c>
      <c r="H741" s="1906">
        <f>+F741*D741</f>
        <v>22383.05</v>
      </c>
      <c r="I741" s="1906">
        <f>+G741*D741</f>
        <v>7745</v>
      </c>
      <c r="J741" s="1906">
        <f>+H741+I741</f>
        <v>30128.05</v>
      </c>
      <c r="K741" s="1907"/>
      <c r="M741" s="1885" t="s">
        <v>1021</v>
      </c>
    </row>
    <row r="742" spans="1:13">
      <c r="A742" s="1965"/>
      <c r="B742" s="1997" t="s">
        <v>107</v>
      </c>
      <c r="C742" s="1993" t="s">
        <v>1083</v>
      </c>
      <c r="D742" s="1998">
        <v>151.1</v>
      </c>
      <c r="E742" s="1999" t="s">
        <v>87</v>
      </c>
      <c r="F742" s="1975">
        <v>31</v>
      </c>
      <c r="G742" s="1975">
        <v>10</v>
      </c>
      <c r="H742" s="1906">
        <f>+F742*D742</f>
        <v>4684.0999999999995</v>
      </c>
      <c r="I742" s="1906">
        <f>+G742*D742</f>
        <v>1511</v>
      </c>
      <c r="J742" s="1906">
        <f>+H742+I742</f>
        <v>6195.0999999999995</v>
      </c>
      <c r="K742" s="1907"/>
      <c r="M742" s="1885" t="s">
        <v>1016</v>
      </c>
    </row>
    <row r="743" spans="1:13">
      <c r="A743" s="1965"/>
      <c r="B743" s="1997" t="s">
        <v>107</v>
      </c>
      <c r="C743" s="1993" t="s">
        <v>956</v>
      </c>
      <c r="D743" s="1998">
        <v>33</v>
      </c>
      <c r="E743" s="1999" t="s">
        <v>109</v>
      </c>
      <c r="F743" s="1975">
        <v>108</v>
      </c>
      <c r="G743" s="1975">
        <v>18</v>
      </c>
      <c r="H743" s="1906">
        <f>+F743*D743</f>
        <v>3564</v>
      </c>
      <c r="I743" s="1906">
        <f>+G743*D743</f>
        <v>594</v>
      </c>
      <c r="J743" s="1906">
        <f>+H743+I743</f>
        <v>4158</v>
      </c>
      <c r="K743" s="1907"/>
      <c r="M743" s="1885" t="s">
        <v>1021</v>
      </c>
    </row>
    <row r="744" spans="1:13">
      <c r="A744" s="2000"/>
      <c r="B744" s="1997" t="s">
        <v>107</v>
      </c>
      <c r="C744" s="1993" t="s">
        <v>1059</v>
      </c>
      <c r="D744" s="1998">
        <f>D743*4</f>
        <v>132</v>
      </c>
      <c r="E744" s="1999" t="s">
        <v>27</v>
      </c>
      <c r="F744" s="1975">
        <v>131.32</v>
      </c>
      <c r="G744" s="1975">
        <v>0</v>
      </c>
      <c r="H744" s="1906">
        <f>+F744*D744</f>
        <v>17334.239999999998</v>
      </c>
      <c r="I744" s="1906">
        <f>+G744*D744</f>
        <v>0</v>
      </c>
      <c r="J744" s="1906">
        <f>+H744+I744</f>
        <v>17334.239999999998</v>
      </c>
      <c r="K744" s="1907"/>
      <c r="M744" s="1885" t="s">
        <v>654</v>
      </c>
    </row>
    <row r="745" spans="1:13">
      <c r="A745" s="1903"/>
      <c r="B745" s="2386" t="s">
        <v>384</v>
      </c>
      <c r="C745" s="2386"/>
      <c r="D745" s="1909"/>
      <c r="E745" s="1910"/>
      <c r="F745" s="1906"/>
      <c r="G745" s="1906"/>
      <c r="H745" s="1906"/>
      <c r="I745" s="1906"/>
      <c r="J745" s="1906"/>
      <c r="K745" s="1907"/>
    </row>
    <row r="746" spans="1:13">
      <c r="A746" s="1903"/>
      <c r="B746" s="1997" t="s">
        <v>107</v>
      </c>
      <c r="C746" s="1980" t="s">
        <v>1026</v>
      </c>
      <c r="D746" s="1998">
        <v>848</v>
      </c>
      <c r="E746" s="1999" t="s">
        <v>1027</v>
      </c>
      <c r="F746" s="1975">
        <v>48</v>
      </c>
      <c r="G746" s="1975">
        <v>19</v>
      </c>
      <c r="H746" s="1906">
        <f>+F746*D746</f>
        <v>40704</v>
      </c>
      <c r="I746" s="1906">
        <f>+G746*D746</f>
        <v>16112</v>
      </c>
      <c r="J746" s="1906">
        <f>+H746+I746</f>
        <v>56816</v>
      </c>
      <c r="K746" s="1907"/>
      <c r="L746" s="1907" t="s">
        <v>1967</v>
      </c>
      <c r="M746" s="1885" t="s">
        <v>622</v>
      </c>
    </row>
    <row r="747" spans="1:13" s="1875" customFormat="1">
      <c r="A747" s="1972"/>
      <c r="B747" s="1997" t="s">
        <v>107</v>
      </c>
      <c r="C747" s="1993" t="s">
        <v>1807</v>
      </c>
      <c r="D747" s="1998">
        <v>64</v>
      </c>
      <c r="E747" s="1999" t="s">
        <v>109</v>
      </c>
      <c r="F747" s="1975">
        <v>7500</v>
      </c>
      <c r="G747" s="1975">
        <v>500</v>
      </c>
      <c r="H747" s="1906">
        <f>+F747*D747</f>
        <v>480000</v>
      </c>
      <c r="I747" s="1906">
        <f>+G747*D747</f>
        <v>32000</v>
      </c>
      <c r="J747" s="1906">
        <f>+H747+I747</f>
        <v>512000</v>
      </c>
      <c r="K747" s="1907"/>
      <c r="L747" s="2031" t="s">
        <v>1900</v>
      </c>
      <c r="M747" s="1875" t="s">
        <v>622</v>
      </c>
    </row>
    <row r="748" spans="1:13">
      <c r="A748" s="1903"/>
      <c r="B748" s="1997" t="s">
        <v>107</v>
      </c>
      <c r="C748" s="1993" t="s">
        <v>1810</v>
      </c>
      <c r="D748" s="1998">
        <v>56</v>
      </c>
      <c r="E748" s="1999" t="s">
        <v>962</v>
      </c>
      <c r="F748" s="1975">
        <v>3428.58</v>
      </c>
      <c r="G748" s="1975">
        <f>F748*0.3</f>
        <v>1028.5739999999998</v>
      </c>
      <c r="H748" s="1906">
        <f>+F748*D748</f>
        <v>192000.47999999998</v>
      </c>
      <c r="I748" s="1906">
        <f>+G748*D748</f>
        <v>57600.143999999993</v>
      </c>
      <c r="J748" s="1906">
        <f>+H748+I748</f>
        <v>249600.62399999998</v>
      </c>
      <c r="K748" s="1907"/>
      <c r="L748" s="1907" t="s">
        <v>1910</v>
      </c>
      <c r="M748" s="1902" t="s">
        <v>622</v>
      </c>
    </row>
    <row r="749" spans="1:13">
      <c r="A749" s="2032"/>
      <c r="B749" s="1878"/>
      <c r="C749" s="2033"/>
      <c r="D749" s="1880"/>
      <c r="E749" s="1881"/>
      <c r="F749" s="1882"/>
      <c r="G749" s="1882"/>
      <c r="H749" s="2017"/>
      <c r="I749" s="2017"/>
      <c r="J749" s="2017"/>
      <c r="K749" s="1907"/>
    </row>
    <row r="750" spans="1:13" ht="24.75" thickBot="1">
      <c r="A750" s="2034"/>
      <c r="B750" s="2035"/>
      <c r="C750" s="1888" t="str">
        <f>"รวมราคา "&amp;B583</f>
        <v>รวมราคา งานสถาปัตยกรรม ชั้น 4</v>
      </c>
      <c r="D750" s="1889"/>
      <c r="E750" s="1890"/>
      <c r="F750" s="1891"/>
      <c r="G750" s="1891"/>
      <c r="H750" s="1891">
        <f>SUM(H584:H748)</f>
        <v>4339143.5300000012</v>
      </c>
      <c r="I750" s="1891">
        <f>SUM(I584:I748)</f>
        <v>1343953.5840000003</v>
      </c>
      <c r="J750" s="1891">
        <f>SUM(J584:J748)</f>
        <v>5683097.1140000001</v>
      </c>
      <c r="K750" s="1891"/>
      <c r="L750" s="1870"/>
      <c r="M750" s="1892"/>
    </row>
    <row r="751" spans="1:13" ht="24.75" thickTop="1">
      <c r="A751" s="2037">
        <v>2.5</v>
      </c>
      <c r="B751" s="2387" t="s">
        <v>196</v>
      </c>
      <c r="C751" s="2387"/>
      <c r="D751" s="2038"/>
      <c r="E751" s="2037"/>
      <c r="F751" s="2039"/>
      <c r="G751" s="2039"/>
      <c r="H751" s="2039"/>
      <c r="I751" s="2039"/>
      <c r="J751" s="2039"/>
      <c r="K751" s="2039"/>
      <c r="L751" s="2175"/>
      <c r="M751" s="1892"/>
    </row>
    <row r="752" spans="1:13" s="1860" customFormat="1">
      <c r="A752" s="1897"/>
      <c r="B752" s="2388" t="s">
        <v>201</v>
      </c>
      <c r="C752" s="2388"/>
      <c r="D752" s="1898"/>
      <c r="E752" s="1899"/>
      <c r="F752" s="1900"/>
      <c r="G752" s="1900"/>
      <c r="H752" s="1900"/>
      <c r="I752" s="1900"/>
      <c r="J752" s="1900"/>
      <c r="K752" s="1901"/>
      <c r="L752" s="1871"/>
      <c r="M752" s="1902"/>
    </row>
    <row r="753" spans="1:14">
      <c r="A753" s="1903"/>
      <c r="B753" s="1997" t="s">
        <v>3</v>
      </c>
      <c r="C753" s="1980" t="s">
        <v>723</v>
      </c>
      <c r="D753" s="1998">
        <v>259.3</v>
      </c>
      <c r="E753" s="1999" t="s">
        <v>86</v>
      </c>
      <c r="F753" s="1975">
        <v>606</v>
      </c>
      <c r="G753" s="1975">
        <v>222</v>
      </c>
      <c r="H753" s="1906">
        <f t="shared" ref="H753:H760" si="110">+F753*D753</f>
        <v>157135.80000000002</v>
      </c>
      <c r="I753" s="1906">
        <f t="shared" ref="I753:I760" si="111">+G753*D753</f>
        <v>57564.600000000006</v>
      </c>
      <c r="J753" s="1906">
        <f t="shared" ref="J753:J760" si="112">+H753+I753</f>
        <v>214700.40000000002</v>
      </c>
      <c r="K753" s="1907"/>
      <c r="L753" s="1907"/>
      <c r="M753" s="1885" t="s">
        <v>1879</v>
      </c>
    </row>
    <row r="754" spans="1:14">
      <c r="A754" s="1903"/>
      <c r="B754" s="1997" t="s">
        <v>137</v>
      </c>
      <c r="C754" s="1980" t="s">
        <v>724</v>
      </c>
      <c r="D754" s="1998">
        <v>58.5</v>
      </c>
      <c r="E754" s="1999" t="s">
        <v>86</v>
      </c>
      <c r="F754" s="1975">
        <v>606</v>
      </c>
      <c r="G754" s="1975">
        <v>222</v>
      </c>
      <c r="H754" s="1906">
        <f t="shared" si="110"/>
        <v>35451</v>
      </c>
      <c r="I754" s="1906">
        <f t="shared" si="111"/>
        <v>12987</v>
      </c>
      <c r="J754" s="1906">
        <f t="shared" si="112"/>
        <v>48438</v>
      </c>
      <c r="K754" s="1907"/>
      <c r="L754" s="1907"/>
      <c r="M754" s="1885" t="s">
        <v>1879</v>
      </c>
    </row>
    <row r="755" spans="1:14" s="1862" customFormat="1">
      <c r="A755" s="1903"/>
      <c r="B755" s="1904" t="s">
        <v>4</v>
      </c>
      <c r="C755" s="1905" t="s">
        <v>149</v>
      </c>
      <c r="D755" s="1898">
        <v>41.5</v>
      </c>
      <c r="E755" s="1899" t="s">
        <v>86</v>
      </c>
      <c r="F755" s="1900">
        <v>113</v>
      </c>
      <c r="G755" s="1900">
        <v>87</v>
      </c>
      <c r="H755" s="1906">
        <f t="shared" si="110"/>
        <v>4689.5</v>
      </c>
      <c r="I755" s="1906">
        <f t="shared" si="111"/>
        <v>3610.5</v>
      </c>
      <c r="J755" s="1906">
        <f t="shared" si="112"/>
        <v>8300</v>
      </c>
      <c r="K755" s="1907"/>
      <c r="L755" s="1871"/>
      <c r="M755" s="1885" t="s">
        <v>1879</v>
      </c>
    </row>
    <row r="756" spans="1:14" s="1862" customFormat="1">
      <c r="A756" s="1903"/>
      <c r="B756" s="1904" t="s">
        <v>368</v>
      </c>
      <c r="C756" s="1905" t="s">
        <v>939</v>
      </c>
      <c r="D756" s="1898">
        <v>564.29999999999995</v>
      </c>
      <c r="E756" s="1899" t="s">
        <v>86</v>
      </c>
      <c r="F756" s="1900">
        <v>465</v>
      </c>
      <c r="G756" s="1900">
        <v>100</v>
      </c>
      <c r="H756" s="1906">
        <f t="shared" si="110"/>
        <v>262399.5</v>
      </c>
      <c r="I756" s="1906">
        <f t="shared" si="111"/>
        <v>56429.999999999993</v>
      </c>
      <c r="J756" s="1906">
        <f t="shared" si="112"/>
        <v>318829.5</v>
      </c>
      <c r="K756" s="1907"/>
      <c r="L756" s="1907" t="s">
        <v>1925</v>
      </c>
      <c r="M756" s="1885" t="s">
        <v>1927</v>
      </c>
    </row>
    <row r="757" spans="1:14" s="1862" customFormat="1">
      <c r="A757" s="1903"/>
      <c r="B757" s="1904"/>
      <c r="C757" s="1905" t="s">
        <v>1025</v>
      </c>
      <c r="D757" s="1898">
        <v>253.04</v>
      </c>
      <c r="E757" s="1899" t="s">
        <v>84</v>
      </c>
      <c r="F757" s="1900">
        <v>95</v>
      </c>
      <c r="G757" s="1900">
        <v>40</v>
      </c>
      <c r="H757" s="1906">
        <f t="shared" si="110"/>
        <v>24038.799999999999</v>
      </c>
      <c r="I757" s="1906">
        <f t="shared" si="111"/>
        <v>10121.6</v>
      </c>
      <c r="J757" s="1906">
        <f t="shared" si="112"/>
        <v>34160.400000000001</v>
      </c>
      <c r="K757" s="1907"/>
      <c r="L757" s="1907"/>
      <c r="M757" s="1885" t="s">
        <v>1928</v>
      </c>
    </row>
    <row r="758" spans="1:14">
      <c r="A758" s="1903"/>
      <c r="B758" s="1904" t="s">
        <v>108</v>
      </c>
      <c r="C758" s="1905" t="s">
        <v>725</v>
      </c>
      <c r="D758" s="1898">
        <v>54.5</v>
      </c>
      <c r="E758" s="1899" t="s">
        <v>86</v>
      </c>
      <c r="F758" s="1900">
        <v>123</v>
      </c>
      <c r="G758" s="1900">
        <v>82</v>
      </c>
      <c r="H758" s="1906">
        <f t="shared" si="110"/>
        <v>6703.5</v>
      </c>
      <c r="I758" s="1906">
        <f t="shared" si="111"/>
        <v>4469</v>
      </c>
      <c r="J758" s="1906">
        <f t="shared" si="112"/>
        <v>11172.5</v>
      </c>
      <c r="K758" s="1907"/>
      <c r="L758" s="1907"/>
      <c r="M758" s="1885" t="s">
        <v>1875</v>
      </c>
      <c r="N758" s="1861"/>
    </row>
    <row r="759" spans="1:14">
      <c r="A759" s="1903"/>
      <c r="B759" s="1904"/>
      <c r="C759" s="1905" t="s">
        <v>727</v>
      </c>
      <c r="D759" s="1898">
        <f>D753+D754</f>
        <v>317.8</v>
      </c>
      <c r="E759" s="1899" t="s">
        <v>86</v>
      </c>
      <c r="F759" s="1900">
        <v>109</v>
      </c>
      <c r="G759" s="1900">
        <v>64</v>
      </c>
      <c r="H759" s="1906">
        <f t="shared" si="110"/>
        <v>34640.200000000004</v>
      </c>
      <c r="I759" s="1906">
        <f t="shared" si="111"/>
        <v>20339.2</v>
      </c>
      <c r="J759" s="1906">
        <f t="shared" si="112"/>
        <v>54979.400000000009</v>
      </c>
      <c r="K759" s="1907"/>
      <c r="L759" s="1907"/>
      <c r="M759" s="1885" t="s">
        <v>1879</v>
      </c>
      <c r="N759" s="1861"/>
    </row>
    <row r="760" spans="1:14" s="1862" customFormat="1">
      <c r="A760" s="1903"/>
      <c r="B760" s="1904"/>
      <c r="C760" s="1905" t="s">
        <v>728</v>
      </c>
      <c r="D760" s="1898">
        <f>D756</f>
        <v>564.29999999999995</v>
      </c>
      <c r="E760" s="1899" t="s">
        <v>86</v>
      </c>
      <c r="F760" s="1900">
        <v>175</v>
      </c>
      <c r="G760" s="1900">
        <v>40</v>
      </c>
      <c r="H760" s="1906">
        <f t="shared" si="110"/>
        <v>98752.499999999985</v>
      </c>
      <c r="I760" s="1906">
        <f t="shared" si="111"/>
        <v>22572</v>
      </c>
      <c r="J760" s="1906">
        <f t="shared" si="112"/>
        <v>121324.49999999999</v>
      </c>
      <c r="K760" s="1907"/>
      <c r="L760" s="1907"/>
      <c r="M760" s="1885" t="s">
        <v>1076</v>
      </c>
    </row>
    <row r="761" spans="1:14" s="1862" customFormat="1">
      <c r="A761" s="1863"/>
      <c r="B761" s="1864"/>
      <c r="C761" s="1865"/>
      <c r="D761" s="1866"/>
      <c r="E761" s="1867"/>
      <c r="F761" s="1868"/>
      <c r="G761" s="1868"/>
      <c r="H761" s="1868"/>
      <c r="I761" s="1868"/>
      <c r="J761" s="1868"/>
      <c r="K761" s="1869"/>
      <c r="L761" s="1907"/>
      <c r="M761" s="1885"/>
    </row>
    <row r="762" spans="1:14" s="1862" customFormat="1">
      <c r="A762" s="1840"/>
      <c r="B762" s="1860"/>
      <c r="C762" s="2133" t="s">
        <v>133</v>
      </c>
      <c r="D762" s="2134"/>
      <c r="E762" s="2135"/>
      <c r="F762" s="2136"/>
      <c r="G762" s="2137"/>
      <c r="H762" s="2137"/>
      <c r="I762" s="2137"/>
      <c r="J762" s="2137"/>
      <c r="K762" s="2137"/>
      <c r="L762" s="1907"/>
      <c r="M762" s="1885"/>
    </row>
    <row r="763" spans="1:14" s="1862" customFormat="1">
      <c r="A763" s="1840"/>
      <c r="B763" s="2138"/>
      <c r="C763" s="2139" t="s">
        <v>1769</v>
      </c>
      <c r="D763" s="2140"/>
      <c r="E763" s="1861"/>
      <c r="F763" s="2135"/>
      <c r="G763" s="2139" t="s">
        <v>134</v>
      </c>
      <c r="H763" s="2138"/>
      <c r="I763" s="2138"/>
      <c r="J763" s="2138"/>
      <c r="K763" s="2138"/>
      <c r="L763" s="1907"/>
      <c r="M763" s="1885"/>
    </row>
    <row r="764" spans="1:14" s="1862" customFormat="1">
      <c r="A764" s="1840"/>
      <c r="B764" s="1871"/>
      <c r="C764" s="2141" t="s">
        <v>1970</v>
      </c>
      <c r="D764" s="2140"/>
      <c r="E764" s="2142"/>
      <c r="F764" s="2143"/>
      <c r="G764" s="2144" t="s">
        <v>1971</v>
      </c>
      <c r="H764" s="2145"/>
      <c r="I764" s="2145"/>
      <c r="J764" s="2145"/>
      <c r="K764" s="2145"/>
      <c r="L764" s="1907"/>
      <c r="M764" s="1885"/>
    </row>
    <row r="765" spans="1:14" s="1862" customFormat="1">
      <c r="A765" s="1837"/>
      <c r="B765" s="2138"/>
      <c r="C765" s="2139" t="s">
        <v>2031</v>
      </c>
      <c r="D765" s="2140"/>
      <c r="E765" s="1837"/>
      <c r="F765" s="2146"/>
      <c r="G765" s="2139" t="s">
        <v>2031</v>
      </c>
      <c r="H765" s="1837"/>
      <c r="I765" s="1837"/>
      <c r="J765" s="1837"/>
      <c r="K765" s="1837"/>
      <c r="L765" s="1907"/>
      <c r="M765" s="1885"/>
    </row>
    <row r="766" spans="1:14" s="1862" customFormat="1">
      <c r="A766" s="1952"/>
      <c r="B766" s="1871"/>
      <c r="C766" s="2147" t="s">
        <v>1984</v>
      </c>
      <c r="D766" s="2140"/>
      <c r="E766" s="1837"/>
      <c r="F766" s="2135"/>
      <c r="G766" s="2147" t="s">
        <v>1985</v>
      </c>
      <c r="H766" s="1952"/>
      <c r="I766" s="1952"/>
      <c r="J766" s="1952"/>
      <c r="K766" s="1952"/>
      <c r="L766" s="1907"/>
      <c r="M766" s="1885"/>
    </row>
    <row r="767" spans="1:14" s="1862" customFormat="1">
      <c r="A767" s="1952"/>
      <c r="B767" s="1952"/>
      <c r="C767" s="2139" t="s">
        <v>670</v>
      </c>
      <c r="D767" s="2139"/>
      <c r="E767" s="2143"/>
      <c r="F767" s="2143"/>
      <c r="G767" s="1952"/>
      <c r="H767" s="1952"/>
      <c r="I767" s="1952"/>
      <c r="J767" s="1952"/>
      <c r="K767" s="1952"/>
      <c r="L767" s="1907"/>
      <c r="M767" s="1885"/>
    </row>
    <row r="768" spans="1:14" s="1862" customFormat="1">
      <c r="A768" s="1840"/>
      <c r="B768" s="1840"/>
      <c r="C768" s="2147" t="s">
        <v>1972</v>
      </c>
      <c r="D768" s="2147"/>
      <c r="E768" s="2146"/>
      <c r="F768" s="2146"/>
      <c r="G768" s="1870"/>
      <c r="H768" s="1870"/>
      <c r="I768" s="1870"/>
      <c r="J768" s="1870"/>
      <c r="K768" s="1871"/>
      <c r="L768" s="1907"/>
      <c r="M768" s="1885"/>
    </row>
    <row r="769" spans="1:14">
      <c r="A769" s="1903"/>
      <c r="B769" s="2386" t="s">
        <v>366</v>
      </c>
      <c r="C769" s="2386"/>
      <c r="D769" s="1898"/>
      <c r="E769" s="1899"/>
      <c r="F769" s="1900"/>
      <c r="G769" s="1900"/>
      <c r="H769" s="1906"/>
      <c r="I769" s="1906"/>
      <c r="J769" s="1906"/>
      <c r="K769" s="1907"/>
      <c r="L769" s="1907"/>
    </row>
    <row r="770" spans="1:14">
      <c r="A770" s="1903"/>
      <c r="B770" s="1904" t="s">
        <v>733</v>
      </c>
      <c r="C770" s="1905" t="s">
        <v>1241</v>
      </c>
      <c r="D770" s="1898">
        <v>778.3</v>
      </c>
      <c r="E770" s="1899" t="s">
        <v>86</v>
      </c>
      <c r="F770" s="1900">
        <v>273</v>
      </c>
      <c r="G770" s="1900">
        <v>53</v>
      </c>
      <c r="H770" s="1906">
        <f>+F770*D770</f>
        <v>212475.9</v>
      </c>
      <c r="I770" s="1906">
        <f>+G770*D770</f>
        <v>41249.899999999994</v>
      </c>
      <c r="J770" s="1906">
        <f>+H770+I770</f>
        <v>253725.8</v>
      </c>
      <c r="K770" s="1907"/>
      <c r="L770" s="1907"/>
      <c r="M770" s="1885" t="s">
        <v>1879</v>
      </c>
      <c r="N770" s="1861"/>
    </row>
    <row r="771" spans="1:14">
      <c r="A771" s="2000"/>
      <c r="B771" s="2004" t="s">
        <v>734</v>
      </c>
      <c r="C771" s="2005" t="s">
        <v>653</v>
      </c>
      <c r="D771" s="2015">
        <v>9</v>
      </c>
      <c r="E771" s="2016" t="s">
        <v>5</v>
      </c>
      <c r="F771" s="1900">
        <v>14500</v>
      </c>
      <c r="G771" s="1900">
        <v>800</v>
      </c>
      <c r="H771" s="2007">
        <f>+F771*D771</f>
        <v>130500</v>
      </c>
      <c r="I771" s="2007">
        <f>+G771*D771</f>
        <v>7200</v>
      </c>
      <c r="J771" s="2007">
        <f>+H771+I771</f>
        <v>137700</v>
      </c>
      <c r="K771" s="1907"/>
      <c r="L771" s="1908" t="s">
        <v>1885</v>
      </c>
      <c r="M771" s="1885" t="s">
        <v>622</v>
      </c>
    </row>
    <row r="772" spans="1:14">
      <c r="A772" s="1903"/>
      <c r="B772" s="1904" t="s">
        <v>735</v>
      </c>
      <c r="C772" s="1905" t="s">
        <v>1768</v>
      </c>
      <c r="D772" s="1909">
        <v>165.2</v>
      </c>
      <c r="E772" s="1910" t="s">
        <v>86</v>
      </c>
      <c r="F772" s="1900">
        <v>754</v>
      </c>
      <c r="G772" s="1906">
        <v>75</v>
      </c>
      <c r="H772" s="1906">
        <f>+F772*D772</f>
        <v>124560.79999999999</v>
      </c>
      <c r="I772" s="1906">
        <f>+G772*D772</f>
        <v>12390</v>
      </c>
      <c r="J772" s="1906">
        <f>+H772+I772</f>
        <v>136950.79999999999</v>
      </c>
      <c r="K772" s="1907"/>
      <c r="M772" s="1885" t="s">
        <v>1879</v>
      </c>
      <c r="N772" s="1861"/>
    </row>
    <row r="773" spans="1:14">
      <c r="A773" s="1903"/>
      <c r="B773" s="2386" t="s">
        <v>365</v>
      </c>
      <c r="C773" s="2386"/>
      <c r="D773" s="1909"/>
      <c r="E773" s="1910"/>
      <c r="F773" s="1906"/>
      <c r="G773" s="1906"/>
      <c r="H773" s="1906"/>
      <c r="I773" s="1906"/>
      <c r="J773" s="1906"/>
      <c r="K773" s="1907"/>
    </row>
    <row r="774" spans="1:14" s="1862" customFormat="1" ht="48">
      <c r="A774" s="1911"/>
      <c r="B774" s="1912">
        <v>1</v>
      </c>
      <c r="C774" s="1913" t="s">
        <v>736</v>
      </c>
      <c r="D774" s="1914">
        <v>533.4</v>
      </c>
      <c r="E774" s="1915" t="s">
        <v>86</v>
      </c>
      <c r="F774" s="1916">
        <v>165</v>
      </c>
      <c r="G774" s="1916">
        <v>240</v>
      </c>
      <c r="H774" s="1916">
        <f t="shared" ref="H774:H794" si="113">+F774*D774</f>
        <v>88011</v>
      </c>
      <c r="I774" s="1916">
        <f t="shared" ref="I774:I794" si="114">+G774*D774</f>
        <v>128016</v>
      </c>
      <c r="J774" s="1916">
        <f t="shared" ref="J774:J794" si="115">+H774+I774</f>
        <v>216027</v>
      </c>
      <c r="K774" s="1917"/>
      <c r="L774" s="2048"/>
      <c r="M774" s="1918" t="s">
        <v>1076</v>
      </c>
      <c r="N774" s="1852"/>
    </row>
    <row r="775" spans="1:14" s="1862" customFormat="1">
      <c r="A775" s="1923"/>
      <c r="B775" s="1924">
        <v>2</v>
      </c>
      <c r="C775" s="1925" t="s">
        <v>738</v>
      </c>
      <c r="D775" s="1920">
        <v>80.7</v>
      </c>
      <c r="E775" s="1921" t="s">
        <v>86</v>
      </c>
      <c r="F775" s="1922">
        <v>155</v>
      </c>
      <c r="G775" s="1922">
        <v>155</v>
      </c>
      <c r="H775" s="1922">
        <f t="shared" si="113"/>
        <v>12508.5</v>
      </c>
      <c r="I775" s="1922">
        <f t="shared" si="114"/>
        <v>12508.5</v>
      </c>
      <c r="J775" s="1922">
        <f t="shared" si="115"/>
        <v>25017</v>
      </c>
      <c r="K775" s="2042"/>
      <c r="L775" s="2048"/>
      <c r="M775" s="1918" t="s">
        <v>1076</v>
      </c>
      <c r="N775" s="1852"/>
    </row>
    <row r="776" spans="1:14" s="1862" customFormat="1">
      <c r="A776" s="1911"/>
      <c r="B776" s="1912">
        <v>3</v>
      </c>
      <c r="C776" s="1913" t="s">
        <v>737</v>
      </c>
      <c r="D776" s="1920">
        <v>12.9</v>
      </c>
      <c r="E776" s="1921" t="s">
        <v>86</v>
      </c>
      <c r="F776" s="1922">
        <v>135</v>
      </c>
      <c r="G776" s="1922">
        <v>155</v>
      </c>
      <c r="H776" s="1916">
        <f t="shared" si="113"/>
        <v>1741.5</v>
      </c>
      <c r="I776" s="1916">
        <f t="shared" si="114"/>
        <v>1999.5</v>
      </c>
      <c r="J776" s="1916">
        <f t="shared" si="115"/>
        <v>3741</v>
      </c>
      <c r="K776" s="2042"/>
      <c r="L776" s="2048"/>
      <c r="M776" s="1918" t="s">
        <v>1076</v>
      </c>
    </row>
    <row r="777" spans="1:14" s="1862" customFormat="1" ht="48">
      <c r="A777" s="1911"/>
      <c r="B777" s="1912">
        <v>4</v>
      </c>
      <c r="C777" s="1913" t="s">
        <v>1767</v>
      </c>
      <c r="D777" s="1920">
        <v>163.4</v>
      </c>
      <c r="E777" s="1921" t="s">
        <v>86</v>
      </c>
      <c r="F777" s="1922">
        <v>540</v>
      </c>
      <c r="G777" s="1922">
        <v>271</v>
      </c>
      <c r="H777" s="1916">
        <f t="shared" si="113"/>
        <v>88236</v>
      </c>
      <c r="I777" s="1916">
        <f t="shared" si="114"/>
        <v>44281.4</v>
      </c>
      <c r="J777" s="1916">
        <f t="shared" si="115"/>
        <v>132517.4</v>
      </c>
      <c r="K777" s="2042"/>
      <c r="L777" s="1917" t="s">
        <v>1939</v>
      </c>
      <c r="M777" s="1918" t="s">
        <v>1076</v>
      </c>
      <c r="N777" s="1852"/>
    </row>
    <row r="778" spans="1:14" s="1862" customFormat="1" ht="48">
      <c r="A778" s="1911"/>
      <c r="B778" s="1912">
        <v>5</v>
      </c>
      <c r="C778" s="1913" t="s">
        <v>739</v>
      </c>
      <c r="D778" s="1920">
        <v>234.8</v>
      </c>
      <c r="E778" s="1921" t="s">
        <v>86</v>
      </c>
      <c r="F778" s="1922">
        <v>165</v>
      </c>
      <c r="G778" s="1922">
        <v>240</v>
      </c>
      <c r="H778" s="1916">
        <f t="shared" si="113"/>
        <v>38742</v>
      </c>
      <c r="I778" s="1916">
        <f t="shared" si="114"/>
        <v>56352</v>
      </c>
      <c r="J778" s="1916">
        <f t="shared" si="115"/>
        <v>95094</v>
      </c>
      <c r="K778" s="2042"/>
      <c r="L778" s="2048"/>
      <c r="M778" s="1918" t="s">
        <v>1076</v>
      </c>
    </row>
    <row r="779" spans="1:14" s="1862" customFormat="1" ht="48">
      <c r="A779" s="1911"/>
      <c r="B779" s="1912">
        <v>6</v>
      </c>
      <c r="C779" s="1913" t="s">
        <v>740</v>
      </c>
      <c r="D779" s="1920">
        <v>75.599999999999994</v>
      </c>
      <c r="E779" s="1921" t="s">
        <v>86</v>
      </c>
      <c r="F779" s="1922">
        <v>285</v>
      </c>
      <c r="G779" s="1922">
        <v>240</v>
      </c>
      <c r="H779" s="1916">
        <f t="shared" si="113"/>
        <v>21546</v>
      </c>
      <c r="I779" s="1916">
        <f t="shared" si="114"/>
        <v>18144</v>
      </c>
      <c r="J779" s="1916">
        <f t="shared" si="115"/>
        <v>39690</v>
      </c>
      <c r="K779" s="1917"/>
      <c r="L779" s="2048"/>
      <c r="M779" s="1918" t="s">
        <v>1076</v>
      </c>
      <c r="N779" s="1852"/>
    </row>
    <row r="780" spans="1:14">
      <c r="A780" s="1903"/>
      <c r="B780" s="1904">
        <v>7</v>
      </c>
      <c r="C780" s="1905" t="s">
        <v>372</v>
      </c>
      <c r="D780" s="1898">
        <v>15.2</v>
      </c>
      <c r="E780" s="1899" t="s">
        <v>86</v>
      </c>
      <c r="F780" s="1900">
        <v>151</v>
      </c>
      <c r="G780" s="1900">
        <v>92</v>
      </c>
      <c r="H780" s="1906">
        <f t="shared" si="113"/>
        <v>2295.1999999999998</v>
      </c>
      <c r="I780" s="1906">
        <f t="shared" si="114"/>
        <v>1398.3999999999999</v>
      </c>
      <c r="J780" s="1906">
        <f t="shared" si="115"/>
        <v>3693.5999999999995</v>
      </c>
      <c r="K780" s="1907"/>
      <c r="M780" s="1885" t="s">
        <v>1879</v>
      </c>
      <c r="N780" s="1861"/>
    </row>
    <row r="781" spans="1:14">
      <c r="A781" s="1903"/>
      <c r="B781" s="1904">
        <v>10</v>
      </c>
      <c r="C781" s="1905" t="s">
        <v>1747</v>
      </c>
      <c r="D781" s="1898">
        <v>918.3</v>
      </c>
      <c r="E781" s="1899" t="s">
        <v>86</v>
      </c>
      <c r="F781" s="1900">
        <v>75</v>
      </c>
      <c r="G781" s="1900">
        <v>87</v>
      </c>
      <c r="H781" s="1906">
        <f t="shared" si="113"/>
        <v>68872.5</v>
      </c>
      <c r="I781" s="1906">
        <f t="shared" si="114"/>
        <v>79892.099999999991</v>
      </c>
      <c r="J781" s="1906">
        <f t="shared" si="115"/>
        <v>148764.59999999998</v>
      </c>
      <c r="K781" s="1907"/>
      <c r="M781" s="1885" t="s">
        <v>1879</v>
      </c>
      <c r="N781" s="1861"/>
    </row>
    <row r="782" spans="1:14">
      <c r="A782" s="1903"/>
      <c r="B782" s="1904">
        <v>11</v>
      </c>
      <c r="C782" s="1905" t="s">
        <v>1748</v>
      </c>
      <c r="D782" s="1898">
        <v>185.3</v>
      </c>
      <c r="E782" s="1899" t="s">
        <v>86</v>
      </c>
      <c r="F782" s="1900">
        <v>75</v>
      </c>
      <c r="G782" s="1900">
        <v>87</v>
      </c>
      <c r="H782" s="1906">
        <f t="shared" si="113"/>
        <v>13897.5</v>
      </c>
      <c r="I782" s="1906">
        <f t="shared" si="114"/>
        <v>16121.1</v>
      </c>
      <c r="J782" s="1906">
        <f t="shared" si="115"/>
        <v>30018.6</v>
      </c>
      <c r="K782" s="1907"/>
      <c r="M782" s="1885" t="s">
        <v>1879</v>
      </c>
      <c r="N782" s="1861"/>
    </row>
    <row r="783" spans="1:14">
      <c r="A783" s="1903"/>
      <c r="B783" s="1904" t="s">
        <v>620</v>
      </c>
      <c r="C783" s="1905" t="s">
        <v>1008</v>
      </c>
      <c r="D783" s="1909">
        <v>977.5</v>
      </c>
      <c r="E783" s="1910" t="s">
        <v>84</v>
      </c>
      <c r="F783" s="1906">
        <v>79</v>
      </c>
      <c r="G783" s="1906">
        <v>46</v>
      </c>
      <c r="H783" s="1906">
        <f t="shared" si="113"/>
        <v>77222.5</v>
      </c>
      <c r="I783" s="1906">
        <f t="shared" si="114"/>
        <v>44965</v>
      </c>
      <c r="J783" s="1906">
        <f t="shared" si="115"/>
        <v>122187.5</v>
      </c>
      <c r="K783" s="1907"/>
      <c r="M783" s="1885" t="s">
        <v>1879</v>
      </c>
      <c r="N783" s="1861"/>
    </row>
    <row r="784" spans="1:14">
      <c r="A784" s="1903"/>
      <c r="B784" s="1904" t="s">
        <v>621</v>
      </c>
      <c r="C784" s="1905" t="s">
        <v>1009</v>
      </c>
      <c r="D784" s="1909">
        <v>276.89999999999998</v>
      </c>
      <c r="E784" s="1910" t="s">
        <v>84</v>
      </c>
      <c r="F784" s="1906">
        <v>120</v>
      </c>
      <c r="G784" s="1906">
        <v>64</v>
      </c>
      <c r="H784" s="1906">
        <f t="shared" si="113"/>
        <v>33228</v>
      </c>
      <c r="I784" s="1906">
        <f t="shared" si="114"/>
        <v>17721.599999999999</v>
      </c>
      <c r="J784" s="1906">
        <f t="shared" si="115"/>
        <v>50949.599999999999</v>
      </c>
      <c r="K784" s="1907"/>
      <c r="M784" s="1885" t="s">
        <v>1879</v>
      </c>
      <c r="N784" s="1861"/>
    </row>
    <row r="785" spans="1:14">
      <c r="A785" s="1863"/>
      <c r="B785" s="1864"/>
      <c r="C785" s="1865"/>
      <c r="D785" s="1866"/>
      <c r="E785" s="1867"/>
      <c r="F785" s="1868"/>
      <c r="G785" s="1868"/>
      <c r="H785" s="1868"/>
      <c r="I785" s="1868"/>
      <c r="J785" s="1868"/>
      <c r="K785" s="1869"/>
      <c r="M785" s="1885"/>
      <c r="N785" s="1861"/>
    </row>
    <row r="786" spans="1:14">
      <c r="B786" s="1860"/>
      <c r="C786" s="2133" t="s">
        <v>133</v>
      </c>
      <c r="D786" s="2134"/>
      <c r="E786" s="2135"/>
      <c r="F786" s="2136"/>
      <c r="G786" s="2137"/>
      <c r="H786" s="2137"/>
      <c r="I786" s="2137"/>
      <c r="J786" s="2137"/>
      <c r="K786" s="2137"/>
      <c r="M786" s="1885"/>
      <c r="N786" s="1861"/>
    </row>
    <row r="787" spans="1:14">
      <c r="B787" s="2138"/>
      <c r="C787" s="2139" t="s">
        <v>1769</v>
      </c>
      <c r="D787" s="2140"/>
      <c r="E787" s="1861"/>
      <c r="F787" s="2135"/>
      <c r="G787" s="2139" t="s">
        <v>134</v>
      </c>
      <c r="H787" s="2138"/>
      <c r="I787" s="2138"/>
      <c r="J787" s="2138"/>
      <c r="K787" s="2138"/>
      <c r="M787" s="1885"/>
      <c r="N787" s="1861"/>
    </row>
    <row r="788" spans="1:14">
      <c r="B788" s="1871"/>
      <c r="C788" s="2141" t="s">
        <v>1970</v>
      </c>
      <c r="D788" s="2140"/>
      <c r="E788" s="2142"/>
      <c r="F788" s="2143"/>
      <c r="G788" s="2144" t="s">
        <v>1971</v>
      </c>
      <c r="H788" s="2145"/>
      <c r="I788" s="2145"/>
      <c r="J788" s="2145"/>
      <c r="K788" s="2145"/>
      <c r="M788" s="1885"/>
      <c r="N788" s="1861"/>
    </row>
    <row r="789" spans="1:14">
      <c r="A789" s="1837"/>
      <c r="B789" s="2138"/>
      <c r="C789" s="2139" t="s">
        <v>2031</v>
      </c>
      <c r="D789" s="2140"/>
      <c r="E789" s="1837"/>
      <c r="F789" s="2146"/>
      <c r="G789" s="2139" t="s">
        <v>2031</v>
      </c>
      <c r="H789" s="1837"/>
      <c r="I789" s="1837"/>
      <c r="J789" s="1837"/>
      <c r="K789" s="1837"/>
      <c r="M789" s="1885"/>
      <c r="N789" s="1861"/>
    </row>
    <row r="790" spans="1:14">
      <c r="A790" s="1952"/>
      <c r="B790" s="1871"/>
      <c r="C790" s="2147" t="s">
        <v>1984</v>
      </c>
      <c r="D790" s="2140"/>
      <c r="E790" s="1837"/>
      <c r="F790" s="2135"/>
      <c r="G790" s="2147" t="s">
        <v>1985</v>
      </c>
      <c r="H790" s="1952"/>
      <c r="I790" s="1952"/>
      <c r="J790" s="1952"/>
      <c r="K790" s="1952"/>
      <c r="M790" s="1885"/>
      <c r="N790" s="1861"/>
    </row>
    <row r="791" spans="1:14">
      <c r="A791" s="1952"/>
      <c r="B791" s="1952"/>
      <c r="C791" s="2139" t="s">
        <v>670</v>
      </c>
      <c r="D791" s="2139"/>
      <c r="E791" s="2143"/>
      <c r="F791" s="2143"/>
      <c r="G791" s="1952"/>
      <c r="H791" s="1952"/>
      <c r="I791" s="1952"/>
      <c r="J791" s="1952"/>
      <c r="K791" s="1952"/>
      <c r="M791" s="1885"/>
      <c r="N791" s="1861"/>
    </row>
    <row r="792" spans="1:14">
      <c r="C792" s="2147" t="s">
        <v>1972</v>
      </c>
      <c r="D792" s="2147"/>
      <c r="E792" s="2146"/>
      <c r="F792" s="2146"/>
      <c r="M792" s="1885"/>
      <c r="N792" s="1861"/>
    </row>
    <row r="793" spans="1:14">
      <c r="A793" s="1903"/>
      <c r="B793" s="1904" t="s">
        <v>1007</v>
      </c>
      <c r="C793" s="1905" t="s">
        <v>1010</v>
      </c>
      <c r="D793" s="1909">
        <v>25</v>
      </c>
      <c r="E793" s="1910" t="s">
        <v>84</v>
      </c>
      <c r="F793" s="1906">
        <v>120</v>
      </c>
      <c r="G793" s="1906">
        <v>81</v>
      </c>
      <c r="H793" s="1906">
        <f t="shared" si="113"/>
        <v>3000</v>
      </c>
      <c r="I793" s="1906">
        <f t="shared" si="114"/>
        <v>2025</v>
      </c>
      <c r="J793" s="1906">
        <f t="shared" si="115"/>
        <v>5025</v>
      </c>
      <c r="K793" s="1907"/>
      <c r="M793" s="1885" t="s">
        <v>1879</v>
      </c>
      <c r="N793" s="1861"/>
    </row>
    <row r="794" spans="1:14">
      <c r="A794" s="1903"/>
      <c r="B794" s="1904"/>
      <c r="C794" s="1905" t="s">
        <v>1078</v>
      </c>
      <c r="D794" s="1909">
        <v>259</v>
      </c>
      <c r="E794" s="1910" t="s">
        <v>113</v>
      </c>
      <c r="F794" s="1906">
        <v>0</v>
      </c>
      <c r="G794" s="1906">
        <v>15</v>
      </c>
      <c r="H794" s="1906">
        <f t="shared" si="113"/>
        <v>0</v>
      </c>
      <c r="I794" s="1906">
        <f t="shared" si="114"/>
        <v>3885</v>
      </c>
      <c r="J794" s="1906">
        <f t="shared" si="115"/>
        <v>3885</v>
      </c>
      <c r="K794" s="1907"/>
      <c r="M794" s="1885" t="s">
        <v>1015</v>
      </c>
      <c r="N794" s="1861"/>
    </row>
    <row r="795" spans="1:14">
      <c r="A795" s="1903"/>
      <c r="B795" s="2064" t="s">
        <v>205</v>
      </c>
      <c r="C795" s="1905"/>
      <c r="D795" s="1909"/>
      <c r="E795" s="1910"/>
      <c r="F795" s="1906"/>
      <c r="G795" s="1906"/>
      <c r="H795" s="1906"/>
      <c r="I795" s="1906"/>
      <c r="J795" s="1906"/>
      <c r="K795" s="1907"/>
      <c r="M795" s="1885"/>
      <c r="N795" s="1861"/>
    </row>
    <row r="796" spans="1:14">
      <c r="A796" s="1926"/>
      <c r="B796" s="1927" t="s">
        <v>941</v>
      </c>
      <c r="C796" s="1928" t="s">
        <v>1066</v>
      </c>
      <c r="D796" s="1929">
        <f>D781</f>
        <v>918.3</v>
      </c>
      <c r="E796" s="1926" t="s">
        <v>86</v>
      </c>
      <c r="F796" s="1930">
        <v>35</v>
      </c>
      <c r="G796" s="1930">
        <v>30</v>
      </c>
      <c r="H796" s="1930">
        <f t="shared" ref="H796:H802" si="116">F796*D796</f>
        <v>32140.5</v>
      </c>
      <c r="I796" s="1930">
        <f t="shared" ref="I796:I802" si="117">G796*D796</f>
        <v>27549</v>
      </c>
      <c r="J796" s="1931">
        <f t="shared" ref="J796:J802" si="118">H796+I796</f>
        <v>59689.5</v>
      </c>
      <c r="K796" s="1931"/>
      <c r="L796" s="2155"/>
      <c r="M796" s="1885" t="s">
        <v>1879</v>
      </c>
      <c r="N796" s="1861"/>
    </row>
    <row r="797" spans="1:14">
      <c r="A797" s="1926"/>
      <c r="B797" s="1927" t="s">
        <v>942</v>
      </c>
      <c r="C797" s="1928" t="s">
        <v>1067</v>
      </c>
      <c r="D797" s="1929">
        <f>D782</f>
        <v>185.3</v>
      </c>
      <c r="E797" s="1926" t="s">
        <v>86</v>
      </c>
      <c r="F797" s="1930">
        <v>44</v>
      </c>
      <c r="G797" s="1930">
        <v>34</v>
      </c>
      <c r="H797" s="1930">
        <f t="shared" si="116"/>
        <v>8153.2000000000007</v>
      </c>
      <c r="I797" s="1930">
        <f t="shared" si="117"/>
        <v>6300.2000000000007</v>
      </c>
      <c r="J797" s="1931">
        <f t="shared" si="118"/>
        <v>14453.400000000001</v>
      </c>
      <c r="K797" s="1931"/>
      <c r="L797" s="2155"/>
      <c r="M797" s="1885" t="s">
        <v>1879</v>
      </c>
      <c r="N797" s="1861"/>
    </row>
    <row r="798" spans="1:14" s="1873" customFormat="1" ht="48">
      <c r="A798" s="1944"/>
      <c r="B798" s="1939" t="s">
        <v>943</v>
      </c>
      <c r="C798" s="1946" t="s">
        <v>1068</v>
      </c>
      <c r="D798" s="1947">
        <f>D806</f>
        <v>71</v>
      </c>
      <c r="E798" s="1944" t="s">
        <v>86</v>
      </c>
      <c r="F798" s="1948">
        <v>33</v>
      </c>
      <c r="G798" s="1948">
        <v>30</v>
      </c>
      <c r="H798" s="1948">
        <f t="shared" si="116"/>
        <v>2343</v>
      </c>
      <c r="I798" s="1948">
        <f t="shared" si="117"/>
        <v>2130</v>
      </c>
      <c r="J798" s="1949">
        <f t="shared" si="118"/>
        <v>4473</v>
      </c>
      <c r="K798" s="1949"/>
      <c r="L798" s="2156"/>
      <c r="M798" s="1918" t="s">
        <v>1879</v>
      </c>
    </row>
    <row r="799" spans="1:14" s="1873" customFormat="1" ht="48">
      <c r="A799" s="1944"/>
      <c r="B799" s="1939" t="s">
        <v>944</v>
      </c>
      <c r="C799" s="1946" t="s">
        <v>1069</v>
      </c>
      <c r="D799" s="1947">
        <f>D807</f>
        <v>112</v>
      </c>
      <c r="E799" s="1944" t="s">
        <v>86</v>
      </c>
      <c r="F799" s="1948">
        <v>33</v>
      </c>
      <c r="G799" s="1942">
        <v>30</v>
      </c>
      <c r="H799" s="1948">
        <f t="shared" si="116"/>
        <v>3696</v>
      </c>
      <c r="I799" s="1948">
        <f t="shared" si="117"/>
        <v>3360</v>
      </c>
      <c r="J799" s="1949">
        <f t="shared" si="118"/>
        <v>7056</v>
      </c>
      <c r="K799" s="1949"/>
      <c r="L799" s="2156"/>
      <c r="M799" s="1918" t="s">
        <v>1879</v>
      </c>
    </row>
    <row r="800" spans="1:14" s="1873" customFormat="1" ht="48">
      <c r="A800" s="1938"/>
      <c r="B800" s="1939" t="s">
        <v>945</v>
      </c>
      <c r="C800" s="1940" t="s">
        <v>1070</v>
      </c>
      <c r="D800" s="1941">
        <f>D805</f>
        <v>330.1</v>
      </c>
      <c r="E800" s="1938" t="s">
        <v>86</v>
      </c>
      <c r="F800" s="1948">
        <v>33</v>
      </c>
      <c r="G800" s="1948">
        <v>30</v>
      </c>
      <c r="H800" s="1942">
        <f t="shared" si="116"/>
        <v>10893.300000000001</v>
      </c>
      <c r="I800" s="1942">
        <f t="shared" si="117"/>
        <v>9903</v>
      </c>
      <c r="J800" s="1943">
        <f t="shared" si="118"/>
        <v>20796.300000000003</v>
      </c>
      <c r="K800" s="1943"/>
      <c r="L800" s="2156"/>
      <c r="M800" s="1918" t="s">
        <v>1879</v>
      </c>
    </row>
    <row r="801" spans="1:13" s="1873" customFormat="1">
      <c r="A801" s="1938"/>
      <c r="B801" s="1939" t="s">
        <v>946</v>
      </c>
      <c r="C801" s="2043" t="s">
        <v>1071</v>
      </c>
      <c r="D801" s="1941">
        <v>91.5</v>
      </c>
      <c r="E801" s="1938" t="s">
        <v>86</v>
      </c>
      <c r="F801" s="1948">
        <v>58</v>
      </c>
      <c r="G801" s="1948">
        <v>35</v>
      </c>
      <c r="H801" s="1942">
        <f t="shared" si="116"/>
        <v>5307</v>
      </c>
      <c r="I801" s="1942">
        <f t="shared" si="117"/>
        <v>3202.5</v>
      </c>
      <c r="J801" s="1943">
        <f t="shared" si="118"/>
        <v>8509.5</v>
      </c>
      <c r="K801" s="1943"/>
      <c r="L801" s="2156"/>
      <c r="M801" s="1918" t="s">
        <v>1879</v>
      </c>
    </row>
    <row r="802" spans="1:13" s="1873" customFormat="1">
      <c r="A802" s="1938"/>
      <c r="B802" s="1939" t="s">
        <v>1102</v>
      </c>
      <c r="C802" s="2043" t="s">
        <v>1103</v>
      </c>
      <c r="D802" s="1941">
        <v>21.6</v>
      </c>
      <c r="E802" s="1938" t="s">
        <v>86</v>
      </c>
      <c r="F802" s="1948">
        <v>471</v>
      </c>
      <c r="G802" s="1948">
        <v>30</v>
      </c>
      <c r="H802" s="1942">
        <f t="shared" si="116"/>
        <v>10173.6</v>
      </c>
      <c r="I802" s="1942">
        <f t="shared" si="117"/>
        <v>648</v>
      </c>
      <c r="J802" s="1943">
        <f t="shared" si="118"/>
        <v>10821.6</v>
      </c>
      <c r="K802" s="1943"/>
      <c r="L802" s="2156"/>
      <c r="M802" s="1918" t="s">
        <v>1879</v>
      </c>
    </row>
    <row r="803" spans="1:13" s="1873" customFormat="1">
      <c r="A803" s="1911"/>
      <c r="B803" s="2389" t="s">
        <v>204</v>
      </c>
      <c r="C803" s="2389"/>
      <c r="D803" s="1914"/>
      <c r="E803" s="1915"/>
      <c r="F803" s="1916"/>
      <c r="G803" s="1916"/>
      <c r="H803" s="1916"/>
      <c r="I803" s="1916"/>
      <c r="J803" s="1916"/>
      <c r="K803" s="1917"/>
      <c r="L803" s="2048"/>
      <c r="M803" s="2044"/>
    </row>
    <row r="804" spans="1:13" s="1872" customFormat="1">
      <c r="A804" s="1903"/>
      <c r="B804" s="1904" t="s">
        <v>197</v>
      </c>
      <c r="C804" s="1905" t="s">
        <v>937</v>
      </c>
      <c r="D804" s="1909">
        <v>606.1</v>
      </c>
      <c r="E804" s="1910" t="s">
        <v>86</v>
      </c>
      <c r="F804" s="1906">
        <v>177</v>
      </c>
      <c r="G804" s="1906">
        <v>134</v>
      </c>
      <c r="H804" s="1906">
        <f>+F804*D804</f>
        <v>107279.7</v>
      </c>
      <c r="I804" s="1906">
        <f>+G804*D804</f>
        <v>81217.400000000009</v>
      </c>
      <c r="J804" s="1906">
        <f>+H804+I804</f>
        <v>188497.1</v>
      </c>
      <c r="K804" s="1907"/>
      <c r="L804" s="1871"/>
      <c r="M804" s="1885" t="s">
        <v>1879</v>
      </c>
    </row>
    <row r="805" spans="1:13" s="1853" customFormat="1">
      <c r="A805" s="1903"/>
      <c r="B805" s="1904" t="s">
        <v>373</v>
      </c>
      <c r="C805" s="1905" t="s">
        <v>938</v>
      </c>
      <c r="D805" s="1909">
        <v>330.1</v>
      </c>
      <c r="E805" s="1910" t="s">
        <v>86</v>
      </c>
      <c r="F805" s="1906">
        <v>100</v>
      </c>
      <c r="G805" s="1906">
        <v>82</v>
      </c>
      <c r="H805" s="1906">
        <f>+F805*D805</f>
        <v>33010</v>
      </c>
      <c r="I805" s="1906">
        <f>+G805*D805</f>
        <v>27068.2</v>
      </c>
      <c r="J805" s="1906">
        <f>+H805+I805</f>
        <v>60078.2</v>
      </c>
      <c r="K805" s="1907"/>
      <c r="L805" s="1871"/>
      <c r="M805" s="1885" t="s">
        <v>1879</v>
      </c>
    </row>
    <row r="806" spans="1:13" s="1853" customFormat="1">
      <c r="A806" s="1903"/>
      <c r="B806" s="1904" t="s">
        <v>374</v>
      </c>
      <c r="C806" s="1905" t="s">
        <v>1236</v>
      </c>
      <c r="D806" s="1909">
        <v>71</v>
      </c>
      <c r="E806" s="1910" t="s">
        <v>86</v>
      </c>
      <c r="F806" s="1906">
        <v>298</v>
      </c>
      <c r="G806" s="1906">
        <v>75</v>
      </c>
      <c r="H806" s="1906">
        <f>+F806*D806</f>
        <v>21158</v>
      </c>
      <c r="I806" s="1906">
        <f>+G806*D806</f>
        <v>5325</v>
      </c>
      <c r="J806" s="1906">
        <f>+H806+I806</f>
        <v>26483</v>
      </c>
      <c r="K806" s="1907"/>
      <c r="L806" s="1871"/>
      <c r="M806" s="1885" t="s">
        <v>1879</v>
      </c>
    </row>
    <row r="807" spans="1:13" s="1853" customFormat="1">
      <c r="A807" s="1903"/>
      <c r="B807" s="1904" t="s">
        <v>375</v>
      </c>
      <c r="C807" s="1905" t="s">
        <v>1235</v>
      </c>
      <c r="D807" s="1909">
        <v>112</v>
      </c>
      <c r="E807" s="1910" t="s">
        <v>86</v>
      </c>
      <c r="F807" s="1906">
        <v>343</v>
      </c>
      <c r="G807" s="1906">
        <v>75</v>
      </c>
      <c r="H807" s="1906">
        <f>+F807*D807</f>
        <v>38416</v>
      </c>
      <c r="I807" s="1906">
        <f>+G807*D807</f>
        <v>8400</v>
      </c>
      <c r="J807" s="1906">
        <f>+H807+I807</f>
        <v>46816</v>
      </c>
      <c r="K807" s="1907"/>
      <c r="L807" s="1871"/>
      <c r="M807" s="1885" t="s">
        <v>1879</v>
      </c>
    </row>
    <row r="808" spans="1:13" s="1853" customFormat="1">
      <c r="A808" s="1903"/>
      <c r="B808" s="1904"/>
      <c r="C808" s="1905" t="s">
        <v>1199</v>
      </c>
      <c r="D808" s="1909">
        <v>3</v>
      </c>
      <c r="E808" s="1910" t="s">
        <v>5</v>
      </c>
      <c r="F808" s="1906">
        <v>500</v>
      </c>
      <c r="G808" s="1906">
        <v>100</v>
      </c>
      <c r="H808" s="1906">
        <f>+F808*D808</f>
        <v>1500</v>
      </c>
      <c r="I808" s="1906">
        <f>+G808*D808</f>
        <v>300</v>
      </c>
      <c r="J808" s="1906">
        <f>+H808+I808</f>
        <v>1800</v>
      </c>
      <c r="K808" s="1907"/>
      <c r="L808" s="1871"/>
      <c r="M808" s="2018" t="s">
        <v>1076</v>
      </c>
    </row>
    <row r="809" spans="1:13" s="1853" customFormat="1">
      <c r="A809" s="1903"/>
      <c r="B809" s="2386" t="s">
        <v>202</v>
      </c>
      <c r="C809" s="2386"/>
      <c r="D809" s="1909"/>
      <c r="E809" s="1910"/>
      <c r="F809" s="1906"/>
      <c r="G809" s="1906"/>
      <c r="H809" s="1906"/>
      <c r="I809" s="1906"/>
      <c r="J809" s="1906"/>
      <c r="K809" s="1907"/>
      <c r="L809" s="1871"/>
      <c r="M809" s="1902"/>
    </row>
    <row r="810" spans="1:13" s="1853" customFormat="1">
      <c r="A810" s="1903"/>
      <c r="B810" s="2386" t="s">
        <v>110</v>
      </c>
      <c r="C810" s="2386"/>
      <c r="D810" s="1909"/>
      <c r="E810" s="1910"/>
      <c r="F810" s="1906"/>
      <c r="G810" s="1906"/>
      <c r="H810" s="1906"/>
      <c r="I810" s="1906"/>
      <c r="J810" s="1906"/>
      <c r="K810" s="1907"/>
      <c r="L810" s="1871"/>
      <c r="M810" s="1902"/>
    </row>
    <row r="811" spans="1:13">
      <c r="A811" s="1903"/>
      <c r="B811" s="1904" t="s">
        <v>612</v>
      </c>
      <c r="C811" s="1905" t="s">
        <v>893</v>
      </c>
      <c r="D811" s="1909">
        <v>2</v>
      </c>
      <c r="E811" s="1910" t="s">
        <v>5</v>
      </c>
      <c r="F811" s="1900">
        <v>12306</v>
      </c>
      <c r="G811" s="1900">
        <v>450</v>
      </c>
      <c r="H811" s="1906">
        <f t="shared" ref="H811:H827" si="119">+F811*D811</f>
        <v>24612</v>
      </c>
      <c r="I811" s="1906">
        <f t="shared" ref="I811:I827" si="120">+G811*D811</f>
        <v>900</v>
      </c>
      <c r="J811" s="1906">
        <f t="shared" ref="J811:J827" si="121">+H811+I811</f>
        <v>25512</v>
      </c>
      <c r="K811" s="1907"/>
      <c r="M811" s="1952" t="s">
        <v>1926</v>
      </c>
    </row>
    <row r="812" spans="1:13">
      <c r="A812" s="2000"/>
      <c r="B812" s="2004" t="s">
        <v>604</v>
      </c>
      <c r="C812" s="2005" t="s">
        <v>990</v>
      </c>
      <c r="D812" s="1956">
        <v>3</v>
      </c>
      <c r="E812" s="2006" t="s">
        <v>5</v>
      </c>
      <c r="F812" s="2017">
        <v>22000</v>
      </c>
      <c r="G812" s="2017">
        <f>F812*0.3</f>
        <v>6600</v>
      </c>
      <c r="H812" s="2007">
        <f t="shared" si="119"/>
        <v>66000</v>
      </c>
      <c r="I812" s="2007">
        <f t="shared" si="120"/>
        <v>19800</v>
      </c>
      <c r="J812" s="2007">
        <f t="shared" si="121"/>
        <v>85800</v>
      </c>
      <c r="K812" s="1907"/>
      <c r="L812" s="1907" t="s">
        <v>1968</v>
      </c>
      <c r="M812" s="1952" t="s">
        <v>622</v>
      </c>
    </row>
    <row r="813" spans="1:13">
      <c r="A813" s="1863"/>
      <c r="B813" s="1864"/>
      <c r="C813" s="1865"/>
      <c r="D813" s="1866"/>
      <c r="E813" s="1867"/>
      <c r="F813" s="1868"/>
      <c r="G813" s="1868"/>
      <c r="H813" s="1868"/>
      <c r="I813" s="1868"/>
      <c r="J813" s="1868"/>
      <c r="K813" s="1869"/>
      <c r="L813" s="1901"/>
      <c r="M813" s="1952"/>
    </row>
    <row r="814" spans="1:13">
      <c r="B814" s="1860"/>
      <c r="C814" s="2133" t="s">
        <v>133</v>
      </c>
      <c r="D814" s="2134"/>
      <c r="E814" s="2135"/>
      <c r="F814" s="2136"/>
      <c r="G814" s="2137"/>
      <c r="H814" s="2137"/>
      <c r="I814" s="2137"/>
      <c r="J814" s="2137"/>
      <c r="K814" s="2137"/>
      <c r="L814" s="1901"/>
      <c r="M814" s="1952"/>
    </row>
    <row r="815" spans="1:13">
      <c r="B815" s="2138"/>
      <c r="C815" s="2139" t="s">
        <v>1769</v>
      </c>
      <c r="D815" s="2140"/>
      <c r="E815" s="1861"/>
      <c r="F815" s="2135"/>
      <c r="G815" s="2139" t="s">
        <v>134</v>
      </c>
      <c r="H815" s="2138"/>
      <c r="I815" s="2138"/>
      <c r="J815" s="2138"/>
      <c r="K815" s="2138"/>
      <c r="L815" s="1901"/>
      <c r="M815" s="1952"/>
    </row>
    <row r="816" spans="1:13">
      <c r="B816" s="1871"/>
      <c r="C816" s="2141" t="s">
        <v>1970</v>
      </c>
      <c r="D816" s="2140"/>
      <c r="E816" s="2142"/>
      <c r="F816" s="2143"/>
      <c r="G816" s="2144" t="s">
        <v>1971</v>
      </c>
      <c r="H816" s="2145"/>
      <c r="I816" s="2145"/>
      <c r="J816" s="2145"/>
      <c r="K816" s="2145"/>
      <c r="L816" s="1901"/>
      <c r="M816" s="1952"/>
    </row>
    <row r="817" spans="1:13">
      <c r="A817" s="1837"/>
      <c r="B817" s="2138"/>
      <c r="C817" s="2139" t="s">
        <v>2031</v>
      </c>
      <c r="D817" s="2140"/>
      <c r="E817" s="1837"/>
      <c r="F817" s="2146"/>
      <c r="G817" s="2139" t="s">
        <v>2031</v>
      </c>
      <c r="H817" s="1837"/>
      <c r="I817" s="1837"/>
      <c r="J817" s="1837"/>
      <c r="K817" s="1837"/>
      <c r="L817" s="1901"/>
      <c r="M817" s="1952"/>
    </row>
    <row r="818" spans="1:13">
      <c r="A818" s="1952"/>
      <c r="B818" s="1871"/>
      <c r="C818" s="2147" t="s">
        <v>1984</v>
      </c>
      <c r="D818" s="2140"/>
      <c r="E818" s="1837"/>
      <c r="F818" s="2135"/>
      <c r="G818" s="2147" t="s">
        <v>1985</v>
      </c>
      <c r="H818" s="1952"/>
      <c r="I818" s="1952"/>
      <c r="J818" s="1952"/>
      <c r="K818" s="1952"/>
      <c r="L818" s="1901"/>
      <c r="M818" s="1952"/>
    </row>
    <row r="819" spans="1:13">
      <c r="A819" s="1952"/>
      <c r="B819" s="1952"/>
      <c r="C819" s="2139" t="s">
        <v>670</v>
      </c>
      <c r="D819" s="2139"/>
      <c r="E819" s="2143"/>
      <c r="F819" s="2143"/>
      <c r="G819" s="1952"/>
      <c r="H819" s="1952"/>
      <c r="I819" s="1952"/>
      <c r="J819" s="1952"/>
      <c r="K819" s="1952"/>
      <c r="L819" s="1901"/>
      <c r="M819" s="1952"/>
    </row>
    <row r="820" spans="1:13">
      <c r="C820" s="2147" t="s">
        <v>1972</v>
      </c>
      <c r="D820" s="2147"/>
      <c r="E820" s="2146"/>
      <c r="F820" s="2146"/>
      <c r="L820" s="1901"/>
      <c r="M820" s="1952"/>
    </row>
    <row r="821" spans="1:13">
      <c r="A821" s="1903"/>
      <c r="B821" s="1904" t="s">
        <v>890</v>
      </c>
      <c r="C821" s="1905" t="s">
        <v>896</v>
      </c>
      <c r="D821" s="1909">
        <v>1</v>
      </c>
      <c r="E821" s="1910" t="s">
        <v>5</v>
      </c>
      <c r="F821" s="1900">
        <v>21100</v>
      </c>
      <c r="G821" s="1900">
        <v>1450</v>
      </c>
      <c r="H821" s="1906">
        <f t="shared" si="119"/>
        <v>21100</v>
      </c>
      <c r="I821" s="1906">
        <f t="shared" si="120"/>
        <v>1450</v>
      </c>
      <c r="J821" s="1906">
        <f t="shared" si="121"/>
        <v>22550</v>
      </c>
      <c r="K821" s="1907"/>
      <c r="L821" s="1901" t="s">
        <v>1941</v>
      </c>
      <c r="M821" s="1952" t="s">
        <v>1942</v>
      </c>
    </row>
    <row r="822" spans="1:13" s="1874" customFormat="1">
      <c r="A822" s="1903"/>
      <c r="B822" s="1904" t="s">
        <v>609</v>
      </c>
      <c r="C822" s="1905" t="s">
        <v>895</v>
      </c>
      <c r="D822" s="1909">
        <v>2</v>
      </c>
      <c r="E822" s="1910" t="s">
        <v>5</v>
      </c>
      <c r="F822" s="1906">
        <v>8713</v>
      </c>
      <c r="G822" s="1906">
        <v>450</v>
      </c>
      <c r="H822" s="1906">
        <f t="shared" si="119"/>
        <v>17426</v>
      </c>
      <c r="I822" s="1906">
        <f t="shared" si="120"/>
        <v>900</v>
      </c>
      <c r="J822" s="1906">
        <f t="shared" si="121"/>
        <v>18326</v>
      </c>
      <c r="K822" s="1907"/>
      <c r="L822" s="1907"/>
      <c r="M822" s="1952" t="s">
        <v>1926</v>
      </c>
    </row>
    <row r="823" spans="1:13" s="1874" customFormat="1">
      <c r="A823" s="1897"/>
      <c r="B823" s="2008" t="s">
        <v>902</v>
      </c>
      <c r="C823" s="2019" t="s">
        <v>906</v>
      </c>
      <c r="D823" s="1898">
        <v>9</v>
      </c>
      <c r="E823" s="1899" t="s">
        <v>5</v>
      </c>
      <c r="F823" s="1900">
        <v>19000</v>
      </c>
      <c r="G823" s="1900">
        <v>1500</v>
      </c>
      <c r="H823" s="1900">
        <f t="shared" si="119"/>
        <v>171000</v>
      </c>
      <c r="I823" s="1900">
        <f t="shared" si="120"/>
        <v>13500</v>
      </c>
      <c r="J823" s="1900">
        <f t="shared" si="121"/>
        <v>184500</v>
      </c>
      <c r="K823" s="1907"/>
      <c r="L823" s="1907" t="s">
        <v>1919</v>
      </c>
      <c r="M823" s="1952" t="s">
        <v>622</v>
      </c>
    </row>
    <row r="824" spans="1:13" s="1853" customFormat="1">
      <c r="A824" s="1903"/>
      <c r="B824" s="1904" t="s">
        <v>607</v>
      </c>
      <c r="C824" s="1905" t="s">
        <v>920</v>
      </c>
      <c r="D824" s="1909">
        <v>2</v>
      </c>
      <c r="E824" s="1910" t="s">
        <v>5</v>
      </c>
      <c r="F824" s="1900">
        <v>74500</v>
      </c>
      <c r="G824" s="1900">
        <v>4500</v>
      </c>
      <c r="H824" s="1906">
        <f t="shared" si="119"/>
        <v>149000</v>
      </c>
      <c r="I824" s="1906">
        <f t="shared" si="120"/>
        <v>9000</v>
      </c>
      <c r="J824" s="1906">
        <f t="shared" si="121"/>
        <v>158000</v>
      </c>
      <c r="K824" s="1907"/>
      <c r="L824" s="1907" t="s">
        <v>1919</v>
      </c>
      <c r="M824" s="1952" t="s">
        <v>622</v>
      </c>
    </row>
    <row r="825" spans="1:13" s="1853" customFormat="1">
      <c r="A825" s="1903"/>
      <c r="B825" s="1904" t="s">
        <v>919</v>
      </c>
      <c r="C825" s="1905" t="s">
        <v>921</v>
      </c>
      <c r="D825" s="1909">
        <v>1</v>
      </c>
      <c r="E825" s="1910" t="s">
        <v>5</v>
      </c>
      <c r="F825" s="1900">
        <v>242200</v>
      </c>
      <c r="G825" s="1900">
        <v>14100</v>
      </c>
      <c r="H825" s="1906">
        <f t="shared" si="119"/>
        <v>242200</v>
      </c>
      <c r="I825" s="1906">
        <f t="shared" si="120"/>
        <v>14100</v>
      </c>
      <c r="J825" s="1906">
        <f t="shared" si="121"/>
        <v>256300</v>
      </c>
      <c r="K825" s="1907"/>
      <c r="L825" s="1907" t="s">
        <v>1919</v>
      </c>
      <c r="M825" s="1952" t="s">
        <v>622</v>
      </c>
    </row>
    <row r="826" spans="1:13" s="1874" customFormat="1">
      <c r="A826" s="1903"/>
      <c r="B826" s="1904" t="s">
        <v>613</v>
      </c>
      <c r="C826" s="1905" t="s">
        <v>1944</v>
      </c>
      <c r="D826" s="1898">
        <v>1</v>
      </c>
      <c r="E826" s="1899" t="s">
        <v>5</v>
      </c>
      <c r="F826" s="1900">
        <v>180000</v>
      </c>
      <c r="G826" s="1900">
        <v>25000</v>
      </c>
      <c r="H826" s="1906">
        <f t="shared" si="119"/>
        <v>180000</v>
      </c>
      <c r="I826" s="1906">
        <f t="shared" si="120"/>
        <v>25000</v>
      </c>
      <c r="J826" s="1906">
        <f t="shared" si="121"/>
        <v>205000</v>
      </c>
      <c r="K826" s="1907"/>
      <c r="L826" s="1907" t="s">
        <v>1943</v>
      </c>
      <c r="M826" s="1952" t="s">
        <v>622</v>
      </c>
    </row>
    <row r="827" spans="1:13" s="1853" customFormat="1">
      <c r="A827" s="1903"/>
      <c r="B827" s="1904" t="s">
        <v>1046</v>
      </c>
      <c r="C827" s="1905" t="s">
        <v>1047</v>
      </c>
      <c r="D827" s="1909">
        <v>1</v>
      </c>
      <c r="E827" s="1910" t="s">
        <v>5</v>
      </c>
      <c r="F827" s="1900">
        <v>5975</v>
      </c>
      <c r="G827" s="1900">
        <v>450</v>
      </c>
      <c r="H827" s="1906">
        <f t="shared" si="119"/>
        <v>5975</v>
      </c>
      <c r="I827" s="1906">
        <f t="shared" si="120"/>
        <v>450</v>
      </c>
      <c r="J827" s="1906">
        <f t="shared" si="121"/>
        <v>6425</v>
      </c>
      <c r="K827" s="1907"/>
      <c r="L827" s="1907"/>
      <c r="M827" s="1952" t="s">
        <v>1926</v>
      </c>
    </row>
    <row r="828" spans="1:13" s="1853" customFormat="1">
      <c r="A828" s="1897"/>
      <c r="B828" s="2388" t="s">
        <v>111</v>
      </c>
      <c r="C828" s="2388"/>
      <c r="D828" s="1898"/>
      <c r="E828" s="1899"/>
      <c r="F828" s="1900"/>
      <c r="G828" s="1900"/>
      <c r="H828" s="1900"/>
      <c r="I828" s="1900"/>
      <c r="J828" s="1900"/>
      <c r="K828" s="1907"/>
      <c r="L828" s="1871"/>
      <c r="M828" s="1902"/>
    </row>
    <row r="829" spans="1:13" s="1853" customFormat="1">
      <c r="A829" s="1903"/>
      <c r="B829" s="1904" t="s">
        <v>908</v>
      </c>
      <c r="C829" s="1905" t="s">
        <v>899</v>
      </c>
      <c r="D829" s="1898">
        <v>1</v>
      </c>
      <c r="E829" s="1899" t="s">
        <v>5</v>
      </c>
      <c r="F829" s="1906">
        <v>28900</v>
      </c>
      <c r="G829" s="1906">
        <f t="shared" ref="G829:G853" si="122">F829*0.3</f>
        <v>8670</v>
      </c>
      <c r="H829" s="1906">
        <f t="shared" ref="H829:H853" si="123">+F829*D829</f>
        <v>28900</v>
      </c>
      <c r="I829" s="1906">
        <f t="shared" ref="I829:I853" si="124">+G829*D829</f>
        <v>8670</v>
      </c>
      <c r="J829" s="1906">
        <f t="shared" ref="J829:J853" si="125">+H829+I829</f>
        <v>37570</v>
      </c>
      <c r="K829" s="1907"/>
      <c r="L829" s="1907" t="s">
        <v>1935</v>
      </c>
      <c r="M829" s="1952" t="s">
        <v>622</v>
      </c>
    </row>
    <row r="830" spans="1:13">
      <c r="A830" s="1903"/>
      <c r="B830" s="1904" t="s">
        <v>897</v>
      </c>
      <c r="C830" s="1905" t="s">
        <v>901</v>
      </c>
      <c r="D830" s="1909">
        <v>2</v>
      </c>
      <c r="E830" s="1910" t="s">
        <v>5</v>
      </c>
      <c r="F830" s="1906">
        <v>5715</v>
      </c>
      <c r="G830" s="1906">
        <f t="shared" si="122"/>
        <v>1714.5</v>
      </c>
      <c r="H830" s="1906">
        <f t="shared" si="123"/>
        <v>11430</v>
      </c>
      <c r="I830" s="1906">
        <f t="shared" si="124"/>
        <v>3429</v>
      </c>
      <c r="J830" s="1906">
        <f t="shared" si="125"/>
        <v>14859</v>
      </c>
      <c r="K830" s="1907"/>
      <c r="L830" s="1907"/>
      <c r="M830" s="1952" t="s">
        <v>622</v>
      </c>
    </row>
    <row r="831" spans="1:13">
      <c r="A831" s="1903"/>
      <c r="B831" s="1904" t="s">
        <v>370</v>
      </c>
      <c r="C831" s="1905" t="s">
        <v>913</v>
      </c>
      <c r="D831" s="1909">
        <v>1</v>
      </c>
      <c r="E831" s="1910" t="s">
        <v>5</v>
      </c>
      <c r="F831" s="1906">
        <v>11100</v>
      </c>
      <c r="G831" s="1906">
        <f t="shared" si="122"/>
        <v>3330</v>
      </c>
      <c r="H831" s="1906">
        <f t="shared" si="123"/>
        <v>11100</v>
      </c>
      <c r="I831" s="1906">
        <f t="shared" si="124"/>
        <v>3330</v>
      </c>
      <c r="J831" s="1906">
        <f t="shared" si="125"/>
        <v>14430</v>
      </c>
      <c r="K831" s="1907"/>
      <c r="L831" s="1907" t="s">
        <v>1935</v>
      </c>
      <c r="M831" s="1952" t="s">
        <v>622</v>
      </c>
    </row>
    <row r="832" spans="1:13">
      <c r="A832" s="1903"/>
      <c r="B832" s="1904" t="s">
        <v>371</v>
      </c>
      <c r="C832" s="1905" t="s">
        <v>914</v>
      </c>
      <c r="D832" s="1909">
        <v>4</v>
      </c>
      <c r="E832" s="1910" t="s">
        <v>5</v>
      </c>
      <c r="F832" s="1906">
        <v>46000</v>
      </c>
      <c r="G832" s="1906">
        <f t="shared" si="122"/>
        <v>13800</v>
      </c>
      <c r="H832" s="1906">
        <f t="shared" si="123"/>
        <v>184000</v>
      </c>
      <c r="I832" s="1906">
        <f t="shared" si="124"/>
        <v>55200</v>
      </c>
      <c r="J832" s="1906">
        <f t="shared" si="125"/>
        <v>239200</v>
      </c>
      <c r="K832" s="1907"/>
      <c r="L832" s="1907" t="s">
        <v>1935</v>
      </c>
      <c r="M832" s="1952" t="s">
        <v>622</v>
      </c>
    </row>
    <row r="833" spans="1:13">
      <c r="A833" s="1903"/>
      <c r="B833" s="1904" t="s">
        <v>8</v>
      </c>
      <c r="C833" s="1905" t="s">
        <v>914</v>
      </c>
      <c r="D833" s="1909">
        <v>3</v>
      </c>
      <c r="E833" s="1910" t="s">
        <v>5</v>
      </c>
      <c r="F833" s="1906">
        <v>52100</v>
      </c>
      <c r="G833" s="1906">
        <f t="shared" si="122"/>
        <v>15630</v>
      </c>
      <c r="H833" s="1906">
        <f t="shared" si="123"/>
        <v>156300</v>
      </c>
      <c r="I833" s="1906">
        <f t="shared" si="124"/>
        <v>46890</v>
      </c>
      <c r="J833" s="1906">
        <f t="shared" si="125"/>
        <v>203190</v>
      </c>
      <c r="K833" s="1907"/>
      <c r="L833" s="1907" t="s">
        <v>1935</v>
      </c>
      <c r="M833" s="1952" t="s">
        <v>622</v>
      </c>
    </row>
    <row r="834" spans="1:13">
      <c r="A834" s="1903"/>
      <c r="B834" s="1904" t="s">
        <v>909</v>
      </c>
      <c r="C834" s="1905" t="s">
        <v>915</v>
      </c>
      <c r="D834" s="1909">
        <v>1</v>
      </c>
      <c r="E834" s="1910" t="s">
        <v>5</v>
      </c>
      <c r="F834" s="1906">
        <v>18300</v>
      </c>
      <c r="G834" s="1906">
        <f t="shared" si="122"/>
        <v>5490</v>
      </c>
      <c r="H834" s="1906">
        <f t="shared" si="123"/>
        <v>18300</v>
      </c>
      <c r="I834" s="1906">
        <f t="shared" si="124"/>
        <v>5490</v>
      </c>
      <c r="J834" s="1906">
        <f t="shared" si="125"/>
        <v>23790</v>
      </c>
      <c r="K834" s="1907"/>
      <c r="L834" s="1907" t="s">
        <v>1935</v>
      </c>
      <c r="M834" s="1952" t="s">
        <v>622</v>
      </c>
    </row>
    <row r="835" spans="1:13">
      <c r="A835" s="1903"/>
      <c r="B835" s="1904" t="s">
        <v>911</v>
      </c>
      <c r="C835" s="1905" t="s">
        <v>900</v>
      </c>
      <c r="D835" s="1909">
        <v>4</v>
      </c>
      <c r="E835" s="1910" t="s">
        <v>5</v>
      </c>
      <c r="F835" s="1906">
        <v>10400</v>
      </c>
      <c r="G835" s="1906">
        <f t="shared" si="122"/>
        <v>3120</v>
      </c>
      <c r="H835" s="1906">
        <f t="shared" si="123"/>
        <v>41600</v>
      </c>
      <c r="I835" s="1906">
        <f t="shared" si="124"/>
        <v>12480</v>
      </c>
      <c r="J835" s="1906">
        <f t="shared" si="125"/>
        <v>54080</v>
      </c>
      <c r="K835" s="1907"/>
      <c r="L835" s="1907" t="s">
        <v>1935</v>
      </c>
      <c r="M835" s="1952" t="s">
        <v>622</v>
      </c>
    </row>
    <row r="836" spans="1:13">
      <c r="A836" s="1903"/>
      <c r="B836" s="1904" t="s">
        <v>912</v>
      </c>
      <c r="C836" s="1905" t="s">
        <v>914</v>
      </c>
      <c r="D836" s="1909">
        <v>1</v>
      </c>
      <c r="E836" s="1910" t="s">
        <v>5</v>
      </c>
      <c r="F836" s="1906">
        <v>73400</v>
      </c>
      <c r="G836" s="1906">
        <f t="shared" si="122"/>
        <v>22020</v>
      </c>
      <c r="H836" s="1906">
        <f t="shared" si="123"/>
        <v>73400</v>
      </c>
      <c r="I836" s="1906">
        <f t="shared" si="124"/>
        <v>22020</v>
      </c>
      <c r="J836" s="1906">
        <f t="shared" si="125"/>
        <v>95420</v>
      </c>
      <c r="K836" s="1907"/>
      <c r="L836" s="1907" t="s">
        <v>1935</v>
      </c>
      <c r="M836" s="1952" t="s">
        <v>622</v>
      </c>
    </row>
    <row r="837" spans="1:13">
      <c r="A837" s="1903"/>
      <c r="B837" s="1904" t="s">
        <v>916</v>
      </c>
      <c r="C837" s="1905" t="s">
        <v>923</v>
      </c>
      <c r="D837" s="1909">
        <v>8</v>
      </c>
      <c r="E837" s="1910" t="s">
        <v>5</v>
      </c>
      <c r="F837" s="1906">
        <v>11300</v>
      </c>
      <c r="G837" s="1906">
        <f t="shared" si="122"/>
        <v>3390</v>
      </c>
      <c r="H837" s="1906">
        <f t="shared" si="123"/>
        <v>90400</v>
      </c>
      <c r="I837" s="1906">
        <f t="shared" si="124"/>
        <v>27120</v>
      </c>
      <c r="J837" s="1906">
        <f t="shared" si="125"/>
        <v>117520</v>
      </c>
      <c r="K837" s="1907"/>
      <c r="L837" s="1907" t="s">
        <v>1935</v>
      </c>
      <c r="M837" s="1952" t="s">
        <v>622</v>
      </c>
    </row>
    <row r="838" spans="1:13">
      <c r="A838" s="1903"/>
      <c r="B838" s="1904" t="s">
        <v>917</v>
      </c>
      <c r="C838" s="1905" t="s">
        <v>898</v>
      </c>
      <c r="D838" s="1909">
        <v>1</v>
      </c>
      <c r="E838" s="1910" t="s">
        <v>5</v>
      </c>
      <c r="F838" s="1906">
        <v>158000</v>
      </c>
      <c r="G838" s="1906">
        <f t="shared" si="122"/>
        <v>47400</v>
      </c>
      <c r="H838" s="1906">
        <f t="shared" si="123"/>
        <v>158000</v>
      </c>
      <c r="I838" s="1906">
        <f t="shared" si="124"/>
        <v>47400</v>
      </c>
      <c r="J838" s="1906">
        <f t="shared" si="125"/>
        <v>205400</v>
      </c>
      <c r="K838" s="1907"/>
      <c r="L838" s="1907" t="s">
        <v>1935</v>
      </c>
      <c r="M838" s="1952" t="s">
        <v>622</v>
      </c>
    </row>
    <row r="839" spans="1:13">
      <c r="A839" s="1903"/>
      <c r="B839" s="1904" t="s">
        <v>922</v>
      </c>
      <c r="C839" s="1905" t="s">
        <v>923</v>
      </c>
      <c r="D839" s="1909">
        <v>2</v>
      </c>
      <c r="E839" s="1910" t="s">
        <v>5</v>
      </c>
      <c r="F839" s="1906">
        <v>32000</v>
      </c>
      <c r="G839" s="1906">
        <f t="shared" si="122"/>
        <v>9600</v>
      </c>
      <c r="H839" s="1906">
        <f t="shared" si="123"/>
        <v>64000</v>
      </c>
      <c r="I839" s="1906">
        <f t="shared" si="124"/>
        <v>19200</v>
      </c>
      <c r="J839" s="1906">
        <f t="shared" si="125"/>
        <v>83200</v>
      </c>
      <c r="K839" s="1907"/>
      <c r="L839" s="1907" t="s">
        <v>1935</v>
      </c>
      <c r="M839" s="1952" t="s">
        <v>622</v>
      </c>
    </row>
    <row r="840" spans="1:13">
      <c r="A840" s="1903"/>
      <c r="B840" s="1904" t="s">
        <v>617</v>
      </c>
      <c r="C840" s="1905" t="s">
        <v>923</v>
      </c>
      <c r="D840" s="1909">
        <v>2</v>
      </c>
      <c r="E840" s="1910" t="s">
        <v>5</v>
      </c>
      <c r="F840" s="1906">
        <v>21700</v>
      </c>
      <c r="G840" s="1906">
        <f t="shared" si="122"/>
        <v>6510</v>
      </c>
      <c r="H840" s="1906">
        <f t="shared" si="123"/>
        <v>43400</v>
      </c>
      <c r="I840" s="1906">
        <f t="shared" si="124"/>
        <v>13020</v>
      </c>
      <c r="J840" s="1906">
        <f t="shared" si="125"/>
        <v>56420</v>
      </c>
      <c r="K840" s="1907"/>
      <c r="L840" s="1907" t="s">
        <v>1935</v>
      </c>
      <c r="M840" s="1952" t="s">
        <v>622</v>
      </c>
    </row>
    <row r="841" spans="1:13">
      <c r="A841" s="1903"/>
      <c r="B841" s="1904" t="s">
        <v>614</v>
      </c>
      <c r="C841" s="1905" t="s">
        <v>914</v>
      </c>
      <c r="D841" s="1909">
        <v>1</v>
      </c>
      <c r="E841" s="1910" t="s">
        <v>5</v>
      </c>
      <c r="F841" s="1906">
        <v>29800</v>
      </c>
      <c r="G841" s="1906">
        <f t="shared" si="122"/>
        <v>8940</v>
      </c>
      <c r="H841" s="1906">
        <f t="shared" si="123"/>
        <v>29800</v>
      </c>
      <c r="I841" s="1906">
        <f t="shared" si="124"/>
        <v>8940</v>
      </c>
      <c r="J841" s="1906">
        <f t="shared" si="125"/>
        <v>38740</v>
      </c>
      <c r="K841" s="1907"/>
      <c r="L841" s="1907" t="s">
        <v>1935</v>
      </c>
      <c r="M841" s="1952" t="s">
        <v>622</v>
      </c>
    </row>
    <row r="842" spans="1:13">
      <c r="A842" s="1903"/>
      <c r="B842" s="1904" t="s">
        <v>615</v>
      </c>
      <c r="C842" s="1905" t="s">
        <v>914</v>
      </c>
      <c r="D842" s="1909">
        <v>1</v>
      </c>
      <c r="E842" s="1910" t="s">
        <v>5</v>
      </c>
      <c r="F842" s="1906">
        <v>52700</v>
      </c>
      <c r="G842" s="1906">
        <f t="shared" si="122"/>
        <v>15810</v>
      </c>
      <c r="H842" s="1906">
        <f t="shared" si="123"/>
        <v>52700</v>
      </c>
      <c r="I842" s="1906">
        <f t="shared" si="124"/>
        <v>15810</v>
      </c>
      <c r="J842" s="1906">
        <f t="shared" si="125"/>
        <v>68510</v>
      </c>
      <c r="K842" s="1907"/>
      <c r="L842" s="1907" t="s">
        <v>1935</v>
      </c>
      <c r="M842" s="1952" t="s">
        <v>622</v>
      </c>
    </row>
    <row r="843" spans="1:13">
      <c r="A843" s="1903"/>
      <c r="B843" s="1904" t="s">
        <v>926</v>
      </c>
      <c r="C843" s="1905" t="s">
        <v>923</v>
      </c>
      <c r="D843" s="1909">
        <v>1</v>
      </c>
      <c r="E843" s="1910" t="s">
        <v>5</v>
      </c>
      <c r="F843" s="1906">
        <v>12700</v>
      </c>
      <c r="G843" s="1906">
        <f t="shared" si="122"/>
        <v>3810</v>
      </c>
      <c r="H843" s="1906">
        <f t="shared" si="123"/>
        <v>12700</v>
      </c>
      <c r="I843" s="1906">
        <f t="shared" si="124"/>
        <v>3810</v>
      </c>
      <c r="J843" s="1906">
        <f t="shared" si="125"/>
        <v>16510</v>
      </c>
      <c r="K843" s="1907"/>
      <c r="L843" s="1907" t="s">
        <v>1935</v>
      </c>
      <c r="M843" s="1952" t="s">
        <v>622</v>
      </c>
    </row>
    <row r="844" spans="1:13">
      <c r="A844" s="1863"/>
      <c r="B844" s="1864"/>
      <c r="C844" s="1865"/>
      <c r="D844" s="1866"/>
      <c r="E844" s="1867"/>
      <c r="F844" s="1868"/>
      <c r="G844" s="1868"/>
      <c r="H844" s="1868"/>
      <c r="I844" s="1868"/>
      <c r="J844" s="1868"/>
      <c r="K844" s="1869"/>
      <c r="L844" s="1907"/>
      <c r="M844" s="1952"/>
    </row>
    <row r="845" spans="1:13">
      <c r="B845" s="1860"/>
      <c r="C845" s="2133" t="s">
        <v>133</v>
      </c>
      <c r="D845" s="2134"/>
      <c r="E845" s="2135"/>
      <c r="F845" s="2136"/>
      <c r="G845" s="2137"/>
      <c r="H845" s="2137"/>
      <c r="I845" s="2137"/>
      <c r="J845" s="2137"/>
      <c r="K845" s="2137"/>
      <c r="L845" s="1907"/>
      <c r="M845" s="1952"/>
    </row>
    <row r="846" spans="1:13">
      <c r="B846" s="2138"/>
      <c r="C846" s="2139" t="s">
        <v>1769</v>
      </c>
      <c r="D846" s="2140"/>
      <c r="E846" s="1861"/>
      <c r="F846" s="2135"/>
      <c r="G846" s="2139" t="s">
        <v>134</v>
      </c>
      <c r="H846" s="2138"/>
      <c r="I846" s="2138"/>
      <c r="J846" s="2138"/>
      <c r="K846" s="2138"/>
      <c r="L846" s="1907"/>
      <c r="M846" s="1952"/>
    </row>
    <row r="847" spans="1:13">
      <c r="B847" s="1871"/>
      <c r="C847" s="2141" t="s">
        <v>1970</v>
      </c>
      <c r="D847" s="2140"/>
      <c r="E847" s="2142"/>
      <c r="F847" s="2143"/>
      <c r="G847" s="2144" t="s">
        <v>1971</v>
      </c>
      <c r="H847" s="2145"/>
      <c r="I847" s="2145"/>
      <c r="J847" s="2145"/>
      <c r="K847" s="2145"/>
      <c r="L847" s="1907"/>
      <c r="M847" s="1952"/>
    </row>
    <row r="848" spans="1:13">
      <c r="A848" s="1837"/>
      <c r="B848" s="2138"/>
      <c r="C848" s="2139" t="s">
        <v>2031</v>
      </c>
      <c r="D848" s="2140"/>
      <c r="E848" s="1837"/>
      <c r="F848" s="2146"/>
      <c r="G848" s="2139" t="s">
        <v>2031</v>
      </c>
      <c r="H848" s="1837"/>
      <c r="I848" s="1837"/>
      <c r="J848" s="1837"/>
      <c r="K848" s="1837"/>
      <c r="L848" s="1907"/>
      <c r="M848" s="1952"/>
    </row>
    <row r="849" spans="1:13">
      <c r="A849" s="1952"/>
      <c r="B849" s="1871"/>
      <c r="C849" s="2147" t="s">
        <v>1984</v>
      </c>
      <c r="D849" s="2140"/>
      <c r="E849" s="1837"/>
      <c r="F849" s="2135"/>
      <c r="G849" s="2147" t="s">
        <v>1985</v>
      </c>
      <c r="H849" s="1952"/>
      <c r="I849" s="1952"/>
      <c r="J849" s="1952"/>
      <c r="K849" s="1952"/>
      <c r="L849" s="1907"/>
      <c r="M849" s="1952"/>
    </row>
    <row r="850" spans="1:13">
      <c r="A850" s="1952"/>
      <c r="B850" s="1952"/>
      <c r="C850" s="2139" t="s">
        <v>670</v>
      </c>
      <c r="D850" s="2139"/>
      <c r="E850" s="2143"/>
      <c r="F850" s="2143"/>
      <c r="G850" s="1952"/>
      <c r="H850" s="1952"/>
      <c r="I850" s="1952"/>
      <c r="J850" s="1952"/>
      <c r="K850" s="1952"/>
      <c r="L850" s="1907"/>
      <c r="M850" s="1952"/>
    </row>
    <row r="851" spans="1:13">
      <c r="C851" s="2147" t="s">
        <v>1972</v>
      </c>
      <c r="D851" s="2147"/>
      <c r="E851" s="2146"/>
      <c r="F851" s="2146"/>
      <c r="L851" s="1907"/>
      <c r="M851" s="1952"/>
    </row>
    <row r="852" spans="1:13">
      <c r="A852" s="1903"/>
      <c r="B852" s="1904" t="s">
        <v>927</v>
      </c>
      <c r="C852" s="1905" t="s">
        <v>914</v>
      </c>
      <c r="D852" s="1909">
        <v>1</v>
      </c>
      <c r="E852" s="1910" t="s">
        <v>5</v>
      </c>
      <c r="F852" s="1906">
        <v>23000</v>
      </c>
      <c r="G852" s="1906">
        <f t="shared" si="122"/>
        <v>6900</v>
      </c>
      <c r="H852" s="1906">
        <f t="shared" si="123"/>
        <v>23000</v>
      </c>
      <c r="I852" s="1906">
        <f t="shared" si="124"/>
        <v>6900</v>
      </c>
      <c r="J852" s="1906">
        <f t="shared" si="125"/>
        <v>29900</v>
      </c>
      <c r="K852" s="1907"/>
      <c r="L852" s="1907" t="s">
        <v>1935</v>
      </c>
      <c r="M852" s="1952" t="s">
        <v>622</v>
      </c>
    </row>
    <row r="853" spans="1:13">
      <c r="A853" s="1903"/>
      <c r="B853" s="1904" t="s">
        <v>928</v>
      </c>
      <c r="C853" s="1905" t="s">
        <v>914</v>
      </c>
      <c r="D853" s="1909">
        <v>1</v>
      </c>
      <c r="E853" s="1910" t="s">
        <v>5</v>
      </c>
      <c r="F853" s="1906">
        <v>29500</v>
      </c>
      <c r="G853" s="1906">
        <f t="shared" si="122"/>
        <v>8850</v>
      </c>
      <c r="H853" s="1906">
        <f t="shared" si="123"/>
        <v>29500</v>
      </c>
      <c r="I853" s="1906">
        <f t="shared" si="124"/>
        <v>8850</v>
      </c>
      <c r="J853" s="1906">
        <f t="shared" si="125"/>
        <v>38350</v>
      </c>
      <c r="K853" s="1907"/>
      <c r="L853" s="1907" t="s">
        <v>1935</v>
      </c>
      <c r="M853" s="1952" t="s">
        <v>622</v>
      </c>
    </row>
    <row r="854" spans="1:13">
      <c r="A854" s="1903"/>
      <c r="B854" s="2386" t="s">
        <v>203</v>
      </c>
      <c r="C854" s="2386"/>
      <c r="D854" s="1909"/>
      <c r="E854" s="1910"/>
      <c r="F854" s="1906"/>
      <c r="G854" s="1906"/>
      <c r="H854" s="1906"/>
      <c r="I854" s="1906"/>
      <c r="J854" s="1906"/>
      <c r="K854" s="1907"/>
    </row>
    <row r="855" spans="1:13" s="1872" customFormat="1">
      <c r="A855" s="1965"/>
      <c r="B855" s="1966"/>
      <c r="C855" s="1967" t="s">
        <v>865</v>
      </c>
      <c r="D855" s="1909">
        <v>9</v>
      </c>
      <c r="E855" s="1968" t="s">
        <v>5</v>
      </c>
      <c r="F855" s="1969">
        <v>4850</v>
      </c>
      <c r="G855" s="1970">
        <v>450</v>
      </c>
      <c r="H855" s="1969">
        <f t="shared" ref="H855:H873" si="126">F855*D855</f>
        <v>43650</v>
      </c>
      <c r="I855" s="1969">
        <f t="shared" ref="I855:I873" si="127">G855*D855</f>
        <v>4050</v>
      </c>
      <c r="J855" s="1969">
        <f t="shared" ref="J855:J873" si="128">SUM(H855:I855)</f>
        <v>47700</v>
      </c>
      <c r="K855" s="1977"/>
      <c r="M855" s="1976" t="s">
        <v>1879</v>
      </c>
    </row>
    <row r="856" spans="1:13" s="1976" customFormat="1">
      <c r="A856" s="1972"/>
      <c r="B856" s="1973"/>
      <c r="C856" s="1974" t="s">
        <v>866</v>
      </c>
      <c r="D856" s="1930">
        <f>D855</f>
        <v>9</v>
      </c>
      <c r="E856" s="1909" t="s">
        <v>5</v>
      </c>
      <c r="F856" s="1968">
        <v>120</v>
      </c>
      <c r="G856" s="1975">
        <v>0</v>
      </c>
      <c r="H856" s="1975">
        <f t="shared" si="126"/>
        <v>1080</v>
      </c>
      <c r="I856" s="1975">
        <f t="shared" si="127"/>
        <v>0</v>
      </c>
      <c r="J856" s="1975">
        <f t="shared" si="128"/>
        <v>1080</v>
      </c>
      <c r="K856" s="1977"/>
      <c r="L856" s="1872"/>
      <c r="M856" s="1885" t="s">
        <v>1879</v>
      </c>
    </row>
    <row r="857" spans="1:13" s="1976" customFormat="1">
      <c r="A857" s="1972"/>
      <c r="B857" s="1973"/>
      <c r="C857" s="1974" t="s">
        <v>867</v>
      </c>
      <c r="D857" s="1930">
        <f>D855</f>
        <v>9</v>
      </c>
      <c r="E857" s="1909" t="s">
        <v>5</v>
      </c>
      <c r="F857" s="1968">
        <v>80</v>
      </c>
      <c r="G857" s="1975">
        <v>35</v>
      </c>
      <c r="H857" s="1975">
        <f t="shared" si="126"/>
        <v>720</v>
      </c>
      <c r="I857" s="1975">
        <f t="shared" si="127"/>
        <v>315</v>
      </c>
      <c r="J857" s="1975">
        <f t="shared" si="128"/>
        <v>1035</v>
      </c>
      <c r="K857" s="1977"/>
      <c r="L857" s="1872"/>
      <c r="M857" s="1885" t="s">
        <v>1879</v>
      </c>
    </row>
    <row r="858" spans="1:13" s="1872" customFormat="1">
      <c r="A858" s="1965"/>
      <c r="B858" s="1966"/>
      <c r="C858" s="1967" t="s">
        <v>879</v>
      </c>
      <c r="D858" s="1909">
        <v>1</v>
      </c>
      <c r="E858" s="1968" t="s">
        <v>5</v>
      </c>
      <c r="F858" s="1969">
        <v>7690</v>
      </c>
      <c r="G858" s="1970">
        <v>450</v>
      </c>
      <c r="H858" s="1969">
        <f t="shared" si="126"/>
        <v>7690</v>
      </c>
      <c r="I858" s="1969">
        <f t="shared" si="127"/>
        <v>450</v>
      </c>
      <c r="J858" s="1969">
        <f t="shared" si="128"/>
        <v>8140</v>
      </c>
      <c r="K858" s="1977"/>
      <c r="L858" s="1971" t="s">
        <v>1899</v>
      </c>
      <c r="M858" s="1952" t="s">
        <v>1907</v>
      </c>
    </row>
    <row r="859" spans="1:13" s="1872" customFormat="1">
      <c r="A859" s="1972"/>
      <c r="B859" s="1973"/>
      <c r="C859" s="1974" t="s">
        <v>866</v>
      </c>
      <c r="D859" s="1930">
        <f>D858</f>
        <v>1</v>
      </c>
      <c r="E859" s="1909" t="s">
        <v>5</v>
      </c>
      <c r="F859" s="1968">
        <v>120</v>
      </c>
      <c r="G859" s="1975">
        <v>0</v>
      </c>
      <c r="H859" s="1975">
        <f t="shared" si="126"/>
        <v>120</v>
      </c>
      <c r="I859" s="1975">
        <f t="shared" si="127"/>
        <v>0</v>
      </c>
      <c r="J859" s="1975">
        <f t="shared" si="128"/>
        <v>120</v>
      </c>
      <c r="K859" s="1977"/>
      <c r="M859" s="1885" t="s">
        <v>1879</v>
      </c>
    </row>
    <row r="860" spans="1:13" s="1872" customFormat="1">
      <c r="A860" s="1965"/>
      <c r="B860" s="1966"/>
      <c r="C860" s="1967" t="s">
        <v>867</v>
      </c>
      <c r="D860" s="1909">
        <f>D858</f>
        <v>1</v>
      </c>
      <c r="E860" s="1968" t="s">
        <v>5</v>
      </c>
      <c r="F860" s="1969">
        <v>80</v>
      </c>
      <c r="G860" s="1970">
        <v>35</v>
      </c>
      <c r="H860" s="1969">
        <f t="shared" si="126"/>
        <v>80</v>
      </c>
      <c r="I860" s="1969">
        <f t="shared" si="127"/>
        <v>35</v>
      </c>
      <c r="J860" s="1969">
        <f t="shared" si="128"/>
        <v>115</v>
      </c>
      <c r="K860" s="1977"/>
      <c r="M860" s="1976" t="s">
        <v>1879</v>
      </c>
    </row>
    <row r="861" spans="1:13" s="1872" customFormat="1">
      <c r="A861" s="1965"/>
      <c r="B861" s="1966"/>
      <c r="C861" s="1967" t="s">
        <v>868</v>
      </c>
      <c r="D861" s="1909">
        <v>5</v>
      </c>
      <c r="E861" s="1968" t="s">
        <v>5</v>
      </c>
      <c r="F861" s="1969">
        <v>5500</v>
      </c>
      <c r="G861" s="1970">
        <v>450</v>
      </c>
      <c r="H861" s="1969">
        <f t="shared" si="126"/>
        <v>27500</v>
      </c>
      <c r="I861" s="1969">
        <f t="shared" si="127"/>
        <v>2250</v>
      </c>
      <c r="J861" s="1969">
        <f t="shared" si="128"/>
        <v>29750</v>
      </c>
      <c r="K861" s="1977"/>
      <c r="M861" s="1976" t="s">
        <v>1879</v>
      </c>
    </row>
    <row r="862" spans="1:13" s="1976" customFormat="1">
      <c r="A862" s="1972"/>
      <c r="B862" s="1973"/>
      <c r="C862" s="1974" t="s">
        <v>869</v>
      </c>
      <c r="D862" s="1930">
        <v>9</v>
      </c>
      <c r="E862" s="1909" t="s">
        <v>5</v>
      </c>
      <c r="F862" s="1968">
        <v>3500</v>
      </c>
      <c r="G862" s="1975">
        <v>450</v>
      </c>
      <c r="H862" s="1975">
        <f t="shared" si="126"/>
        <v>31500</v>
      </c>
      <c r="I862" s="1975">
        <f t="shared" si="127"/>
        <v>4050</v>
      </c>
      <c r="J862" s="1975">
        <f t="shared" si="128"/>
        <v>35550</v>
      </c>
      <c r="K862" s="1977"/>
      <c r="L862" s="1872"/>
      <c r="M862" s="1885" t="s">
        <v>1879</v>
      </c>
    </row>
    <row r="863" spans="1:13" s="1872" customFormat="1">
      <c r="A863" s="1960"/>
      <c r="B863" s="1961"/>
      <c r="C863" s="1962" t="s">
        <v>870</v>
      </c>
      <c r="D863" s="1950">
        <f>D862</f>
        <v>9</v>
      </c>
      <c r="E863" s="1898" t="s">
        <v>5</v>
      </c>
      <c r="F863" s="1968">
        <v>900</v>
      </c>
      <c r="G863" s="1975">
        <v>150</v>
      </c>
      <c r="H863" s="1964">
        <f t="shared" si="126"/>
        <v>8100</v>
      </c>
      <c r="I863" s="1964">
        <f t="shared" si="127"/>
        <v>1350</v>
      </c>
      <c r="J863" s="1964">
        <f t="shared" si="128"/>
        <v>9450</v>
      </c>
      <c r="K863" s="1989"/>
      <c r="M863" s="1885" t="s">
        <v>1879</v>
      </c>
    </row>
    <row r="864" spans="1:13" s="1872" customFormat="1">
      <c r="A864" s="1972"/>
      <c r="B864" s="1973"/>
      <c r="C864" s="1974" t="s">
        <v>871</v>
      </c>
      <c r="D864" s="1930">
        <f>D862</f>
        <v>9</v>
      </c>
      <c r="E864" s="1909" t="s">
        <v>5</v>
      </c>
      <c r="F864" s="1963">
        <v>210</v>
      </c>
      <c r="G864" s="1975">
        <v>0</v>
      </c>
      <c r="H864" s="1975">
        <f t="shared" si="126"/>
        <v>1890</v>
      </c>
      <c r="I864" s="1975">
        <f t="shared" si="127"/>
        <v>0</v>
      </c>
      <c r="J864" s="1975">
        <f t="shared" si="128"/>
        <v>1890</v>
      </c>
      <c r="K864" s="1977"/>
      <c r="M864" s="1885" t="s">
        <v>1879</v>
      </c>
    </row>
    <row r="865" spans="1:13" s="1872" customFormat="1">
      <c r="A865" s="1972"/>
      <c r="B865" s="1973"/>
      <c r="C865" s="1974" t="s">
        <v>872</v>
      </c>
      <c r="D865" s="1930">
        <f>D862</f>
        <v>9</v>
      </c>
      <c r="E865" s="1909" t="s">
        <v>5</v>
      </c>
      <c r="F865" s="1968">
        <v>310</v>
      </c>
      <c r="G865" s="1975">
        <v>0</v>
      </c>
      <c r="H865" s="1975">
        <f t="shared" si="126"/>
        <v>2790</v>
      </c>
      <c r="I865" s="1975">
        <f t="shared" si="127"/>
        <v>0</v>
      </c>
      <c r="J865" s="1975">
        <f t="shared" si="128"/>
        <v>2790</v>
      </c>
      <c r="K865" s="1977"/>
      <c r="M865" s="1885" t="s">
        <v>1879</v>
      </c>
    </row>
    <row r="866" spans="1:13" s="1872" customFormat="1">
      <c r="A866" s="1972"/>
      <c r="B866" s="1973"/>
      <c r="C866" s="1974" t="s">
        <v>873</v>
      </c>
      <c r="D866" s="1930">
        <f>D862</f>
        <v>9</v>
      </c>
      <c r="E866" s="1909" t="s">
        <v>5</v>
      </c>
      <c r="F866" s="1968">
        <v>120</v>
      </c>
      <c r="G866" s="1975">
        <v>0</v>
      </c>
      <c r="H866" s="1975">
        <f t="shared" si="126"/>
        <v>1080</v>
      </c>
      <c r="I866" s="1975">
        <f t="shared" si="127"/>
        <v>0</v>
      </c>
      <c r="J866" s="1975">
        <f t="shared" si="128"/>
        <v>1080</v>
      </c>
      <c r="K866" s="1977"/>
      <c r="M866" s="1885" t="s">
        <v>1879</v>
      </c>
    </row>
    <row r="867" spans="1:13" s="1872" customFormat="1">
      <c r="A867" s="1972"/>
      <c r="B867" s="1973"/>
      <c r="C867" s="1974" t="s">
        <v>867</v>
      </c>
      <c r="D867" s="1930">
        <f>D862</f>
        <v>9</v>
      </c>
      <c r="E867" s="1909" t="s">
        <v>5</v>
      </c>
      <c r="F867" s="1968">
        <v>80</v>
      </c>
      <c r="G867" s="1975">
        <v>35</v>
      </c>
      <c r="H867" s="1975">
        <f t="shared" si="126"/>
        <v>720</v>
      </c>
      <c r="I867" s="1975">
        <f t="shared" si="127"/>
        <v>315</v>
      </c>
      <c r="J867" s="1975">
        <f t="shared" si="128"/>
        <v>1035</v>
      </c>
      <c r="K867" s="1977"/>
      <c r="M867" s="1885" t="s">
        <v>1879</v>
      </c>
    </row>
    <row r="868" spans="1:13" s="1872" customFormat="1">
      <c r="A868" s="1972"/>
      <c r="B868" s="1973"/>
      <c r="C868" s="1974" t="s">
        <v>886</v>
      </c>
      <c r="D868" s="1930">
        <v>1</v>
      </c>
      <c r="E868" s="1909" t="s">
        <v>5</v>
      </c>
      <c r="F868" s="1968">
        <v>3500</v>
      </c>
      <c r="G868" s="1975">
        <v>450</v>
      </c>
      <c r="H868" s="1975">
        <f t="shared" si="126"/>
        <v>3500</v>
      </c>
      <c r="I868" s="1975">
        <f t="shared" si="127"/>
        <v>450</v>
      </c>
      <c r="J868" s="1975">
        <f t="shared" si="128"/>
        <v>3950</v>
      </c>
      <c r="K868" s="1977"/>
      <c r="M868" s="1885" t="s">
        <v>1879</v>
      </c>
    </row>
    <row r="869" spans="1:13" s="1872" customFormat="1">
      <c r="A869" s="1972"/>
      <c r="B869" s="1973"/>
      <c r="C869" s="1974" t="s">
        <v>880</v>
      </c>
      <c r="D869" s="1930">
        <f>D868</f>
        <v>1</v>
      </c>
      <c r="E869" s="1909" t="s">
        <v>5</v>
      </c>
      <c r="F869" s="1968">
        <v>900</v>
      </c>
      <c r="G869" s="1975">
        <v>150</v>
      </c>
      <c r="H869" s="1975">
        <f t="shared" si="126"/>
        <v>900</v>
      </c>
      <c r="I869" s="1975">
        <f t="shared" si="127"/>
        <v>150</v>
      </c>
      <c r="J869" s="1975">
        <f t="shared" si="128"/>
        <v>1050</v>
      </c>
      <c r="K869" s="1977"/>
      <c r="M869" s="1885" t="s">
        <v>1879</v>
      </c>
    </row>
    <row r="870" spans="1:13" s="1872" customFormat="1">
      <c r="A870" s="1972"/>
      <c r="B870" s="1973"/>
      <c r="C870" s="1974" t="s">
        <v>881</v>
      </c>
      <c r="D870" s="1930">
        <f>D868</f>
        <v>1</v>
      </c>
      <c r="E870" s="1909" t="s">
        <v>5</v>
      </c>
      <c r="F870" s="1963">
        <v>210</v>
      </c>
      <c r="G870" s="1975">
        <v>0</v>
      </c>
      <c r="H870" s="1975">
        <f t="shared" si="126"/>
        <v>210</v>
      </c>
      <c r="I870" s="1975">
        <f t="shared" si="127"/>
        <v>0</v>
      </c>
      <c r="J870" s="1975">
        <f t="shared" si="128"/>
        <v>210</v>
      </c>
      <c r="K870" s="1977"/>
      <c r="M870" s="1885" t="s">
        <v>1879</v>
      </c>
    </row>
    <row r="871" spans="1:13" s="1872" customFormat="1">
      <c r="A871" s="1972"/>
      <c r="B871" s="1973"/>
      <c r="C871" s="1974" t="s">
        <v>882</v>
      </c>
      <c r="D871" s="1930">
        <f>D868</f>
        <v>1</v>
      </c>
      <c r="E871" s="1909" t="s">
        <v>5</v>
      </c>
      <c r="F871" s="1968">
        <v>310</v>
      </c>
      <c r="G871" s="1975">
        <v>0</v>
      </c>
      <c r="H871" s="1975">
        <f t="shared" si="126"/>
        <v>310</v>
      </c>
      <c r="I871" s="1975">
        <f t="shared" si="127"/>
        <v>0</v>
      </c>
      <c r="J871" s="1975">
        <f t="shared" si="128"/>
        <v>310</v>
      </c>
      <c r="K871" s="1977"/>
      <c r="M871" s="1885" t="s">
        <v>1879</v>
      </c>
    </row>
    <row r="872" spans="1:13" s="1872" customFormat="1">
      <c r="A872" s="1972"/>
      <c r="B872" s="1973"/>
      <c r="C872" s="1974" t="s">
        <v>873</v>
      </c>
      <c r="D872" s="1930">
        <f>D868</f>
        <v>1</v>
      </c>
      <c r="E872" s="1909" t="s">
        <v>5</v>
      </c>
      <c r="F872" s="1968">
        <v>120</v>
      </c>
      <c r="G872" s="1975">
        <v>0</v>
      </c>
      <c r="H872" s="1975">
        <f t="shared" si="126"/>
        <v>120</v>
      </c>
      <c r="I872" s="1975">
        <f t="shared" si="127"/>
        <v>0</v>
      </c>
      <c r="J872" s="1975">
        <f t="shared" si="128"/>
        <v>120</v>
      </c>
      <c r="K872" s="1977"/>
      <c r="M872" s="1885" t="s">
        <v>1879</v>
      </c>
    </row>
    <row r="873" spans="1:13" s="1872" customFormat="1">
      <c r="A873" s="1972"/>
      <c r="B873" s="1973"/>
      <c r="C873" s="1974" t="s">
        <v>867</v>
      </c>
      <c r="D873" s="1930">
        <f>D868</f>
        <v>1</v>
      </c>
      <c r="E873" s="1909" t="s">
        <v>5</v>
      </c>
      <c r="F873" s="1968">
        <v>80</v>
      </c>
      <c r="G873" s="1975">
        <v>35</v>
      </c>
      <c r="H873" s="1975">
        <f t="shared" si="126"/>
        <v>80</v>
      </c>
      <c r="I873" s="1975">
        <f t="shared" si="127"/>
        <v>35</v>
      </c>
      <c r="J873" s="1975">
        <f t="shared" si="128"/>
        <v>115</v>
      </c>
      <c r="K873" s="1977"/>
      <c r="M873" s="1885" t="s">
        <v>1879</v>
      </c>
    </row>
    <row r="874" spans="1:13" s="1872" customFormat="1">
      <c r="A874" s="1903"/>
      <c r="B874" s="1904"/>
      <c r="C874" s="1905" t="s">
        <v>883</v>
      </c>
      <c r="D874" s="1898">
        <v>1</v>
      </c>
      <c r="E874" s="1899" t="s">
        <v>5</v>
      </c>
      <c r="F874" s="1900">
        <v>3400</v>
      </c>
      <c r="G874" s="1900">
        <v>105</v>
      </c>
      <c r="H874" s="1906">
        <f>+F874*D874</f>
        <v>3400</v>
      </c>
      <c r="I874" s="1906">
        <f>+G874*D874</f>
        <v>105</v>
      </c>
      <c r="J874" s="1906">
        <f>+H874+I874</f>
        <v>3505</v>
      </c>
      <c r="K874" s="1977"/>
      <c r="M874" s="1885" t="s">
        <v>1879</v>
      </c>
    </row>
    <row r="875" spans="1:13" s="1872" customFormat="1">
      <c r="A875" s="1863"/>
      <c r="B875" s="1864"/>
      <c r="C875" s="1865"/>
      <c r="D875" s="1866"/>
      <c r="E875" s="1867"/>
      <c r="F875" s="1868"/>
      <c r="G875" s="1868"/>
      <c r="H875" s="1868"/>
      <c r="I875" s="1868"/>
      <c r="J875" s="1868"/>
      <c r="K875" s="1869"/>
      <c r="M875" s="1885"/>
    </row>
    <row r="876" spans="1:13" s="1872" customFormat="1">
      <c r="A876" s="1840"/>
      <c r="B876" s="1860"/>
      <c r="C876" s="2133" t="s">
        <v>133</v>
      </c>
      <c r="D876" s="2134"/>
      <c r="E876" s="2135"/>
      <c r="F876" s="2136"/>
      <c r="G876" s="2137"/>
      <c r="H876" s="2137"/>
      <c r="I876" s="2137"/>
      <c r="J876" s="2137"/>
      <c r="K876" s="2137"/>
      <c r="M876" s="1885"/>
    </row>
    <row r="877" spans="1:13" s="1872" customFormat="1">
      <c r="A877" s="1840"/>
      <c r="B877" s="2138"/>
      <c r="C877" s="2139" t="s">
        <v>1769</v>
      </c>
      <c r="D877" s="2140"/>
      <c r="E877" s="1861"/>
      <c r="F877" s="2135"/>
      <c r="G877" s="2139" t="s">
        <v>134</v>
      </c>
      <c r="H877" s="2138"/>
      <c r="I877" s="2138"/>
      <c r="J877" s="2138"/>
      <c r="K877" s="2138"/>
      <c r="M877" s="1885"/>
    </row>
    <row r="878" spans="1:13" s="1872" customFormat="1">
      <c r="A878" s="1840"/>
      <c r="B878" s="1871"/>
      <c r="C878" s="2141" t="s">
        <v>1970</v>
      </c>
      <c r="D878" s="2140"/>
      <c r="E878" s="2142"/>
      <c r="F878" s="2143"/>
      <c r="G878" s="2144" t="s">
        <v>1971</v>
      </c>
      <c r="H878" s="2145"/>
      <c r="I878" s="2145"/>
      <c r="J878" s="2145"/>
      <c r="K878" s="2145"/>
      <c r="M878" s="1885"/>
    </row>
    <row r="879" spans="1:13" s="1872" customFormat="1">
      <c r="A879" s="1837"/>
      <c r="B879" s="2138"/>
      <c r="C879" s="2139" t="s">
        <v>2031</v>
      </c>
      <c r="D879" s="2140"/>
      <c r="E879" s="1837"/>
      <c r="F879" s="2146"/>
      <c r="G879" s="2139" t="s">
        <v>2031</v>
      </c>
      <c r="H879" s="1837"/>
      <c r="I879" s="1837"/>
      <c r="J879" s="1837"/>
      <c r="K879" s="1837"/>
      <c r="M879" s="1885"/>
    </row>
    <row r="880" spans="1:13" s="1872" customFormat="1">
      <c r="A880" s="1952"/>
      <c r="B880" s="1871"/>
      <c r="C880" s="2147" t="s">
        <v>1984</v>
      </c>
      <c r="D880" s="2140"/>
      <c r="E880" s="1837"/>
      <c r="F880" s="2135"/>
      <c r="G880" s="2147" t="s">
        <v>1985</v>
      </c>
      <c r="H880" s="1952"/>
      <c r="I880" s="1952"/>
      <c r="J880" s="1952"/>
      <c r="K880" s="1952"/>
      <c r="M880" s="1885"/>
    </row>
    <row r="881" spans="1:14" s="1872" customFormat="1">
      <c r="A881" s="1952"/>
      <c r="B881" s="1952"/>
      <c r="C881" s="2139" t="s">
        <v>670</v>
      </c>
      <c r="D881" s="2139"/>
      <c r="E881" s="2143"/>
      <c r="F881" s="2143"/>
      <c r="G881" s="1952"/>
      <c r="H881" s="1952"/>
      <c r="I881" s="1952"/>
      <c r="J881" s="1952"/>
      <c r="K881" s="1952"/>
      <c r="M881" s="1885"/>
    </row>
    <row r="882" spans="1:14" s="1872" customFormat="1">
      <c r="A882" s="1840"/>
      <c r="B882" s="1840"/>
      <c r="C882" s="2147" t="s">
        <v>1972</v>
      </c>
      <c r="D882" s="2147"/>
      <c r="E882" s="2146"/>
      <c r="F882" s="2146"/>
      <c r="G882" s="1870"/>
      <c r="H882" s="1870"/>
      <c r="I882" s="1870"/>
      <c r="J882" s="1870"/>
      <c r="K882" s="1871"/>
      <c r="M882" s="1885"/>
    </row>
    <row r="883" spans="1:14" s="1872" customFormat="1">
      <c r="A883" s="1903"/>
      <c r="B883" s="1904"/>
      <c r="C883" s="1905" t="s">
        <v>884</v>
      </c>
      <c r="D883" s="1898">
        <v>1</v>
      </c>
      <c r="E883" s="1899" t="s">
        <v>5</v>
      </c>
      <c r="F883" s="1900">
        <v>3400</v>
      </c>
      <c r="G883" s="1900">
        <v>105</v>
      </c>
      <c r="H883" s="1906">
        <f>+F883*D883</f>
        <v>3400</v>
      </c>
      <c r="I883" s="1906">
        <f>+G883*D883</f>
        <v>105</v>
      </c>
      <c r="J883" s="1906">
        <f>+H883+I883</f>
        <v>3505</v>
      </c>
      <c r="K883" s="1977"/>
      <c r="M883" s="1885" t="s">
        <v>1879</v>
      </c>
    </row>
    <row r="884" spans="1:14">
      <c r="A884" s="1903"/>
      <c r="B884" s="1904"/>
      <c r="C884" s="1905" t="s">
        <v>885</v>
      </c>
      <c r="D884" s="1898">
        <v>1</v>
      </c>
      <c r="E884" s="1899" t="s">
        <v>5</v>
      </c>
      <c r="F884" s="1900">
        <v>220</v>
      </c>
      <c r="G884" s="1900">
        <v>70</v>
      </c>
      <c r="H884" s="1906">
        <f>+F884*D884</f>
        <v>220</v>
      </c>
      <c r="I884" s="1906">
        <f>+G884*D884</f>
        <v>70</v>
      </c>
      <c r="J884" s="1906">
        <f>+H884+I884</f>
        <v>290</v>
      </c>
      <c r="K884" s="1977"/>
      <c r="L884" s="1872"/>
      <c r="M884" s="1885" t="s">
        <v>1879</v>
      </c>
      <c r="N884" s="1861"/>
    </row>
    <row r="885" spans="1:14">
      <c r="A885" s="1972"/>
      <c r="B885" s="1973"/>
      <c r="C885" s="1974" t="s">
        <v>874</v>
      </c>
      <c r="D885" s="1930">
        <v>1</v>
      </c>
      <c r="E885" s="1909" t="s">
        <v>5</v>
      </c>
      <c r="F885" s="1968">
        <v>1142</v>
      </c>
      <c r="G885" s="1975">
        <v>70</v>
      </c>
      <c r="H885" s="1975">
        <f t="shared" ref="H885:H893" si="129">F885*D885</f>
        <v>1142</v>
      </c>
      <c r="I885" s="1975">
        <f t="shared" ref="I885:I893" si="130">G885*D885</f>
        <v>70</v>
      </c>
      <c r="J885" s="1975">
        <f t="shared" ref="J885:J893" si="131">SUM(H885:I885)</f>
        <v>1212</v>
      </c>
      <c r="L885" s="1979" t="s">
        <v>1899</v>
      </c>
      <c r="M885" s="1872" t="s">
        <v>1907</v>
      </c>
    </row>
    <row r="886" spans="1:14" s="1872" customFormat="1">
      <c r="A886" s="1972"/>
      <c r="B886" s="1973"/>
      <c r="C886" s="1974" t="s">
        <v>1897</v>
      </c>
      <c r="D886" s="1930">
        <v>1</v>
      </c>
      <c r="E886" s="1909" t="s">
        <v>5</v>
      </c>
      <c r="F886" s="1968">
        <v>3200</v>
      </c>
      <c r="G886" s="1975">
        <v>400</v>
      </c>
      <c r="H886" s="1975">
        <f>F886*D886</f>
        <v>3200</v>
      </c>
      <c r="I886" s="1975">
        <f>G886*D886</f>
        <v>400</v>
      </c>
      <c r="J886" s="1975">
        <f>SUM(H886:I886)</f>
        <v>3600</v>
      </c>
      <c r="L886" s="1979" t="s">
        <v>1906</v>
      </c>
      <c r="M886" s="1952" t="s">
        <v>1908</v>
      </c>
    </row>
    <row r="887" spans="1:14" s="1872" customFormat="1">
      <c r="A887" s="1972"/>
      <c r="B887" s="1973"/>
      <c r="C887" s="1974" t="s">
        <v>1902</v>
      </c>
      <c r="D887" s="1930">
        <v>1</v>
      </c>
      <c r="E887" s="1909" t="s">
        <v>5</v>
      </c>
      <c r="F887" s="1968">
        <v>4000</v>
      </c>
      <c r="G887" s="1975">
        <v>400</v>
      </c>
      <c r="H887" s="1975">
        <f>F887*D887</f>
        <v>4000</v>
      </c>
      <c r="I887" s="1975">
        <f>G887*D887</f>
        <v>400</v>
      </c>
      <c r="J887" s="1975">
        <f>SUM(H887:I887)</f>
        <v>4400</v>
      </c>
      <c r="L887" s="1979" t="s">
        <v>1906</v>
      </c>
      <c r="M887" s="1952" t="s">
        <v>1908</v>
      </c>
    </row>
    <row r="888" spans="1:14" s="1872" customFormat="1">
      <c r="A888" s="1972"/>
      <c r="B888" s="1973"/>
      <c r="C888" s="1974" t="s">
        <v>377</v>
      </c>
      <c r="D888" s="1930">
        <v>10</v>
      </c>
      <c r="E888" s="1909" t="s">
        <v>5</v>
      </c>
      <c r="F888" s="1968">
        <v>300</v>
      </c>
      <c r="G888" s="1975">
        <v>70</v>
      </c>
      <c r="H888" s="1975">
        <f t="shared" si="129"/>
        <v>3000</v>
      </c>
      <c r="I888" s="1975">
        <f t="shared" si="130"/>
        <v>700</v>
      </c>
      <c r="J888" s="1975">
        <f t="shared" si="131"/>
        <v>3700</v>
      </c>
      <c r="L888" s="1977"/>
      <c r="M888" s="1885" t="s">
        <v>1879</v>
      </c>
    </row>
    <row r="889" spans="1:14" s="1872" customFormat="1">
      <c r="A889" s="1972"/>
      <c r="B889" s="1973"/>
      <c r="C889" s="1974" t="s">
        <v>867</v>
      </c>
      <c r="D889" s="1930">
        <f>D888</f>
        <v>10</v>
      </c>
      <c r="E889" s="1909" t="s">
        <v>5</v>
      </c>
      <c r="F889" s="1968">
        <v>80</v>
      </c>
      <c r="G889" s="1975">
        <v>35</v>
      </c>
      <c r="H889" s="1975">
        <f t="shared" si="129"/>
        <v>800</v>
      </c>
      <c r="I889" s="1975">
        <f t="shared" si="130"/>
        <v>350</v>
      </c>
      <c r="J889" s="1975">
        <f t="shared" si="131"/>
        <v>1150</v>
      </c>
      <c r="L889" s="1977"/>
      <c r="M889" s="1885" t="s">
        <v>1879</v>
      </c>
    </row>
    <row r="890" spans="1:14" s="1872" customFormat="1">
      <c r="A890" s="1903"/>
      <c r="B890" s="1904"/>
      <c r="C890" s="1993" t="s">
        <v>376</v>
      </c>
      <c r="D890" s="1981">
        <v>10</v>
      </c>
      <c r="E890" s="1903" t="s">
        <v>5</v>
      </c>
      <c r="F890" s="1996">
        <v>390</v>
      </c>
      <c r="G890" s="1996">
        <v>120</v>
      </c>
      <c r="H890" s="1975">
        <f t="shared" si="129"/>
        <v>3900</v>
      </c>
      <c r="I890" s="1975">
        <f t="shared" si="130"/>
        <v>1200</v>
      </c>
      <c r="J890" s="1975">
        <f t="shared" si="131"/>
        <v>5100</v>
      </c>
      <c r="L890" s="1977"/>
      <c r="M890" s="1885" t="s">
        <v>1879</v>
      </c>
    </row>
    <row r="891" spans="1:14" s="1872" customFormat="1">
      <c r="A891" s="1972"/>
      <c r="B891" s="1973"/>
      <c r="C891" s="1974" t="s">
        <v>875</v>
      </c>
      <c r="D891" s="1930">
        <v>3</v>
      </c>
      <c r="E891" s="1909" t="s">
        <v>5</v>
      </c>
      <c r="F891" s="1968">
        <v>125</v>
      </c>
      <c r="G891" s="1975">
        <v>25</v>
      </c>
      <c r="H891" s="1975">
        <f t="shared" si="129"/>
        <v>375</v>
      </c>
      <c r="I891" s="1975">
        <f t="shared" si="130"/>
        <v>75</v>
      </c>
      <c r="J891" s="1975">
        <f t="shared" si="131"/>
        <v>450</v>
      </c>
      <c r="L891" s="1977"/>
      <c r="M891" s="1885" t="s">
        <v>1879</v>
      </c>
    </row>
    <row r="892" spans="1:14">
      <c r="A892" s="1972"/>
      <c r="B892" s="1973"/>
      <c r="C892" s="1974" t="s">
        <v>878</v>
      </c>
      <c r="D892" s="1930">
        <v>12</v>
      </c>
      <c r="E892" s="1909" t="s">
        <v>5</v>
      </c>
      <c r="F892" s="1968">
        <v>150</v>
      </c>
      <c r="G892" s="1975">
        <v>75</v>
      </c>
      <c r="H892" s="1975">
        <f t="shared" si="129"/>
        <v>1800</v>
      </c>
      <c r="I892" s="1975">
        <f t="shared" si="130"/>
        <v>900</v>
      </c>
      <c r="J892" s="1975">
        <f t="shared" si="131"/>
        <v>2700</v>
      </c>
      <c r="L892" s="1977"/>
      <c r="M892" s="1885" t="s">
        <v>1879</v>
      </c>
      <c r="N892" s="1861"/>
    </row>
    <row r="893" spans="1:14">
      <c r="A893" s="1972"/>
      <c r="B893" s="1973"/>
      <c r="C893" s="1974" t="s">
        <v>1778</v>
      </c>
      <c r="D893" s="1930">
        <v>7.8</v>
      </c>
      <c r="E893" s="1909" t="s">
        <v>86</v>
      </c>
      <c r="F893" s="1968">
        <v>2850</v>
      </c>
      <c r="G893" s="1975">
        <v>198</v>
      </c>
      <c r="H893" s="1975">
        <f t="shared" si="129"/>
        <v>22230</v>
      </c>
      <c r="I893" s="1975">
        <f t="shared" si="130"/>
        <v>1544.3999999999999</v>
      </c>
      <c r="J893" s="1975">
        <f t="shared" si="131"/>
        <v>23774.400000000001</v>
      </c>
      <c r="L893" s="1977" t="s">
        <v>1922</v>
      </c>
      <c r="M893" s="1885" t="s">
        <v>1898</v>
      </c>
      <c r="N893" s="1861"/>
    </row>
    <row r="894" spans="1:14">
      <c r="A894" s="1972"/>
      <c r="B894" s="1973"/>
      <c r="C894" s="1974" t="s">
        <v>877</v>
      </c>
      <c r="D894" s="1930">
        <v>6.5</v>
      </c>
      <c r="E894" s="1909" t="s">
        <v>86</v>
      </c>
      <c r="F894" s="1968">
        <v>3028</v>
      </c>
      <c r="G894" s="1975">
        <v>392</v>
      </c>
      <c r="H894" s="1975">
        <f>ROUND(F894*D894,2)</f>
        <v>19682</v>
      </c>
      <c r="I894" s="1975">
        <f>ROUND(G894*D894,2)</f>
        <v>2548</v>
      </c>
      <c r="J894" s="1975">
        <f>+H894+I894</f>
        <v>22230</v>
      </c>
      <c r="L894" s="1977"/>
      <c r="M894" s="1885" t="s">
        <v>1898</v>
      </c>
      <c r="N894" s="1861"/>
    </row>
    <row r="895" spans="1:14">
      <c r="A895" s="1972"/>
      <c r="B895" s="1973"/>
      <c r="C895" s="1974" t="s">
        <v>1075</v>
      </c>
      <c r="D895" s="1930">
        <v>28.45</v>
      </c>
      <c r="E895" s="1909" t="s">
        <v>86</v>
      </c>
      <c r="F895" s="1968">
        <v>8500</v>
      </c>
      <c r="G895" s="1975">
        <v>2200</v>
      </c>
      <c r="H895" s="1975">
        <f>ROUND(F895*D895,2)</f>
        <v>241825</v>
      </c>
      <c r="I895" s="1975">
        <f>ROUND(G895*D895,2)</f>
        <v>62590</v>
      </c>
      <c r="J895" s="1975">
        <f>+H895+I895</f>
        <v>304415</v>
      </c>
      <c r="L895" s="1977" t="s">
        <v>1885</v>
      </c>
      <c r="M895" s="1885" t="s">
        <v>622</v>
      </c>
      <c r="N895" s="1861"/>
    </row>
    <row r="896" spans="1:14" s="1872" customFormat="1">
      <c r="A896" s="1903"/>
      <c r="B896" s="2386" t="s">
        <v>249</v>
      </c>
      <c r="C896" s="2386"/>
      <c r="D896" s="1909"/>
      <c r="E896" s="1910"/>
      <c r="F896" s="1906"/>
      <c r="G896" s="1906"/>
      <c r="H896" s="1906"/>
      <c r="I896" s="1906"/>
      <c r="J896" s="1906"/>
      <c r="K896" s="1977"/>
      <c r="M896" s="1902"/>
    </row>
    <row r="897" spans="1:14" s="1872" customFormat="1">
      <c r="A897" s="1903"/>
      <c r="B897" s="1904" t="s">
        <v>277</v>
      </c>
      <c r="C897" s="1905" t="s">
        <v>383</v>
      </c>
      <c r="D897" s="1909"/>
      <c r="E897" s="1910"/>
      <c r="F897" s="1906"/>
      <c r="G897" s="1906"/>
      <c r="H897" s="1906"/>
      <c r="I897" s="1906"/>
      <c r="J897" s="1906"/>
      <c r="K897" s="1978"/>
      <c r="L897" s="1976"/>
      <c r="M897" s="1902"/>
    </row>
    <row r="898" spans="1:14" s="1862" customFormat="1" ht="48">
      <c r="A898" s="1911"/>
      <c r="B898" s="1912" t="s">
        <v>107</v>
      </c>
      <c r="C898" s="1990" t="s">
        <v>1915</v>
      </c>
      <c r="D898" s="1991">
        <v>24.8</v>
      </c>
      <c r="E898" s="1911" t="s">
        <v>86</v>
      </c>
      <c r="F898" s="1922">
        <v>606</v>
      </c>
      <c r="G898" s="1922">
        <v>222</v>
      </c>
      <c r="H898" s="1916">
        <f t="shared" ref="H898:H904" si="132">+F898*D898</f>
        <v>15028.800000000001</v>
      </c>
      <c r="I898" s="1916">
        <f t="shared" ref="I898:I904" si="133">+G898*D898</f>
        <v>5505.6</v>
      </c>
      <c r="J898" s="1916">
        <f t="shared" ref="J898:J904" si="134">+H898+I898</f>
        <v>20534.400000000001</v>
      </c>
      <c r="K898" s="1917"/>
      <c r="L898" s="2048"/>
      <c r="M898" s="1992" t="s">
        <v>1879</v>
      </c>
      <c r="N898" s="1852"/>
    </row>
    <row r="899" spans="1:14">
      <c r="A899" s="1903"/>
      <c r="B899" s="1904" t="s">
        <v>107</v>
      </c>
      <c r="C899" s="1993" t="s">
        <v>948</v>
      </c>
      <c r="D899" s="1981">
        <v>24.8</v>
      </c>
      <c r="E899" s="1994" t="s">
        <v>84</v>
      </c>
      <c r="F899" s="1995">
        <v>0</v>
      </c>
      <c r="G899" s="1996">
        <v>200</v>
      </c>
      <c r="H899" s="1906">
        <f t="shared" si="132"/>
        <v>0</v>
      </c>
      <c r="I899" s="1906">
        <f t="shared" si="133"/>
        <v>4960</v>
      </c>
      <c r="J899" s="1906">
        <f t="shared" si="134"/>
        <v>4960</v>
      </c>
      <c r="K899" s="1907"/>
      <c r="M899" s="1885" t="s">
        <v>1016</v>
      </c>
    </row>
    <row r="900" spans="1:14">
      <c r="A900" s="1965"/>
      <c r="B900" s="1997" t="s">
        <v>107</v>
      </c>
      <c r="C900" s="1993" t="s">
        <v>1081</v>
      </c>
      <c r="D900" s="1998">
        <v>45.5</v>
      </c>
      <c r="E900" s="1999" t="s">
        <v>87</v>
      </c>
      <c r="F900" s="1975">
        <v>28.9</v>
      </c>
      <c r="G900" s="1975">
        <v>10</v>
      </c>
      <c r="H900" s="1906">
        <f t="shared" si="132"/>
        <v>1314.95</v>
      </c>
      <c r="I900" s="1906">
        <f t="shared" si="133"/>
        <v>455</v>
      </c>
      <c r="J900" s="1906">
        <f t="shared" si="134"/>
        <v>1769.95</v>
      </c>
      <c r="K900" s="1907"/>
      <c r="M900" s="1885" t="s">
        <v>1021</v>
      </c>
    </row>
    <row r="901" spans="1:14">
      <c r="A901" s="1965"/>
      <c r="B901" s="1997" t="s">
        <v>107</v>
      </c>
      <c r="C901" s="1993" t="s">
        <v>1082</v>
      </c>
      <c r="D901" s="1998">
        <v>330.3</v>
      </c>
      <c r="E901" s="1999" t="s">
        <v>87</v>
      </c>
      <c r="F901" s="1975">
        <v>28.9</v>
      </c>
      <c r="G901" s="1975">
        <v>10</v>
      </c>
      <c r="H901" s="1906">
        <f t="shared" si="132"/>
        <v>9545.67</v>
      </c>
      <c r="I901" s="1906">
        <f t="shared" si="133"/>
        <v>3303</v>
      </c>
      <c r="J901" s="1906">
        <f t="shared" si="134"/>
        <v>12848.67</v>
      </c>
      <c r="K901" s="1907"/>
      <c r="M901" s="1885" t="s">
        <v>1021</v>
      </c>
    </row>
    <row r="902" spans="1:14">
      <c r="A902" s="1965"/>
      <c r="B902" s="1997" t="s">
        <v>107</v>
      </c>
      <c r="C902" s="1993" t="s">
        <v>1083</v>
      </c>
      <c r="D902" s="1998">
        <v>45.15</v>
      </c>
      <c r="E902" s="1999" t="s">
        <v>87</v>
      </c>
      <c r="F902" s="1975">
        <v>31</v>
      </c>
      <c r="G902" s="1975">
        <v>10</v>
      </c>
      <c r="H902" s="1906">
        <f t="shared" si="132"/>
        <v>1399.6499999999999</v>
      </c>
      <c r="I902" s="1906">
        <f t="shared" si="133"/>
        <v>451.5</v>
      </c>
      <c r="J902" s="1906">
        <f t="shared" si="134"/>
        <v>1851.1499999999999</v>
      </c>
      <c r="K902" s="1907"/>
      <c r="M902" s="1885" t="s">
        <v>1016</v>
      </c>
    </row>
    <row r="903" spans="1:14">
      <c r="A903" s="1953"/>
      <c r="B903" s="2026" t="s">
        <v>107</v>
      </c>
      <c r="C903" s="2027" t="s">
        <v>956</v>
      </c>
      <c r="D903" s="2028">
        <v>18</v>
      </c>
      <c r="E903" s="2029" t="s">
        <v>109</v>
      </c>
      <c r="F903" s="2024">
        <v>108</v>
      </c>
      <c r="G903" s="2024">
        <v>18</v>
      </c>
      <c r="H903" s="2007">
        <f t="shared" si="132"/>
        <v>1944</v>
      </c>
      <c r="I903" s="2007">
        <f t="shared" si="133"/>
        <v>324</v>
      </c>
      <c r="J903" s="2007">
        <f t="shared" si="134"/>
        <v>2268</v>
      </c>
      <c r="K903" s="1908"/>
      <c r="M903" s="1885" t="s">
        <v>1021</v>
      </c>
    </row>
    <row r="904" spans="1:14">
      <c r="A904" s="1903"/>
      <c r="B904" s="1997" t="s">
        <v>107</v>
      </c>
      <c r="C904" s="1993" t="s">
        <v>1059</v>
      </c>
      <c r="D904" s="1998">
        <v>72</v>
      </c>
      <c r="E904" s="1999" t="s">
        <v>27</v>
      </c>
      <c r="F904" s="1975">
        <v>131.32</v>
      </c>
      <c r="G904" s="1975">
        <v>0</v>
      </c>
      <c r="H904" s="1906">
        <f t="shared" si="132"/>
        <v>9455.0399999999991</v>
      </c>
      <c r="I904" s="1906">
        <f t="shared" si="133"/>
        <v>0</v>
      </c>
      <c r="J904" s="1906">
        <f t="shared" si="134"/>
        <v>9455.0399999999991</v>
      </c>
      <c r="K904" s="1907"/>
      <c r="M904" s="1885" t="s">
        <v>654</v>
      </c>
    </row>
    <row r="905" spans="1:14">
      <c r="A905" s="1863"/>
      <c r="B905" s="1864"/>
      <c r="C905" s="1865"/>
      <c r="D905" s="1866"/>
      <c r="E905" s="1867"/>
      <c r="F905" s="1868"/>
      <c r="G905" s="1868"/>
      <c r="H905" s="1868"/>
      <c r="I905" s="1868"/>
      <c r="J905" s="1868"/>
      <c r="K905" s="1869"/>
      <c r="M905" s="1885"/>
    </row>
    <row r="906" spans="1:14">
      <c r="B906" s="1860"/>
      <c r="C906" s="2133" t="s">
        <v>133</v>
      </c>
      <c r="D906" s="2134"/>
      <c r="E906" s="2135"/>
      <c r="F906" s="2136"/>
      <c r="G906" s="2137"/>
      <c r="H906" s="2137"/>
      <c r="I906" s="2137"/>
      <c r="J906" s="2137"/>
      <c r="K906" s="2137"/>
      <c r="M906" s="1885"/>
    </row>
    <row r="907" spans="1:14">
      <c r="B907" s="2138"/>
      <c r="C907" s="2139" t="s">
        <v>1769</v>
      </c>
      <c r="D907" s="2140"/>
      <c r="E907" s="1861"/>
      <c r="F907" s="2135"/>
      <c r="G907" s="2139" t="s">
        <v>134</v>
      </c>
      <c r="H907" s="2138"/>
      <c r="I907" s="2138"/>
      <c r="J907" s="2138"/>
      <c r="K907" s="2138"/>
      <c r="M907" s="1885"/>
    </row>
    <row r="908" spans="1:14">
      <c r="B908" s="1871"/>
      <c r="C908" s="2141" t="s">
        <v>1970</v>
      </c>
      <c r="D908" s="2140"/>
      <c r="E908" s="2142"/>
      <c r="F908" s="2143"/>
      <c r="G908" s="2144" t="s">
        <v>1971</v>
      </c>
      <c r="H908" s="2145"/>
      <c r="I908" s="2145"/>
      <c r="J908" s="2145"/>
      <c r="K908" s="2145"/>
      <c r="M908" s="1885"/>
    </row>
    <row r="909" spans="1:14">
      <c r="A909" s="1837"/>
      <c r="B909" s="2138"/>
      <c r="C909" s="2139" t="s">
        <v>2031</v>
      </c>
      <c r="D909" s="2140"/>
      <c r="E909" s="1837"/>
      <c r="F909" s="2146"/>
      <c r="G909" s="2139" t="s">
        <v>2031</v>
      </c>
      <c r="H909" s="1837"/>
      <c r="I909" s="1837"/>
      <c r="J909" s="1837"/>
      <c r="K909" s="1837"/>
      <c r="M909" s="1885"/>
    </row>
    <row r="910" spans="1:14">
      <c r="A910" s="1952"/>
      <c r="B910" s="1871"/>
      <c r="C910" s="2147" t="s">
        <v>1984</v>
      </c>
      <c r="D910" s="2140"/>
      <c r="E910" s="1837"/>
      <c r="F910" s="2135"/>
      <c r="G910" s="2147" t="s">
        <v>1985</v>
      </c>
      <c r="H910" s="1952"/>
      <c r="I910" s="1952"/>
      <c r="J910" s="1952"/>
      <c r="K910" s="1952"/>
      <c r="M910" s="1885"/>
    </row>
    <row r="911" spans="1:14">
      <c r="A911" s="1952"/>
      <c r="B911" s="1952"/>
      <c r="C911" s="2139" t="s">
        <v>670</v>
      </c>
      <c r="D911" s="2139"/>
      <c r="E911" s="2143"/>
      <c r="F911" s="2143"/>
      <c r="G911" s="1952"/>
      <c r="H911" s="1952"/>
      <c r="I911" s="1952"/>
      <c r="J911" s="1952"/>
      <c r="K911" s="1952"/>
      <c r="M911" s="1885"/>
    </row>
    <row r="912" spans="1:14">
      <c r="C912" s="2147" t="s">
        <v>1972</v>
      </c>
      <c r="D912" s="2147"/>
      <c r="E912" s="2146"/>
      <c r="F912" s="2146"/>
      <c r="M912" s="1885"/>
    </row>
    <row r="913" spans="1:13">
      <c r="A913" s="1903"/>
      <c r="B913" s="1904" t="s">
        <v>953</v>
      </c>
      <c r="C913" s="1905" t="s">
        <v>383</v>
      </c>
      <c r="D913" s="1909"/>
      <c r="E913" s="1910"/>
      <c r="F913" s="1906"/>
      <c r="G913" s="1906"/>
      <c r="H913" s="1906"/>
      <c r="I913" s="1906"/>
      <c r="J913" s="1906"/>
      <c r="K913" s="1907"/>
    </row>
    <row r="914" spans="1:13">
      <c r="A914" s="1903"/>
      <c r="B914" s="1904" t="s">
        <v>107</v>
      </c>
      <c r="C914" s="1993" t="s">
        <v>952</v>
      </c>
      <c r="D914" s="1981">
        <v>13.5</v>
      </c>
      <c r="E914" s="1903" t="s">
        <v>86</v>
      </c>
      <c r="F914" s="1906">
        <v>119</v>
      </c>
      <c r="G914" s="1906">
        <v>82</v>
      </c>
      <c r="H914" s="1906">
        <f>+F914*D914</f>
        <v>1606.5</v>
      </c>
      <c r="I914" s="1906">
        <f>+G914*D914</f>
        <v>1107</v>
      </c>
      <c r="J914" s="1906">
        <f>+H914+I914</f>
        <v>2713.5</v>
      </c>
      <c r="K914" s="1907"/>
      <c r="M914" s="1885" t="s">
        <v>1076</v>
      </c>
    </row>
    <row r="915" spans="1:13">
      <c r="A915" s="1903"/>
      <c r="B915" s="1904" t="s">
        <v>107</v>
      </c>
      <c r="C915" s="1993" t="s">
        <v>957</v>
      </c>
      <c r="D915" s="1981">
        <v>20.399999999999999</v>
      </c>
      <c r="E915" s="1994" t="s">
        <v>84</v>
      </c>
      <c r="F915" s="1995">
        <v>200</v>
      </c>
      <c r="G915" s="1996">
        <v>40</v>
      </c>
      <c r="H915" s="1906">
        <f>+F915*D915</f>
        <v>4079.9999999999995</v>
      </c>
      <c r="I915" s="1906">
        <f>+G915*D915</f>
        <v>816</v>
      </c>
      <c r="J915" s="1906">
        <f>+H915+I915</f>
        <v>4896</v>
      </c>
      <c r="K915" s="1907"/>
      <c r="M915" s="1885" t="s">
        <v>1016</v>
      </c>
    </row>
    <row r="916" spans="1:13">
      <c r="A916" s="1960"/>
      <c r="B916" s="2045" t="s">
        <v>107</v>
      </c>
      <c r="C916" s="2046" t="s">
        <v>1237</v>
      </c>
      <c r="D916" s="1950">
        <v>6.4</v>
      </c>
      <c r="E916" s="1898" t="s">
        <v>84</v>
      </c>
      <c r="F916" s="1898">
        <v>2100</v>
      </c>
      <c r="G916" s="1950">
        <v>250</v>
      </c>
      <c r="H916" s="1950">
        <f>F916*D916</f>
        <v>13440</v>
      </c>
      <c r="I916" s="1950">
        <f>G916*D916</f>
        <v>1600</v>
      </c>
      <c r="J916" s="1950">
        <f>H916+I916</f>
        <v>15040</v>
      </c>
      <c r="K916" s="2031"/>
      <c r="L916" s="1875"/>
      <c r="M916" s="1875"/>
    </row>
    <row r="917" spans="1:13">
      <c r="A917" s="1972"/>
      <c r="B917" s="2001" t="s">
        <v>107</v>
      </c>
      <c r="C917" s="2002" t="s">
        <v>955</v>
      </c>
      <c r="D917" s="1930">
        <v>10</v>
      </c>
      <c r="E917" s="1909" t="s">
        <v>109</v>
      </c>
      <c r="F917" s="1909">
        <v>45</v>
      </c>
      <c r="G917" s="1930">
        <v>7.5</v>
      </c>
      <c r="H917" s="1930">
        <f>F917*D917</f>
        <v>450</v>
      </c>
      <c r="I917" s="1930">
        <f>G917*D917</f>
        <v>75</v>
      </c>
      <c r="J917" s="1930">
        <f>H917+I917</f>
        <v>525</v>
      </c>
      <c r="K917" s="2003"/>
      <c r="L917" s="1875"/>
      <c r="M917" s="1875"/>
    </row>
    <row r="918" spans="1:13" s="1875" customFormat="1">
      <c r="A918" s="1972"/>
      <c r="B918" s="2001" t="s">
        <v>107</v>
      </c>
      <c r="C918" s="2002" t="s">
        <v>1060</v>
      </c>
      <c r="D918" s="1930">
        <v>40</v>
      </c>
      <c r="E918" s="1909" t="s">
        <v>27</v>
      </c>
      <c r="F918" s="1975">
        <v>99.84</v>
      </c>
      <c r="G918" s="1975">
        <v>0</v>
      </c>
      <c r="H918" s="1930">
        <f>F918*D918</f>
        <v>3993.6000000000004</v>
      </c>
      <c r="I918" s="1930">
        <f>G918*D918</f>
        <v>0</v>
      </c>
      <c r="J918" s="1930">
        <f>H918+I918</f>
        <v>3993.6000000000004</v>
      </c>
      <c r="K918" s="2003"/>
    </row>
    <row r="919" spans="1:13" s="1875" customFormat="1">
      <c r="A919" s="1903"/>
      <c r="B919" s="1904" t="s">
        <v>954</v>
      </c>
      <c r="C919" s="1905" t="s">
        <v>383</v>
      </c>
      <c r="D919" s="1909"/>
      <c r="E919" s="1910"/>
      <c r="F919" s="1906"/>
      <c r="G919" s="1906"/>
      <c r="H919" s="1906"/>
      <c r="I919" s="1906"/>
      <c r="J919" s="1906"/>
      <c r="K919" s="1907"/>
      <c r="L919" s="1871"/>
      <c r="M919" s="1902"/>
    </row>
    <row r="920" spans="1:13" s="1875" customFormat="1">
      <c r="A920" s="1903"/>
      <c r="B920" s="1904" t="s">
        <v>107</v>
      </c>
      <c r="C920" s="1993" t="s">
        <v>952</v>
      </c>
      <c r="D920" s="1991">
        <v>14.3</v>
      </c>
      <c r="E920" s="1903" t="s">
        <v>86</v>
      </c>
      <c r="F920" s="1900">
        <v>119</v>
      </c>
      <c r="G920" s="1900">
        <v>82</v>
      </c>
      <c r="H920" s="1906">
        <f>+F920*D920</f>
        <v>1701.7</v>
      </c>
      <c r="I920" s="1906">
        <f>+G920*D920</f>
        <v>1172.6000000000001</v>
      </c>
      <c r="J920" s="1906">
        <f>+H920+I920</f>
        <v>2874.3</v>
      </c>
      <c r="K920" s="1907"/>
      <c r="L920" s="1871"/>
      <c r="M920" s="1885" t="s">
        <v>1076</v>
      </c>
    </row>
    <row r="921" spans="1:13">
      <c r="A921" s="1903"/>
      <c r="B921" s="1904" t="s">
        <v>107</v>
      </c>
      <c r="C921" s="1993" t="s">
        <v>957</v>
      </c>
      <c r="D921" s="1981">
        <v>24.2</v>
      </c>
      <c r="E921" s="1994" t="s">
        <v>84</v>
      </c>
      <c r="F921" s="1995">
        <v>200</v>
      </c>
      <c r="G921" s="1996">
        <v>40</v>
      </c>
      <c r="H921" s="1906">
        <f>+F921*D921</f>
        <v>4840</v>
      </c>
      <c r="I921" s="1906">
        <f>+G921*D921</f>
        <v>968</v>
      </c>
      <c r="J921" s="1906">
        <f>+H921+I921</f>
        <v>5808</v>
      </c>
      <c r="K921" s="1907"/>
      <c r="M921" s="1885" t="s">
        <v>1016</v>
      </c>
    </row>
    <row r="922" spans="1:13">
      <c r="A922" s="1972"/>
      <c r="B922" s="2047" t="s">
        <v>107</v>
      </c>
      <c r="C922" s="2002" t="s">
        <v>1086</v>
      </c>
      <c r="D922" s="1930">
        <v>25.7</v>
      </c>
      <c r="E922" s="1909" t="s">
        <v>87</v>
      </c>
      <c r="F922" s="1909">
        <v>32.1</v>
      </c>
      <c r="G922" s="1930">
        <v>10</v>
      </c>
      <c r="H922" s="1930">
        <f>F922*D922</f>
        <v>824.97</v>
      </c>
      <c r="I922" s="1930">
        <f>G922*D922</f>
        <v>257</v>
      </c>
      <c r="J922" s="1930">
        <f>H922+I922</f>
        <v>1081.97</v>
      </c>
      <c r="K922" s="2003"/>
      <c r="L922" s="1875"/>
      <c r="M922" s="1875"/>
    </row>
    <row r="923" spans="1:13">
      <c r="A923" s="1903"/>
      <c r="B923" s="2386" t="s">
        <v>392</v>
      </c>
      <c r="C923" s="2386"/>
      <c r="D923" s="1909"/>
      <c r="E923" s="1910"/>
      <c r="F923" s="1906"/>
      <c r="G923" s="1906"/>
      <c r="H923" s="1906"/>
      <c r="I923" s="1906"/>
      <c r="J923" s="1906"/>
      <c r="K923" s="1907"/>
    </row>
    <row r="924" spans="1:13" s="1875" customFormat="1">
      <c r="A924" s="1965"/>
      <c r="B924" s="1997" t="s">
        <v>107</v>
      </c>
      <c r="C924" s="1993" t="s">
        <v>1081</v>
      </c>
      <c r="D924" s="1998">
        <v>253.8</v>
      </c>
      <c r="E924" s="1999" t="s">
        <v>87</v>
      </c>
      <c r="F924" s="1975">
        <v>28.9</v>
      </c>
      <c r="G924" s="1975">
        <v>10</v>
      </c>
      <c r="H924" s="1906">
        <f>+F924*D924</f>
        <v>7334.82</v>
      </c>
      <c r="I924" s="1906">
        <f>+G924*D924</f>
        <v>2538</v>
      </c>
      <c r="J924" s="1906">
        <f>+H924+I924</f>
        <v>9872.82</v>
      </c>
      <c r="K924" s="1907"/>
      <c r="L924" s="1871"/>
      <c r="M924" s="1885" t="s">
        <v>1021</v>
      </c>
    </row>
    <row r="925" spans="1:13">
      <c r="A925" s="1965"/>
      <c r="B925" s="1997" t="s">
        <v>107</v>
      </c>
      <c r="C925" s="1993" t="s">
        <v>1082</v>
      </c>
      <c r="D925" s="1998">
        <v>1117.2</v>
      </c>
      <c r="E925" s="1999" t="s">
        <v>87</v>
      </c>
      <c r="F925" s="1975">
        <v>28.9</v>
      </c>
      <c r="G925" s="1975">
        <v>10</v>
      </c>
      <c r="H925" s="1906">
        <f>+F925*D925</f>
        <v>32287.079999999998</v>
      </c>
      <c r="I925" s="1906">
        <f>+G925*D925</f>
        <v>11172</v>
      </c>
      <c r="J925" s="1906">
        <f>+H925+I925</f>
        <v>43459.08</v>
      </c>
      <c r="K925" s="1907"/>
      <c r="M925" s="1885" t="s">
        <v>1021</v>
      </c>
    </row>
    <row r="926" spans="1:13" s="1875" customFormat="1">
      <c r="A926" s="1965"/>
      <c r="B926" s="1997" t="s">
        <v>107</v>
      </c>
      <c r="C926" s="1993" t="s">
        <v>1083</v>
      </c>
      <c r="D926" s="1998">
        <v>246.1</v>
      </c>
      <c r="E926" s="1999" t="s">
        <v>87</v>
      </c>
      <c r="F926" s="1975">
        <v>31</v>
      </c>
      <c r="G926" s="1975">
        <v>10</v>
      </c>
      <c r="H926" s="1906">
        <f>+F926*D926</f>
        <v>7629.0999999999995</v>
      </c>
      <c r="I926" s="1906">
        <f>+G926*D926</f>
        <v>2461</v>
      </c>
      <c r="J926" s="1906">
        <f>+H926+I926</f>
        <v>10090.099999999999</v>
      </c>
      <c r="K926" s="1907"/>
      <c r="L926" s="1871"/>
      <c r="M926" s="1885" t="s">
        <v>1016</v>
      </c>
    </row>
    <row r="927" spans="1:13" s="1875" customFormat="1">
      <c r="A927" s="1965"/>
      <c r="B927" s="1997" t="s">
        <v>107</v>
      </c>
      <c r="C927" s="1993" t="s">
        <v>956</v>
      </c>
      <c r="D927" s="1998">
        <v>52</v>
      </c>
      <c r="E927" s="1999" t="s">
        <v>109</v>
      </c>
      <c r="F927" s="1975">
        <v>108</v>
      </c>
      <c r="G927" s="1975">
        <v>18</v>
      </c>
      <c r="H927" s="1906">
        <f>+F927*D927</f>
        <v>5616</v>
      </c>
      <c r="I927" s="1906">
        <f>+G927*D927</f>
        <v>936</v>
      </c>
      <c r="J927" s="1906">
        <f>+H927+I927</f>
        <v>6552</v>
      </c>
      <c r="K927" s="1907"/>
      <c r="L927" s="1871"/>
      <c r="M927" s="1885" t="s">
        <v>1021</v>
      </c>
    </row>
    <row r="928" spans="1:13">
      <c r="A928" s="1953"/>
      <c r="B928" s="1997" t="s">
        <v>107</v>
      </c>
      <c r="C928" s="1993" t="s">
        <v>1059</v>
      </c>
      <c r="D928" s="1998">
        <f>D927*4</f>
        <v>208</v>
      </c>
      <c r="E928" s="1999" t="s">
        <v>27</v>
      </c>
      <c r="F928" s="1975">
        <v>131.32</v>
      </c>
      <c r="G928" s="1975">
        <v>0</v>
      </c>
      <c r="H928" s="1906">
        <f>+F928*D928</f>
        <v>27314.559999999998</v>
      </c>
      <c r="I928" s="1906">
        <f>+G928*D928</f>
        <v>0</v>
      </c>
      <c r="J928" s="1906">
        <f>+H928+I928</f>
        <v>27314.559999999998</v>
      </c>
      <c r="K928" s="1907"/>
      <c r="M928" s="1885" t="s">
        <v>654</v>
      </c>
    </row>
    <row r="929" spans="1:13">
      <c r="A929" s="1903"/>
      <c r="B929" s="2386" t="s">
        <v>384</v>
      </c>
      <c r="C929" s="2386"/>
      <c r="D929" s="1909"/>
      <c r="E929" s="1910"/>
      <c r="F929" s="1906"/>
      <c r="G929" s="1906"/>
      <c r="H929" s="1906"/>
      <c r="I929" s="1906"/>
      <c r="J929" s="1906"/>
      <c r="K929" s="1907"/>
    </row>
    <row r="930" spans="1:13">
      <c r="A930" s="1903"/>
      <c r="B930" s="1997" t="s">
        <v>107</v>
      </c>
      <c r="C930" s="1980" t="s">
        <v>1026</v>
      </c>
      <c r="D930" s="1998">
        <v>1040</v>
      </c>
      <c r="E930" s="1999" t="s">
        <v>1027</v>
      </c>
      <c r="F930" s="1975">
        <v>48</v>
      </c>
      <c r="G930" s="1975">
        <v>19</v>
      </c>
      <c r="H930" s="1906">
        <f>+F930*D930</f>
        <v>49920</v>
      </c>
      <c r="I930" s="1906">
        <f>+G930*D930</f>
        <v>19760</v>
      </c>
      <c r="J930" s="1906">
        <f>+H930+I930</f>
        <v>69680</v>
      </c>
      <c r="K930" s="1907"/>
      <c r="L930" s="1907" t="s">
        <v>1967</v>
      </c>
      <c r="M930" s="1885" t="s">
        <v>622</v>
      </c>
    </row>
    <row r="931" spans="1:13" s="1875" customFormat="1">
      <c r="A931" s="1972"/>
      <c r="B931" s="1997" t="s">
        <v>107</v>
      </c>
      <c r="C931" s="1993" t="s">
        <v>1807</v>
      </c>
      <c r="D931" s="1998">
        <v>64</v>
      </c>
      <c r="E931" s="1999" t="s">
        <v>109</v>
      </c>
      <c r="F931" s="1975">
        <v>7500</v>
      </c>
      <c r="G931" s="1975">
        <v>500</v>
      </c>
      <c r="H931" s="1906">
        <f>+F931*D931</f>
        <v>480000</v>
      </c>
      <c r="I931" s="1906">
        <f>+G931*D931</f>
        <v>32000</v>
      </c>
      <c r="J931" s="1906">
        <f>+H931+I931</f>
        <v>512000</v>
      </c>
      <c r="K931" s="1907"/>
      <c r="L931" s="2031" t="s">
        <v>1900</v>
      </c>
      <c r="M931" s="1875" t="s">
        <v>622</v>
      </c>
    </row>
    <row r="932" spans="1:13">
      <c r="A932" s="1903"/>
      <c r="B932" s="1997" t="s">
        <v>107</v>
      </c>
      <c r="C932" s="1993" t="s">
        <v>1810</v>
      </c>
      <c r="D932" s="1998">
        <v>56</v>
      </c>
      <c r="E932" s="1999" t="s">
        <v>962</v>
      </c>
      <c r="F932" s="1975">
        <v>3428.58</v>
      </c>
      <c r="G932" s="1975">
        <f>F932*0.3</f>
        <v>1028.5739999999998</v>
      </c>
      <c r="H932" s="1906">
        <f>+F932*D932</f>
        <v>192000.47999999998</v>
      </c>
      <c r="I932" s="1906">
        <f>+G932*D932</f>
        <v>57600.143999999993</v>
      </c>
      <c r="J932" s="1906">
        <f>+H932+I932</f>
        <v>249600.62399999998</v>
      </c>
      <c r="K932" s="1907"/>
      <c r="L932" s="1907" t="s">
        <v>1910</v>
      </c>
      <c r="M932" s="1902" t="s">
        <v>622</v>
      </c>
    </row>
    <row r="933" spans="1:13">
      <c r="A933" s="2032"/>
      <c r="B933" s="1878"/>
      <c r="C933" s="2033"/>
      <c r="D933" s="1880"/>
      <c r="E933" s="1881"/>
      <c r="F933" s="1882"/>
      <c r="G933" s="1882"/>
      <c r="H933" s="2017"/>
      <c r="I933" s="2017"/>
      <c r="J933" s="2017"/>
      <c r="K933" s="1907"/>
    </row>
    <row r="934" spans="1:13" ht="24.75" thickBot="1">
      <c r="A934" s="2034"/>
      <c r="B934" s="2035"/>
      <c r="C934" s="1888" t="str">
        <f>"รวมราคา "&amp;B751</f>
        <v>รวมราคา งานสถาปัตยกรรม ชั้น 5</v>
      </c>
      <c r="D934" s="1889"/>
      <c r="E934" s="1890"/>
      <c r="F934" s="1891"/>
      <c r="G934" s="1891"/>
      <c r="H934" s="1891">
        <f>SUM(H752:H932)</f>
        <v>5033302.4199999981</v>
      </c>
      <c r="I934" s="1891">
        <f>SUM(I752:I932)</f>
        <v>1477274.9440000001</v>
      </c>
      <c r="J934" s="1891">
        <f>SUM(J752:J932)</f>
        <v>6510577.3640000001</v>
      </c>
      <c r="K934" s="1891"/>
      <c r="L934" s="1870"/>
      <c r="M934" s="1892"/>
    </row>
    <row r="935" spans="1:13" ht="24.75" thickTop="1">
      <c r="A935" s="1863"/>
      <c r="B935" s="1864"/>
      <c r="C935" s="1865"/>
      <c r="D935" s="1866"/>
      <c r="E935" s="1867"/>
      <c r="F935" s="1868"/>
      <c r="G935" s="1868"/>
      <c r="H935" s="1868"/>
      <c r="I935" s="1868"/>
      <c r="J935" s="1868"/>
      <c r="K935" s="1869"/>
      <c r="L935" s="1870"/>
      <c r="M935" s="1892"/>
    </row>
    <row r="936" spans="1:13">
      <c r="B936" s="1860"/>
      <c r="C936" s="2133" t="s">
        <v>133</v>
      </c>
      <c r="D936" s="2134"/>
      <c r="E936" s="2135"/>
      <c r="F936" s="2136"/>
      <c r="G936" s="2137"/>
      <c r="H936" s="2137"/>
      <c r="I936" s="2137"/>
      <c r="J936" s="2137"/>
      <c r="K936" s="2137"/>
      <c r="L936" s="1870"/>
      <c r="M936" s="1892"/>
    </row>
    <row r="937" spans="1:13">
      <c r="B937" s="2138"/>
      <c r="C937" s="2139" t="s">
        <v>1769</v>
      </c>
      <c r="D937" s="2140"/>
      <c r="E937" s="1861"/>
      <c r="F937" s="2135"/>
      <c r="G937" s="2139" t="s">
        <v>134</v>
      </c>
      <c r="H937" s="2138"/>
      <c r="I937" s="2138"/>
      <c r="J937" s="2138"/>
      <c r="K937" s="2138"/>
      <c r="L937" s="1870"/>
      <c r="M937" s="1892"/>
    </row>
    <row r="938" spans="1:13">
      <c r="B938" s="1871"/>
      <c r="C938" s="2141" t="s">
        <v>1970</v>
      </c>
      <c r="D938" s="2140"/>
      <c r="E938" s="2142"/>
      <c r="F938" s="2143"/>
      <c r="G938" s="2144" t="s">
        <v>1971</v>
      </c>
      <c r="H938" s="2145"/>
      <c r="I938" s="2145"/>
      <c r="J938" s="2145"/>
      <c r="K938" s="2145"/>
      <c r="L938" s="1870"/>
      <c r="M938" s="1892"/>
    </row>
    <row r="939" spans="1:13">
      <c r="A939" s="1837"/>
      <c r="B939" s="2138"/>
      <c r="C939" s="2139" t="s">
        <v>2031</v>
      </c>
      <c r="D939" s="2140"/>
      <c r="E939" s="1837"/>
      <c r="F939" s="2146"/>
      <c r="G939" s="2139" t="s">
        <v>2031</v>
      </c>
      <c r="H939" s="1837"/>
      <c r="I939" s="1837"/>
      <c r="J939" s="1837"/>
      <c r="K939" s="1837"/>
      <c r="L939" s="1870"/>
      <c r="M939" s="1892"/>
    </row>
    <row r="940" spans="1:13">
      <c r="A940" s="1952"/>
      <c r="B940" s="1871"/>
      <c r="C940" s="2147" t="s">
        <v>1984</v>
      </c>
      <c r="D940" s="2140"/>
      <c r="E940" s="1837"/>
      <c r="F940" s="2135"/>
      <c r="G940" s="2147" t="s">
        <v>1985</v>
      </c>
      <c r="H940" s="1952"/>
      <c r="I940" s="1952"/>
      <c r="J940" s="1952"/>
      <c r="K940" s="1952"/>
      <c r="L940" s="1870"/>
      <c r="M940" s="1892"/>
    </row>
    <row r="941" spans="1:13">
      <c r="A941" s="1952"/>
      <c r="B941" s="1952"/>
      <c r="C941" s="2139" t="s">
        <v>670</v>
      </c>
      <c r="D941" s="2139"/>
      <c r="E941" s="2143"/>
      <c r="F941" s="2143"/>
      <c r="G941" s="1952"/>
      <c r="H941" s="1952"/>
      <c r="I941" s="1952"/>
      <c r="J941" s="1952"/>
      <c r="K941" s="1952"/>
      <c r="L941" s="1870"/>
      <c r="M941" s="1892"/>
    </row>
    <row r="942" spans="1:13">
      <c r="C942" s="2147" t="s">
        <v>1972</v>
      </c>
      <c r="D942" s="2147"/>
      <c r="E942" s="2146"/>
      <c r="F942" s="2146"/>
      <c r="L942" s="1870"/>
      <c r="M942" s="1892"/>
    </row>
    <row r="943" spans="1:13">
      <c r="A943" s="2037">
        <v>2.6</v>
      </c>
      <c r="B943" s="2387" t="s">
        <v>356</v>
      </c>
      <c r="C943" s="2387"/>
      <c r="D943" s="2038"/>
      <c r="E943" s="2037"/>
      <c r="F943" s="2039"/>
      <c r="G943" s="2039"/>
      <c r="H943" s="2039"/>
      <c r="I943" s="2039"/>
      <c r="J943" s="2039"/>
      <c r="K943" s="2039"/>
      <c r="L943" s="2175"/>
      <c r="M943" s="1892"/>
    </row>
    <row r="944" spans="1:13" s="1860" customFormat="1">
      <c r="A944" s="1897"/>
      <c r="B944" s="2388" t="s">
        <v>201</v>
      </c>
      <c r="C944" s="2388"/>
      <c r="D944" s="1898"/>
      <c r="E944" s="1899"/>
      <c r="F944" s="1900"/>
      <c r="G944" s="1900"/>
      <c r="H944" s="1900"/>
      <c r="I944" s="1900"/>
      <c r="J944" s="1900"/>
      <c r="K944" s="1901"/>
      <c r="L944" s="1871"/>
      <c r="M944" s="1902"/>
    </row>
    <row r="945" spans="1:14" s="1860" customFormat="1">
      <c r="A945" s="1903"/>
      <c r="B945" s="1904" t="s">
        <v>3</v>
      </c>
      <c r="C945" s="1905" t="s">
        <v>723</v>
      </c>
      <c r="D945" s="1898">
        <v>228.2</v>
      </c>
      <c r="E945" s="1899" t="s">
        <v>86</v>
      </c>
      <c r="F945" s="1900">
        <v>606</v>
      </c>
      <c r="G945" s="1900">
        <v>222</v>
      </c>
      <c r="H945" s="1906">
        <f t="shared" ref="H945:H952" si="135">+F945*D945</f>
        <v>138289.19999999998</v>
      </c>
      <c r="I945" s="1906">
        <f t="shared" ref="I945:I952" si="136">+G945*D945</f>
        <v>50660.399999999994</v>
      </c>
      <c r="J945" s="1906">
        <f t="shared" ref="J945:J952" si="137">+H945+I945</f>
        <v>188949.59999999998</v>
      </c>
      <c r="K945" s="1907"/>
      <c r="L945" s="1871"/>
      <c r="M945" s="1885" t="s">
        <v>1876</v>
      </c>
    </row>
    <row r="946" spans="1:14">
      <c r="A946" s="1903"/>
      <c r="B946" s="1904" t="s">
        <v>137</v>
      </c>
      <c r="C946" s="1905" t="s">
        <v>724</v>
      </c>
      <c r="D946" s="1898">
        <v>58.5</v>
      </c>
      <c r="E946" s="1899" t="s">
        <v>86</v>
      </c>
      <c r="F946" s="1900">
        <v>606</v>
      </c>
      <c r="G946" s="1900">
        <v>222</v>
      </c>
      <c r="H946" s="1906">
        <f t="shared" si="135"/>
        <v>35451</v>
      </c>
      <c r="I946" s="1906">
        <f t="shared" si="136"/>
        <v>12987</v>
      </c>
      <c r="J946" s="1906">
        <f t="shared" si="137"/>
        <v>48438</v>
      </c>
      <c r="K946" s="1907"/>
      <c r="M946" s="1885" t="s">
        <v>1876</v>
      </c>
      <c r="N946" s="1861"/>
    </row>
    <row r="947" spans="1:14" s="1862" customFormat="1">
      <c r="A947" s="1903"/>
      <c r="B947" s="1904" t="s">
        <v>4</v>
      </c>
      <c r="C947" s="1905" t="s">
        <v>149</v>
      </c>
      <c r="D947" s="1898">
        <v>41.9</v>
      </c>
      <c r="E947" s="1899" t="s">
        <v>86</v>
      </c>
      <c r="F947" s="1900">
        <v>113</v>
      </c>
      <c r="G947" s="1900">
        <v>87</v>
      </c>
      <c r="H947" s="1906">
        <f t="shared" si="135"/>
        <v>4734.7</v>
      </c>
      <c r="I947" s="1906">
        <f t="shared" si="136"/>
        <v>3645.2999999999997</v>
      </c>
      <c r="J947" s="1906">
        <f t="shared" si="137"/>
        <v>8380</v>
      </c>
      <c r="K947" s="1907"/>
      <c r="L947" s="1871"/>
      <c r="M947" s="1885" t="s">
        <v>1876</v>
      </c>
    </row>
    <row r="948" spans="1:14" s="1862" customFormat="1">
      <c r="A948" s="1903"/>
      <c r="B948" s="1904" t="s">
        <v>368</v>
      </c>
      <c r="C948" s="1905" t="s">
        <v>939</v>
      </c>
      <c r="D948" s="1898">
        <v>565.29999999999995</v>
      </c>
      <c r="E948" s="1899" t="s">
        <v>86</v>
      </c>
      <c r="F948" s="1900">
        <v>465</v>
      </c>
      <c r="G948" s="1900">
        <v>100</v>
      </c>
      <c r="H948" s="1906">
        <f t="shared" si="135"/>
        <v>262864.5</v>
      </c>
      <c r="I948" s="1906">
        <f t="shared" si="136"/>
        <v>56529.999999999993</v>
      </c>
      <c r="J948" s="1906">
        <f t="shared" si="137"/>
        <v>319394.5</v>
      </c>
      <c r="K948" s="1907"/>
      <c r="L948" s="1907" t="s">
        <v>1925</v>
      </c>
      <c r="M948" s="1885" t="s">
        <v>1927</v>
      </c>
    </row>
    <row r="949" spans="1:14" s="1862" customFormat="1">
      <c r="A949" s="1903"/>
      <c r="B949" s="1904"/>
      <c r="C949" s="1905" t="s">
        <v>1025</v>
      </c>
      <c r="D949" s="1898">
        <v>253.3</v>
      </c>
      <c r="E949" s="1899" t="s">
        <v>84</v>
      </c>
      <c r="F949" s="1900">
        <v>95</v>
      </c>
      <c r="G949" s="1900">
        <v>40</v>
      </c>
      <c r="H949" s="1906">
        <f t="shared" si="135"/>
        <v>24063.5</v>
      </c>
      <c r="I949" s="1906">
        <f t="shared" si="136"/>
        <v>10132</v>
      </c>
      <c r="J949" s="1906">
        <f t="shared" si="137"/>
        <v>34195.5</v>
      </c>
      <c r="K949" s="1907"/>
      <c r="L949" s="1907"/>
      <c r="M949" s="1885" t="s">
        <v>1928</v>
      </c>
    </row>
    <row r="950" spans="1:14">
      <c r="A950" s="1903"/>
      <c r="B950" s="1904" t="s">
        <v>108</v>
      </c>
      <c r="C950" s="1905" t="s">
        <v>725</v>
      </c>
      <c r="D950" s="1898">
        <v>60</v>
      </c>
      <c r="E950" s="1899" t="s">
        <v>86</v>
      </c>
      <c r="F950" s="1900">
        <v>123</v>
      </c>
      <c r="G950" s="1900">
        <v>82</v>
      </c>
      <c r="H950" s="1906">
        <f t="shared" si="135"/>
        <v>7380</v>
      </c>
      <c r="I950" s="1906">
        <f t="shared" si="136"/>
        <v>4920</v>
      </c>
      <c r="J950" s="1906">
        <f t="shared" si="137"/>
        <v>12300</v>
      </c>
      <c r="K950" s="1907"/>
      <c r="L950" s="1907"/>
      <c r="M950" s="1885" t="s">
        <v>1875</v>
      </c>
      <c r="N950" s="1861"/>
    </row>
    <row r="951" spans="1:14">
      <c r="A951" s="1903"/>
      <c r="B951" s="1904"/>
      <c r="C951" s="1905" t="s">
        <v>727</v>
      </c>
      <c r="D951" s="1898">
        <f>D945+D946</f>
        <v>286.7</v>
      </c>
      <c r="E951" s="1899" t="s">
        <v>86</v>
      </c>
      <c r="F951" s="1900">
        <v>109</v>
      </c>
      <c r="G951" s="1900">
        <v>64</v>
      </c>
      <c r="H951" s="1906">
        <f t="shared" si="135"/>
        <v>31250.3</v>
      </c>
      <c r="I951" s="1906">
        <f t="shared" si="136"/>
        <v>18348.8</v>
      </c>
      <c r="J951" s="1906">
        <f t="shared" si="137"/>
        <v>49599.1</v>
      </c>
      <c r="K951" s="1907"/>
      <c r="L951" s="1907"/>
      <c r="M951" s="1885" t="s">
        <v>1876</v>
      </c>
      <c r="N951" s="1861"/>
    </row>
    <row r="952" spans="1:14" s="1862" customFormat="1">
      <c r="A952" s="1903"/>
      <c r="B952" s="1904"/>
      <c r="C952" s="1905" t="s">
        <v>728</v>
      </c>
      <c r="D952" s="1898">
        <f>D948</f>
        <v>565.29999999999995</v>
      </c>
      <c r="E952" s="1899" t="s">
        <v>86</v>
      </c>
      <c r="F952" s="1900">
        <v>175</v>
      </c>
      <c r="G952" s="1900">
        <v>40</v>
      </c>
      <c r="H952" s="1906">
        <f t="shared" si="135"/>
        <v>98927.499999999985</v>
      </c>
      <c r="I952" s="1906">
        <f t="shared" si="136"/>
        <v>22612</v>
      </c>
      <c r="J952" s="1906">
        <f t="shared" si="137"/>
        <v>121539.49999999999</v>
      </c>
      <c r="K952" s="1907"/>
      <c r="L952" s="1907"/>
      <c r="M952" s="1885" t="s">
        <v>1076</v>
      </c>
    </row>
    <row r="953" spans="1:14">
      <c r="A953" s="1903"/>
      <c r="B953" s="2386" t="s">
        <v>366</v>
      </c>
      <c r="C953" s="2386"/>
      <c r="D953" s="1898"/>
      <c r="E953" s="1899"/>
      <c r="F953" s="1900"/>
      <c r="G953" s="1900"/>
      <c r="H953" s="1906"/>
      <c r="I953" s="1906"/>
      <c r="J953" s="1906"/>
      <c r="K953" s="1907"/>
      <c r="L953" s="1907"/>
    </row>
    <row r="954" spans="1:14">
      <c r="A954" s="1903"/>
      <c r="B954" s="1904" t="s">
        <v>733</v>
      </c>
      <c r="C954" s="1905" t="s">
        <v>1241</v>
      </c>
      <c r="D954" s="1898">
        <v>693.4</v>
      </c>
      <c r="E954" s="1899" t="s">
        <v>86</v>
      </c>
      <c r="F954" s="1900">
        <v>273</v>
      </c>
      <c r="G954" s="1900">
        <v>53</v>
      </c>
      <c r="H954" s="1906">
        <f>+F954*D954</f>
        <v>189298.19999999998</v>
      </c>
      <c r="I954" s="1906">
        <f>+G954*D954</f>
        <v>36750.199999999997</v>
      </c>
      <c r="J954" s="1906">
        <f>+H954+I954</f>
        <v>226048.39999999997</v>
      </c>
      <c r="K954" s="1907"/>
      <c r="L954" s="1907"/>
      <c r="M954" s="1885" t="s">
        <v>1876</v>
      </c>
      <c r="N954" s="1861"/>
    </row>
    <row r="955" spans="1:14">
      <c r="A955" s="2000"/>
      <c r="B955" s="2004" t="s">
        <v>734</v>
      </c>
      <c r="C955" s="2005" t="s">
        <v>653</v>
      </c>
      <c r="D955" s="2015">
        <v>9</v>
      </c>
      <c r="E955" s="2016" t="s">
        <v>5</v>
      </c>
      <c r="F955" s="2017">
        <v>14500</v>
      </c>
      <c r="G955" s="2017">
        <v>800</v>
      </c>
      <c r="H955" s="2007">
        <f>+F955*D955</f>
        <v>130500</v>
      </c>
      <c r="I955" s="2007">
        <f>+G955*D955</f>
        <v>7200</v>
      </c>
      <c r="J955" s="2007">
        <f>+H955+I955</f>
        <v>137700</v>
      </c>
      <c r="K955" s="1907"/>
      <c r="L955" s="1908" t="s">
        <v>1885</v>
      </c>
      <c r="M955" s="1885" t="s">
        <v>622</v>
      </c>
    </row>
    <row r="956" spans="1:14">
      <c r="A956" s="1903"/>
      <c r="B956" s="1904" t="s">
        <v>735</v>
      </c>
      <c r="C956" s="1905" t="s">
        <v>1768</v>
      </c>
      <c r="D956" s="1909">
        <v>181.5</v>
      </c>
      <c r="E956" s="1910" t="s">
        <v>86</v>
      </c>
      <c r="F956" s="1906">
        <v>754</v>
      </c>
      <c r="G956" s="1906">
        <v>75</v>
      </c>
      <c r="H956" s="1906">
        <f>+F956*D956</f>
        <v>136851</v>
      </c>
      <c r="I956" s="1906">
        <f>+G956*D956</f>
        <v>13612.5</v>
      </c>
      <c r="J956" s="1906">
        <f>+H956+I956</f>
        <v>150463.5</v>
      </c>
      <c r="K956" s="1907"/>
      <c r="L956" s="1907"/>
      <c r="M956" s="1885" t="s">
        <v>1877</v>
      </c>
      <c r="N956" s="1861"/>
    </row>
    <row r="957" spans="1:14">
      <c r="A957" s="1897"/>
      <c r="B957" s="2388" t="s">
        <v>365</v>
      </c>
      <c r="C957" s="2388"/>
      <c r="D957" s="1898"/>
      <c r="E957" s="1899"/>
      <c r="F957" s="1900"/>
      <c r="G957" s="1900"/>
      <c r="H957" s="1900"/>
      <c r="I957" s="1900"/>
      <c r="J957" s="1900"/>
      <c r="K957" s="1907"/>
      <c r="L957" s="1901"/>
    </row>
    <row r="958" spans="1:14" s="1862" customFormat="1" ht="48">
      <c r="A958" s="1911"/>
      <c r="B958" s="1912">
        <v>1</v>
      </c>
      <c r="C958" s="1913" t="s">
        <v>736</v>
      </c>
      <c r="D958" s="1914">
        <v>552.9</v>
      </c>
      <c r="E958" s="1915" t="s">
        <v>86</v>
      </c>
      <c r="F958" s="1916">
        <v>165</v>
      </c>
      <c r="G958" s="1916">
        <v>240</v>
      </c>
      <c r="H958" s="1916">
        <f t="shared" ref="H958:H978" si="138">+F958*D958</f>
        <v>91228.5</v>
      </c>
      <c r="I958" s="1916">
        <f t="shared" ref="I958:I978" si="139">+G958*D958</f>
        <v>132696</v>
      </c>
      <c r="J958" s="1916">
        <f t="shared" ref="J958:J978" si="140">+H958+I958</f>
        <v>223924.5</v>
      </c>
      <c r="K958" s="1917"/>
      <c r="L958" s="1917"/>
      <c r="M958" s="1918" t="s">
        <v>1076</v>
      </c>
      <c r="N958" s="1852"/>
    </row>
    <row r="959" spans="1:14" s="1862" customFormat="1">
      <c r="A959" s="1911"/>
      <c r="B959" s="1912">
        <v>2</v>
      </c>
      <c r="C959" s="1919" t="s">
        <v>738</v>
      </c>
      <c r="D959" s="1914">
        <v>81.400000000000006</v>
      </c>
      <c r="E959" s="1915" t="s">
        <v>86</v>
      </c>
      <c r="F959" s="1916">
        <v>155</v>
      </c>
      <c r="G959" s="1916">
        <v>155</v>
      </c>
      <c r="H959" s="1916">
        <f t="shared" si="138"/>
        <v>12617</v>
      </c>
      <c r="I959" s="1916">
        <f t="shared" si="139"/>
        <v>12617</v>
      </c>
      <c r="J959" s="1916">
        <f t="shared" si="140"/>
        <v>25234</v>
      </c>
      <c r="K959" s="1917"/>
      <c r="L959" s="1917"/>
      <c r="M959" s="1918" t="s">
        <v>1076</v>
      </c>
    </row>
    <row r="960" spans="1:14" s="1862" customFormat="1">
      <c r="A960" s="1911"/>
      <c r="B960" s="1912">
        <v>3</v>
      </c>
      <c r="C960" s="1919" t="s">
        <v>737</v>
      </c>
      <c r="D960" s="1914">
        <v>17.5</v>
      </c>
      <c r="E960" s="1915" t="s">
        <v>86</v>
      </c>
      <c r="F960" s="1916">
        <v>135</v>
      </c>
      <c r="G960" s="1916">
        <v>155</v>
      </c>
      <c r="H960" s="1916">
        <f t="shared" si="138"/>
        <v>2362.5</v>
      </c>
      <c r="I960" s="1916">
        <f t="shared" si="139"/>
        <v>2712.5</v>
      </c>
      <c r="J960" s="1916">
        <f t="shared" si="140"/>
        <v>5075</v>
      </c>
      <c r="K960" s="1917"/>
      <c r="L960" s="1917"/>
      <c r="M960" s="1918" t="s">
        <v>1076</v>
      </c>
    </row>
    <row r="961" spans="1:14" s="1862" customFormat="1" ht="48">
      <c r="A961" s="1911"/>
      <c r="B961" s="1912">
        <v>4</v>
      </c>
      <c r="C961" s="1913" t="s">
        <v>1767</v>
      </c>
      <c r="D961" s="1914">
        <v>163.1</v>
      </c>
      <c r="E961" s="1915" t="s">
        <v>86</v>
      </c>
      <c r="F961" s="1916">
        <v>540</v>
      </c>
      <c r="G961" s="1916">
        <v>271</v>
      </c>
      <c r="H961" s="1916">
        <f t="shared" si="138"/>
        <v>88074</v>
      </c>
      <c r="I961" s="1916">
        <f t="shared" si="139"/>
        <v>44200.1</v>
      </c>
      <c r="J961" s="1916">
        <f t="shared" si="140"/>
        <v>132274.1</v>
      </c>
      <c r="K961" s="1917"/>
      <c r="L961" s="1917" t="s">
        <v>1939</v>
      </c>
      <c r="M961" s="1918" t="s">
        <v>1076</v>
      </c>
    </row>
    <row r="962" spans="1:14" s="1862" customFormat="1" ht="48">
      <c r="A962" s="1911"/>
      <c r="B962" s="1912">
        <v>5</v>
      </c>
      <c r="C962" s="1913" t="s">
        <v>739</v>
      </c>
      <c r="D962" s="1914">
        <v>238.9</v>
      </c>
      <c r="E962" s="1915" t="s">
        <v>86</v>
      </c>
      <c r="F962" s="1916">
        <v>165</v>
      </c>
      <c r="G962" s="1916">
        <v>240</v>
      </c>
      <c r="H962" s="1916">
        <f t="shared" si="138"/>
        <v>39418.5</v>
      </c>
      <c r="I962" s="1916">
        <f t="shared" si="139"/>
        <v>57336</v>
      </c>
      <c r="J962" s="1916">
        <f t="shared" si="140"/>
        <v>96754.5</v>
      </c>
      <c r="K962" s="1917"/>
      <c r="L962" s="1917"/>
      <c r="M962" s="1918" t="s">
        <v>1076</v>
      </c>
    </row>
    <row r="963" spans="1:14" s="1862" customFormat="1">
      <c r="A963" s="1863"/>
      <c r="B963" s="1864"/>
      <c r="C963" s="1865"/>
      <c r="D963" s="1866"/>
      <c r="E963" s="1867"/>
      <c r="F963" s="1868"/>
      <c r="G963" s="1868"/>
      <c r="H963" s="1868"/>
      <c r="I963" s="1868"/>
      <c r="J963" s="1868"/>
      <c r="K963" s="1869"/>
      <c r="L963" s="2048"/>
      <c r="M963" s="1918"/>
    </row>
    <row r="964" spans="1:14" s="1862" customFormat="1">
      <c r="A964" s="1840"/>
      <c r="B964" s="1860"/>
      <c r="C964" s="2133" t="s">
        <v>133</v>
      </c>
      <c r="D964" s="2134"/>
      <c r="E964" s="2135"/>
      <c r="F964" s="2136"/>
      <c r="G964" s="2137"/>
      <c r="H964" s="2137"/>
      <c r="I964" s="2137"/>
      <c r="J964" s="2137"/>
      <c r="K964" s="2137"/>
      <c r="L964" s="2048"/>
      <c r="M964" s="1918"/>
    </row>
    <row r="965" spans="1:14" s="1862" customFormat="1">
      <c r="A965" s="1840"/>
      <c r="B965" s="2138"/>
      <c r="C965" s="2139" t="s">
        <v>1769</v>
      </c>
      <c r="D965" s="2140"/>
      <c r="E965" s="1861"/>
      <c r="F965" s="2135"/>
      <c r="G965" s="2139" t="s">
        <v>134</v>
      </c>
      <c r="H965" s="2138"/>
      <c r="I965" s="2138"/>
      <c r="J965" s="2138"/>
      <c r="K965" s="2138"/>
      <c r="L965" s="2048"/>
      <c r="M965" s="1918"/>
    </row>
    <row r="966" spans="1:14" s="1862" customFormat="1">
      <c r="A966" s="1840"/>
      <c r="B966" s="1871"/>
      <c r="C966" s="2141" t="s">
        <v>1970</v>
      </c>
      <c r="D966" s="2140"/>
      <c r="E966" s="2142"/>
      <c r="F966" s="2143"/>
      <c r="G966" s="2144" t="s">
        <v>1971</v>
      </c>
      <c r="H966" s="2145"/>
      <c r="I966" s="2145"/>
      <c r="J966" s="2145"/>
      <c r="K966" s="2145"/>
      <c r="L966" s="2048"/>
      <c r="M966" s="1918"/>
    </row>
    <row r="967" spans="1:14" s="1862" customFormat="1">
      <c r="A967" s="1837"/>
      <c r="B967" s="2138"/>
      <c r="C967" s="2139" t="s">
        <v>2031</v>
      </c>
      <c r="D967" s="2140"/>
      <c r="E967" s="1837"/>
      <c r="F967" s="2146"/>
      <c r="G967" s="2139" t="s">
        <v>2031</v>
      </c>
      <c r="H967" s="1837"/>
      <c r="I967" s="1837"/>
      <c r="J967" s="1837"/>
      <c r="K967" s="1837"/>
      <c r="L967" s="2048"/>
      <c r="M967" s="1918"/>
    </row>
    <row r="968" spans="1:14" s="1862" customFormat="1">
      <c r="A968" s="1952"/>
      <c r="B968" s="1871"/>
      <c r="C968" s="2147" t="s">
        <v>1984</v>
      </c>
      <c r="D968" s="2140"/>
      <c r="E968" s="1837"/>
      <c r="F968" s="2135"/>
      <c r="G968" s="2147" t="s">
        <v>1985</v>
      </c>
      <c r="H968" s="1952"/>
      <c r="I968" s="1952"/>
      <c r="J968" s="1952"/>
      <c r="K968" s="1952"/>
      <c r="L968" s="2048"/>
      <c r="M968" s="1918"/>
    </row>
    <row r="969" spans="1:14" s="1862" customFormat="1">
      <c r="A969" s="1952"/>
      <c r="B969" s="1952"/>
      <c r="C969" s="2139" t="s">
        <v>670</v>
      </c>
      <c r="D969" s="2139"/>
      <c r="E969" s="2143"/>
      <c r="F969" s="2143"/>
      <c r="G969" s="1952"/>
      <c r="H969" s="1952"/>
      <c r="I969" s="1952"/>
      <c r="J969" s="1952"/>
      <c r="K969" s="1952"/>
      <c r="L969" s="2048"/>
      <c r="M969" s="1918"/>
    </row>
    <row r="970" spans="1:14" s="1862" customFormat="1">
      <c r="A970" s="1840"/>
      <c r="B970" s="1840"/>
      <c r="C970" s="2147" t="s">
        <v>1972</v>
      </c>
      <c r="D970" s="2147"/>
      <c r="E970" s="2146"/>
      <c r="F970" s="2146"/>
      <c r="G970" s="1870"/>
      <c r="H970" s="1870"/>
      <c r="I970" s="1870"/>
      <c r="J970" s="1870"/>
      <c r="K970" s="1871"/>
      <c r="L970" s="2048"/>
      <c r="M970" s="1918"/>
    </row>
    <row r="971" spans="1:14" ht="48">
      <c r="A971" s="1903"/>
      <c r="B971" s="1904">
        <v>6</v>
      </c>
      <c r="C971" s="2049" t="s">
        <v>740</v>
      </c>
      <c r="D971" s="1898">
        <v>75.400000000000006</v>
      </c>
      <c r="E971" s="1899" t="s">
        <v>86</v>
      </c>
      <c r="F971" s="1900">
        <v>285</v>
      </c>
      <c r="G971" s="1900">
        <v>240</v>
      </c>
      <c r="H971" s="1906">
        <f t="shared" si="138"/>
        <v>21489</v>
      </c>
      <c r="I971" s="1906">
        <f t="shared" si="139"/>
        <v>18096</v>
      </c>
      <c r="J971" s="1906">
        <f t="shared" si="140"/>
        <v>39585</v>
      </c>
      <c r="K971" s="1907"/>
      <c r="M971" s="1885" t="s">
        <v>1076</v>
      </c>
    </row>
    <row r="972" spans="1:14">
      <c r="A972" s="1903"/>
      <c r="B972" s="1904">
        <v>7</v>
      </c>
      <c r="C972" s="1905" t="s">
        <v>372</v>
      </c>
      <c r="D972" s="1898">
        <v>17.7</v>
      </c>
      <c r="E972" s="1899" t="s">
        <v>86</v>
      </c>
      <c r="F972" s="1900">
        <v>151</v>
      </c>
      <c r="G972" s="1900">
        <v>92</v>
      </c>
      <c r="H972" s="1906">
        <f t="shared" si="138"/>
        <v>2672.7</v>
      </c>
      <c r="I972" s="1906">
        <f t="shared" si="139"/>
        <v>1628.3999999999999</v>
      </c>
      <c r="J972" s="1906">
        <f t="shared" si="140"/>
        <v>4301.0999999999995</v>
      </c>
      <c r="K972" s="1907"/>
      <c r="M972" s="1885" t="s">
        <v>1876</v>
      </c>
      <c r="N972" s="1861"/>
    </row>
    <row r="973" spans="1:14">
      <c r="A973" s="1903"/>
      <c r="B973" s="1904">
        <v>10</v>
      </c>
      <c r="C973" s="1905" t="s">
        <v>1747</v>
      </c>
      <c r="D973" s="1898">
        <v>845</v>
      </c>
      <c r="E973" s="1899" t="s">
        <v>86</v>
      </c>
      <c r="F973" s="1900">
        <v>75</v>
      </c>
      <c r="G973" s="1900">
        <v>87</v>
      </c>
      <c r="H973" s="1906">
        <f t="shared" si="138"/>
        <v>63375</v>
      </c>
      <c r="I973" s="1906">
        <f t="shared" si="139"/>
        <v>73515</v>
      </c>
      <c r="J973" s="1906">
        <f t="shared" si="140"/>
        <v>136890</v>
      </c>
      <c r="K973" s="1907"/>
      <c r="M973" s="1885" t="s">
        <v>1872</v>
      </c>
      <c r="N973" s="1861"/>
    </row>
    <row r="974" spans="1:14">
      <c r="A974" s="1903"/>
      <c r="B974" s="1904">
        <v>11</v>
      </c>
      <c r="C974" s="1905" t="s">
        <v>1747</v>
      </c>
      <c r="D974" s="1898">
        <v>183.9</v>
      </c>
      <c r="E974" s="1899" t="s">
        <v>86</v>
      </c>
      <c r="F974" s="1900">
        <v>75</v>
      </c>
      <c r="G974" s="1900">
        <v>87</v>
      </c>
      <c r="H974" s="1906">
        <f t="shared" si="138"/>
        <v>13792.5</v>
      </c>
      <c r="I974" s="1906">
        <f t="shared" si="139"/>
        <v>15999.300000000001</v>
      </c>
      <c r="J974" s="1906">
        <f t="shared" si="140"/>
        <v>29791.800000000003</v>
      </c>
      <c r="K974" s="1907"/>
      <c r="M974" s="1885" t="s">
        <v>1880</v>
      </c>
      <c r="N974" s="1861"/>
    </row>
    <row r="975" spans="1:14">
      <c r="A975" s="1903"/>
      <c r="B975" s="1904" t="s">
        <v>620</v>
      </c>
      <c r="C975" s="1905" t="s">
        <v>1008</v>
      </c>
      <c r="D975" s="1909">
        <v>921.7</v>
      </c>
      <c r="E975" s="1910" t="s">
        <v>84</v>
      </c>
      <c r="F975" s="1906">
        <v>79</v>
      </c>
      <c r="G975" s="1906">
        <v>46</v>
      </c>
      <c r="H975" s="1906">
        <f t="shared" si="138"/>
        <v>72814.3</v>
      </c>
      <c r="I975" s="1906">
        <f t="shared" si="139"/>
        <v>42398.200000000004</v>
      </c>
      <c r="J975" s="1906">
        <f t="shared" si="140"/>
        <v>115212.5</v>
      </c>
      <c r="K975" s="1907"/>
      <c r="M975" s="1885" t="s">
        <v>1881</v>
      </c>
      <c r="N975" s="1861"/>
    </row>
    <row r="976" spans="1:14">
      <c r="A976" s="1903"/>
      <c r="B976" s="1904" t="s">
        <v>621</v>
      </c>
      <c r="C976" s="1905" t="s">
        <v>1009</v>
      </c>
      <c r="D976" s="1909">
        <v>259.3</v>
      </c>
      <c r="E976" s="1910" t="s">
        <v>84</v>
      </c>
      <c r="F976" s="1906">
        <v>120</v>
      </c>
      <c r="G976" s="1906">
        <v>64</v>
      </c>
      <c r="H976" s="1906">
        <f t="shared" si="138"/>
        <v>31116</v>
      </c>
      <c r="I976" s="1906">
        <f t="shared" si="139"/>
        <v>16595.2</v>
      </c>
      <c r="J976" s="1906">
        <f t="shared" si="140"/>
        <v>47711.199999999997</v>
      </c>
      <c r="K976" s="1907"/>
      <c r="M976" s="1885" t="s">
        <v>1882</v>
      </c>
      <c r="N976" s="1861"/>
    </row>
    <row r="977" spans="1:14">
      <c r="A977" s="1903"/>
      <c r="B977" s="1904" t="s">
        <v>1007</v>
      </c>
      <c r="C977" s="1905" t="s">
        <v>1010</v>
      </c>
      <c r="D977" s="1909">
        <v>25</v>
      </c>
      <c r="E977" s="1910" t="s">
        <v>84</v>
      </c>
      <c r="F977" s="1906">
        <v>120</v>
      </c>
      <c r="G977" s="1906">
        <v>81</v>
      </c>
      <c r="H977" s="1906">
        <f t="shared" si="138"/>
        <v>3000</v>
      </c>
      <c r="I977" s="1906">
        <f t="shared" si="139"/>
        <v>2025</v>
      </c>
      <c r="J977" s="1906">
        <f t="shared" si="140"/>
        <v>5025</v>
      </c>
      <c r="K977" s="1907"/>
      <c r="M977" s="1885" t="s">
        <v>1883</v>
      </c>
      <c r="N977" s="1861"/>
    </row>
    <row r="978" spans="1:14">
      <c r="A978" s="1903"/>
      <c r="B978" s="1904"/>
      <c r="C978" s="1905" t="s">
        <v>1078</v>
      </c>
      <c r="D978" s="1898">
        <v>290</v>
      </c>
      <c r="E978" s="1910" t="s">
        <v>113</v>
      </c>
      <c r="F978" s="1900">
        <v>0</v>
      </c>
      <c r="G978" s="1900">
        <v>15</v>
      </c>
      <c r="H978" s="1906">
        <f t="shared" si="138"/>
        <v>0</v>
      </c>
      <c r="I978" s="1906">
        <f t="shared" si="139"/>
        <v>4350</v>
      </c>
      <c r="J978" s="1906">
        <f t="shared" si="140"/>
        <v>4350</v>
      </c>
      <c r="K978" s="1907"/>
      <c r="M978" s="1885" t="s">
        <v>1015</v>
      </c>
      <c r="N978" s="1861"/>
    </row>
    <row r="979" spans="1:14">
      <c r="A979" s="1903"/>
      <c r="B979" s="2386" t="s">
        <v>205</v>
      </c>
      <c r="C979" s="2386"/>
      <c r="D979" s="1909"/>
      <c r="E979" s="1910"/>
      <c r="F979" s="1906"/>
      <c r="G979" s="1906"/>
      <c r="H979" s="1906"/>
      <c r="I979" s="1906"/>
      <c r="J979" s="1906"/>
      <c r="K979" s="1907"/>
    </row>
    <row r="980" spans="1:14">
      <c r="A980" s="1926"/>
      <c r="B980" s="1927" t="s">
        <v>941</v>
      </c>
      <c r="C980" s="1928" t="s">
        <v>1066</v>
      </c>
      <c r="D980" s="1929">
        <f>D973</f>
        <v>845</v>
      </c>
      <c r="E980" s="1926" t="s">
        <v>86</v>
      </c>
      <c r="F980" s="1930">
        <v>35</v>
      </c>
      <c r="G980" s="1930">
        <v>30</v>
      </c>
      <c r="H980" s="1930">
        <f t="shared" ref="H980:H986" si="141">F980*D980</f>
        <v>29575</v>
      </c>
      <c r="I980" s="1930">
        <f t="shared" ref="I980:I986" si="142">G980*D980</f>
        <v>25350</v>
      </c>
      <c r="J980" s="1931">
        <f t="shared" ref="J980:J986" si="143">H980+I980</f>
        <v>54925</v>
      </c>
      <c r="K980" s="1931"/>
      <c r="L980" s="2155"/>
      <c r="M980" s="1885" t="s">
        <v>1876</v>
      </c>
      <c r="N980" s="1861"/>
    </row>
    <row r="981" spans="1:14">
      <c r="A981" s="1926"/>
      <c r="B981" s="1927" t="s">
        <v>942</v>
      </c>
      <c r="C981" s="1928" t="s">
        <v>1067</v>
      </c>
      <c r="D981" s="1929">
        <f>D974</f>
        <v>183.9</v>
      </c>
      <c r="E981" s="1926" t="s">
        <v>86</v>
      </c>
      <c r="F981" s="1930">
        <v>44</v>
      </c>
      <c r="G981" s="1930">
        <v>34</v>
      </c>
      <c r="H981" s="1930">
        <f t="shared" si="141"/>
        <v>8091.6</v>
      </c>
      <c r="I981" s="1930">
        <f t="shared" si="142"/>
        <v>6252.6</v>
      </c>
      <c r="J981" s="1931">
        <f t="shared" si="143"/>
        <v>14344.2</v>
      </c>
      <c r="K981" s="1931"/>
      <c r="L981" s="2155"/>
      <c r="M981" s="1885" t="s">
        <v>1876</v>
      </c>
      <c r="N981" s="1861"/>
    </row>
    <row r="982" spans="1:14" s="1873" customFormat="1" ht="48">
      <c r="A982" s="1944"/>
      <c r="B982" s="1939" t="s">
        <v>943</v>
      </c>
      <c r="C982" s="1946" t="s">
        <v>1068</v>
      </c>
      <c r="D982" s="1947">
        <f>D998</f>
        <v>71</v>
      </c>
      <c r="E982" s="1944" t="s">
        <v>86</v>
      </c>
      <c r="F982" s="1948">
        <v>33</v>
      </c>
      <c r="G982" s="1948">
        <v>30</v>
      </c>
      <c r="H982" s="1948">
        <f t="shared" si="141"/>
        <v>2343</v>
      </c>
      <c r="I982" s="1948">
        <f t="shared" si="142"/>
        <v>2130</v>
      </c>
      <c r="J982" s="1949">
        <f t="shared" si="143"/>
        <v>4473</v>
      </c>
      <c r="K982" s="1949"/>
      <c r="L982" s="2156"/>
      <c r="M982" s="1918" t="s">
        <v>1876</v>
      </c>
    </row>
    <row r="983" spans="1:14" s="1873" customFormat="1" ht="48">
      <c r="A983" s="1944"/>
      <c r="B983" s="1939" t="s">
        <v>944</v>
      </c>
      <c r="C983" s="1946" t="s">
        <v>1069</v>
      </c>
      <c r="D983" s="1947">
        <f>D999</f>
        <v>112</v>
      </c>
      <c r="E983" s="1944" t="s">
        <v>86</v>
      </c>
      <c r="F983" s="1948">
        <v>33</v>
      </c>
      <c r="G983" s="1942">
        <v>30</v>
      </c>
      <c r="H983" s="1948">
        <f t="shared" si="141"/>
        <v>3696</v>
      </c>
      <c r="I983" s="1948">
        <f t="shared" si="142"/>
        <v>3360</v>
      </c>
      <c r="J983" s="1949">
        <f t="shared" si="143"/>
        <v>7056</v>
      </c>
      <c r="K983" s="1949"/>
      <c r="L983" s="2156"/>
      <c r="M983" s="1918" t="s">
        <v>1876</v>
      </c>
    </row>
    <row r="984" spans="1:14" s="1873" customFormat="1" ht="48">
      <c r="A984" s="1938"/>
      <c r="B984" s="1939" t="s">
        <v>945</v>
      </c>
      <c r="C984" s="1940" t="s">
        <v>1070</v>
      </c>
      <c r="D984" s="1941">
        <f>D989</f>
        <v>473.4</v>
      </c>
      <c r="E984" s="1938" t="s">
        <v>86</v>
      </c>
      <c r="F984" s="1948">
        <v>33</v>
      </c>
      <c r="G984" s="1948">
        <v>30</v>
      </c>
      <c r="H984" s="1942">
        <f t="shared" si="141"/>
        <v>15622.199999999999</v>
      </c>
      <c r="I984" s="1942">
        <f t="shared" si="142"/>
        <v>14202</v>
      </c>
      <c r="J984" s="1943">
        <f t="shared" si="143"/>
        <v>29824.199999999997</v>
      </c>
      <c r="K984" s="1943"/>
      <c r="L984" s="2156"/>
      <c r="M984" s="1918" t="s">
        <v>1876</v>
      </c>
    </row>
    <row r="985" spans="1:14" s="1872" customFormat="1">
      <c r="A985" s="1926"/>
      <c r="B985" s="1927" t="s">
        <v>946</v>
      </c>
      <c r="C985" s="1928" t="s">
        <v>1071</v>
      </c>
      <c r="D985" s="1929">
        <v>112.6</v>
      </c>
      <c r="E985" s="1926" t="s">
        <v>86</v>
      </c>
      <c r="F985" s="1950">
        <v>58</v>
      </c>
      <c r="G985" s="1950">
        <v>35</v>
      </c>
      <c r="H985" s="1930">
        <f t="shared" si="141"/>
        <v>6530.7999999999993</v>
      </c>
      <c r="I985" s="1930">
        <f t="shared" si="142"/>
        <v>3941</v>
      </c>
      <c r="J985" s="1931">
        <f t="shared" si="143"/>
        <v>10471.799999999999</v>
      </c>
      <c r="K985" s="1931"/>
      <c r="L985" s="2155"/>
      <c r="M985" s="1885" t="s">
        <v>1876</v>
      </c>
    </row>
    <row r="986" spans="1:14" s="1872" customFormat="1">
      <c r="A986" s="1926"/>
      <c r="B986" s="1927" t="s">
        <v>1102</v>
      </c>
      <c r="C986" s="1928" t="s">
        <v>1103</v>
      </c>
      <c r="D986" s="1929">
        <v>15.1</v>
      </c>
      <c r="E986" s="1926" t="s">
        <v>86</v>
      </c>
      <c r="F986" s="1950">
        <v>471</v>
      </c>
      <c r="G986" s="1950">
        <v>30</v>
      </c>
      <c r="H986" s="1930">
        <f t="shared" si="141"/>
        <v>7112.0999999999995</v>
      </c>
      <c r="I986" s="1930">
        <f t="shared" si="142"/>
        <v>453</v>
      </c>
      <c r="J986" s="1931">
        <f t="shared" si="143"/>
        <v>7565.0999999999995</v>
      </c>
      <c r="K986" s="1931"/>
      <c r="L986" s="2155"/>
      <c r="M986" s="1885" t="s">
        <v>1876</v>
      </c>
    </row>
    <row r="987" spans="1:14" s="1872" customFormat="1">
      <c r="A987" s="1903"/>
      <c r="B987" s="2386" t="s">
        <v>204</v>
      </c>
      <c r="C987" s="2386"/>
      <c r="D987" s="1909"/>
      <c r="E987" s="1910"/>
      <c r="F987" s="1906"/>
      <c r="G987" s="1906"/>
      <c r="H987" s="1906"/>
      <c r="I987" s="1906"/>
      <c r="J987" s="1906"/>
      <c r="K987" s="1907"/>
      <c r="L987" s="1871"/>
      <c r="M987" s="1951"/>
    </row>
    <row r="988" spans="1:14" s="1872" customFormat="1">
      <c r="A988" s="1903"/>
      <c r="B988" s="1904" t="s">
        <v>197</v>
      </c>
      <c r="C988" s="1905" t="s">
        <v>937</v>
      </c>
      <c r="D988" s="1909">
        <v>385.7</v>
      </c>
      <c r="E988" s="1910" t="s">
        <v>86</v>
      </c>
      <c r="F988" s="1906">
        <v>177</v>
      </c>
      <c r="G988" s="1906">
        <v>134</v>
      </c>
      <c r="H988" s="1906">
        <f>+F988*D988</f>
        <v>68268.899999999994</v>
      </c>
      <c r="I988" s="1906">
        <f>+G988*D988</f>
        <v>51683.799999999996</v>
      </c>
      <c r="J988" s="1906">
        <f>+H988+I988</f>
        <v>119952.69999999998</v>
      </c>
      <c r="K988" s="1907"/>
      <c r="L988" s="1871"/>
      <c r="M988" s="1885" t="s">
        <v>1876</v>
      </c>
    </row>
    <row r="989" spans="1:14" s="1853" customFormat="1">
      <c r="A989" s="1903"/>
      <c r="B989" s="1904" t="s">
        <v>373</v>
      </c>
      <c r="C989" s="1905" t="s">
        <v>938</v>
      </c>
      <c r="D989" s="1909">
        <v>473.4</v>
      </c>
      <c r="E989" s="1910" t="s">
        <v>86</v>
      </c>
      <c r="F989" s="1906">
        <v>100</v>
      </c>
      <c r="G989" s="1906">
        <v>82</v>
      </c>
      <c r="H989" s="1906">
        <f>+F989*D989</f>
        <v>47340</v>
      </c>
      <c r="I989" s="1906">
        <f>+G989*D989</f>
        <v>38818.799999999996</v>
      </c>
      <c r="J989" s="1906">
        <f>+H989+I989</f>
        <v>86158.799999999988</v>
      </c>
      <c r="K989" s="1907"/>
      <c r="L989" s="1871"/>
      <c r="M989" s="1885" t="s">
        <v>1876</v>
      </c>
    </row>
    <row r="990" spans="1:14" s="1853" customFormat="1">
      <c r="A990" s="1863"/>
      <c r="B990" s="1864"/>
      <c r="C990" s="1865"/>
      <c r="D990" s="1866"/>
      <c r="E990" s="1867"/>
      <c r="F990" s="1868"/>
      <c r="G990" s="1868"/>
      <c r="H990" s="1868"/>
      <c r="I990" s="1868"/>
      <c r="J990" s="1868"/>
      <c r="K990" s="1869"/>
      <c r="L990" s="1871"/>
      <c r="M990" s="1885"/>
    </row>
    <row r="991" spans="1:14" s="1853" customFormat="1">
      <c r="A991" s="1840"/>
      <c r="B991" s="1860"/>
      <c r="C991" s="2133" t="s">
        <v>133</v>
      </c>
      <c r="D991" s="2134"/>
      <c r="E991" s="2135"/>
      <c r="F991" s="2136"/>
      <c r="G991" s="2137"/>
      <c r="H991" s="2137"/>
      <c r="I991" s="2137"/>
      <c r="J991" s="2137"/>
      <c r="K991" s="2137"/>
      <c r="L991" s="1871"/>
      <c r="M991" s="1885"/>
    </row>
    <row r="992" spans="1:14" s="1853" customFormat="1">
      <c r="A992" s="1840"/>
      <c r="B992" s="2138"/>
      <c r="C992" s="2139" t="s">
        <v>1769</v>
      </c>
      <c r="D992" s="2140"/>
      <c r="E992" s="1861"/>
      <c r="F992" s="2135"/>
      <c r="G992" s="2139" t="s">
        <v>134</v>
      </c>
      <c r="H992" s="2138"/>
      <c r="I992" s="2138"/>
      <c r="J992" s="2138"/>
      <c r="K992" s="2138"/>
      <c r="L992" s="1871"/>
      <c r="M992" s="1885"/>
    </row>
    <row r="993" spans="1:14" s="1853" customFormat="1">
      <c r="A993" s="1840"/>
      <c r="B993" s="1871"/>
      <c r="C993" s="2141" t="s">
        <v>1970</v>
      </c>
      <c r="D993" s="2140"/>
      <c r="E993" s="2142"/>
      <c r="F993" s="2143"/>
      <c r="G993" s="2144" t="s">
        <v>1971</v>
      </c>
      <c r="H993" s="2145"/>
      <c r="I993" s="2145"/>
      <c r="J993" s="2145"/>
      <c r="K993" s="2145"/>
      <c r="L993" s="1871"/>
      <c r="M993" s="1885"/>
    </row>
    <row r="994" spans="1:14" s="1853" customFormat="1">
      <c r="A994" s="1837"/>
      <c r="B994" s="2138"/>
      <c r="C994" s="2139" t="s">
        <v>2031</v>
      </c>
      <c r="D994" s="2140"/>
      <c r="E994" s="1837"/>
      <c r="F994" s="2146"/>
      <c r="G994" s="2139" t="s">
        <v>2031</v>
      </c>
      <c r="H994" s="1837"/>
      <c r="I994" s="1837"/>
      <c r="J994" s="1837"/>
      <c r="K994" s="1837"/>
      <c r="L994" s="1871"/>
      <c r="M994" s="1885"/>
    </row>
    <row r="995" spans="1:14" s="1853" customFormat="1">
      <c r="A995" s="1952"/>
      <c r="B995" s="1871"/>
      <c r="C995" s="2147" t="s">
        <v>1984</v>
      </c>
      <c r="D995" s="2140"/>
      <c r="E995" s="1837"/>
      <c r="F995" s="2135"/>
      <c r="G995" s="2147" t="s">
        <v>1985</v>
      </c>
      <c r="H995" s="1952"/>
      <c r="I995" s="1952"/>
      <c r="J995" s="1952"/>
      <c r="K995" s="1952"/>
      <c r="L995" s="1871"/>
      <c r="M995" s="1885"/>
    </row>
    <row r="996" spans="1:14" s="1853" customFormat="1">
      <c r="A996" s="1952"/>
      <c r="B996" s="1952"/>
      <c r="C996" s="2139" t="s">
        <v>670</v>
      </c>
      <c r="D996" s="2139"/>
      <c r="E996" s="2143"/>
      <c r="F996" s="2143"/>
      <c r="G996" s="1952"/>
      <c r="H996" s="1952"/>
      <c r="I996" s="1952"/>
      <c r="J996" s="1952"/>
      <c r="K996" s="1952"/>
      <c r="L996" s="1871"/>
      <c r="M996" s="1885"/>
    </row>
    <row r="997" spans="1:14" s="1853" customFormat="1">
      <c r="A997" s="1840"/>
      <c r="B997" s="1840"/>
      <c r="C997" s="2147" t="s">
        <v>1972</v>
      </c>
      <c r="D997" s="2147"/>
      <c r="E997" s="2146"/>
      <c r="F997" s="2146"/>
      <c r="G997" s="1870"/>
      <c r="H997" s="1870"/>
      <c r="I997" s="1870"/>
      <c r="J997" s="1870"/>
      <c r="K997" s="1871"/>
      <c r="L997" s="1871"/>
      <c r="M997" s="1885"/>
    </row>
    <row r="998" spans="1:14" s="1853" customFormat="1">
      <c r="A998" s="1903"/>
      <c r="B998" s="1904" t="s">
        <v>374</v>
      </c>
      <c r="C998" s="1905" t="s">
        <v>1236</v>
      </c>
      <c r="D998" s="1909">
        <v>71</v>
      </c>
      <c r="E998" s="1910" t="s">
        <v>86</v>
      </c>
      <c r="F998" s="1906">
        <v>298</v>
      </c>
      <c r="G998" s="1906">
        <v>75</v>
      </c>
      <c r="H998" s="1906">
        <f>+F998*D998</f>
        <v>21158</v>
      </c>
      <c r="I998" s="1906">
        <f>+G998*D998</f>
        <v>5325</v>
      </c>
      <c r="J998" s="1906">
        <f>+H998+I998</f>
        <v>26483</v>
      </c>
      <c r="K998" s="1907"/>
      <c r="L998" s="1871"/>
      <c r="M998" s="1885" t="s">
        <v>1876</v>
      </c>
    </row>
    <row r="999" spans="1:14" s="1853" customFormat="1">
      <c r="A999" s="1903"/>
      <c r="B999" s="1904" t="s">
        <v>375</v>
      </c>
      <c r="C999" s="1905" t="s">
        <v>1235</v>
      </c>
      <c r="D999" s="1909">
        <v>112</v>
      </c>
      <c r="E999" s="1910" t="s">
        <v>86</v>
      </c>
      <c r="F999" s="1906">
        <v>343</v>
      </c>
      <c r="G999" s="1906">
        <v>75</v>
      </c>
      <c r="H999" s="1906">
        <f>+F999*D999</f>
        <v>38416</v>
      </c>
      <c r="I999" s="1906">
        <f>+G999*D999</f>
        <v>8400</v>
      </c>
      <c r="J999" s="1906">
        <f>+H999+I999</f>
        <v>46816</v>
      </c>
      <c r="K999" s="1907"/>
      <c r="L999" s="1871"/>
      <c r="M999" s="1885" t="s">
        <v>1876</v>
      </c>
    </row>
    <row r="1000" spans="1:14">
      <c r="A1000" s="1926"/>
      <c r="B1000" s="1927"/>
      <c r="C1000" s="1928" t="s">
        <v>1199</v>
      </c>
      <c r="D1000" s="1929">
        <v>3</v>
      </c>
      <c r="E1000" s="1926" t="s">
        <v>5</v>
      </c>
      <c r="F1000" s="1930">
        <v>500</v>
      </c>
      <c r="G1000" s="1930">
        <v>100</v>
      </c>
      <c r="H1000" s="1930">
        <f>+F1000*D1000</f>
        <v>1500</v>
      </c>
      <c r="I1000" s="1930">
        <f>+G1000*D1000</f>
        <v>300</v>
      </c>
      <c r="J1000" s="1931">
        <f>+H1000+I1000</f>
        <v>1800</v>
      </c>
      <c r="K1000" s="1931"/>
      <c r="L1000" s="2155"/>
      <c r="M1000" s="1885" t="s">
        <v>1876</v>
      </c>
      <c r="N1000" s="1861"/>
    </row>
    <row r="1001" spans="1:14" s="1853" customFormat="1">
      <c r="A1001" s="1897"/>
      <c r="B1001" s="2388" t="s">
        <v>202</v>
      </c>
      <c r="C1001" s="2388"/>
      <c r="D1001" s="1898"/>
      <c r="E1001" s="1899"/>
      <c r="F1001" s="1900"/>
      <c r="G1001" s="1900"/>
      <c r="H1001" s="1900"/>
      <c r="I1001" s="1900"/>
      <c r="J1001" s="1900"/>
      <c r="K1001" s="1901"/>
      <c r="L1001" s="1871"/>
      <c r="M1001" s="1902"/>
    </row>
    <row r="1002" spans="1:14" s="1853" customFormat="1">
      <c r="A1002" s="1903"/>
      <c r="B1002" s="2386" t="s">
        <v>110</v>
      </c>
      <c r="C1002" s="2386"/>
      <c r="D1002" s="1909"/>
      <c r="E1002" s="1910"/>
      <c r="F1002" s="1906"/>
      <c r="G1002" s="1906"/>
      <c r="H1002" s="1906"/>
      <c r="I1002" s="1906"/>
      <c r="J1002" s="1906"/>
      <c r="K1002" s="1907"/>
      <c r="L1002" s="1871"/>
      <c r="M1002" s="1902"/>
    </row>
    <row r="1003" spans="1:14">
      <c r="A1003" s="1903"/>
      <c r="B1003" s="1904" t="s">
        <v>612</v>
      </c>
      <c r="C1003" s="1905" t="s">
        <v>893</v>
      </c>
      <c r="D1003" s="1909">
        <v>2</v>
      </c>
      <c r="E1003" s="1910" t="s">
        <v>5</v>
      </c>
      <c r="F1003" s="1900">
        <v>12306</v>
      </c>
      <c r="G1003" s="1900">
        <v>450</v>
      </c>
      <c r="H1003" s="1906">
        <f>+F1003*D1003</f>
        <v>24612</v>
      </c>
      <c r="I1003" s="1906">
        <f>+G1003*D1003</f>
        <v>900</v>
      </c>
      <c r="J1003" s="1906">
        <f>+H1003+I1003</f>
        <v>25512</v>
      </c>
      <c r="K1003" s="1907"/>
      <c r="M1003" s="1952" t="s">
        <v>1926</v>
      </c>
    </row>
    <row r="1004" spans="1:14">
      <c r="A1004" s="1903"/>
      <c r="B1004" s="1904" t="s">
        <v>604</v>
      </c>
      <c r="C1004" s="1905" t="s">
        <v>990</v>
      </c>
      <c r="D1004" s="1909">
        <v>3</v>
      </c>
      <c r="E1004" s="1910" t="s">
        <v>5</v>
      </c>
      <c r="F1004" s="1900">
        <v>22000</v>
      </c>
      <c r="G1004" s="1900">
        <f>F1004*0.3</f>
        <v>6600</v>
      </c>
      <c r="H1004" s="1906">
        <f>+F1004*D1004</f>
        <v>66000</v>
      </c>
      <c r="I1004" s="1906">
        <f>+G1004*D1004</f>
        <v>19800</v>
      </c>
      <c r="J1004" s="1906">
        <f>+H1004+I1004</f>
        <v>85800</v>
      </c>
      <c r="K1004" s="1907"/>
      <c r="L1004" s="1907" t="s">
        <v>1968</v>
      </c>
      <c r="M1004" s="1952" t="s">
        <v>622</v>
      </c>
    </row>
    <row r="1005" spans="1:14">
      <c r="A1005" s="1903"/>
      <c r="B1005" s="1904" t="s">
        <v>890</v>
      </c>
      <c r="C1005" s="1905" t="s">
        <v>896</v>
      </c>
      <c r="D1005" s="1909">
        <v>1</v>
      </c>
      <c r="E1005" s="1910" t="s">
        <v>5</v>
      </c>
      <c r="F1005" s="1900">
        <v>21100</v>
      </c>
      <c r="G1005" s="1900">
        <v>1450</v>
      </c>
      <c r="H1005" s="1906">
        <f t="shared" ref="H1005:H1011" si="144">+F1005*D1005</f>
        <v>21100</v>
      </c>
      <c r="I1005" s="1906">
        <f t="shared" ref="I1005:I1011" si="145">+G1005*D1005</f>
        <v>1450</v>
      </c>
      <c r="J1005" s="1906">
        <f t="shared" ref="J1005:J1011" si="146">+H1005+I1005</f>
        <v>22550</v>
      </c>
      <c r="K1005" s="1907"/>
      <c r="L1005" s="1901" t="s">
        <v>1941</v>
      </c>
      <c r="M1005" s="1952" t="s">
        <v>1942</v>
      </c>
    </row>
    <row r="1006" spans="1:14" s="1874" customFormat="1">
      <c r="A1006" s="1903"/>
      <c r="B1006" s="1904" t="s">
        <v>609</v>
      </c>
      <c r="C1006" s="1905" t="s">
        <v>895</v>
      </c>
      <c r="D1006" s="1909">
        <v>2</v>
      </c>
      <c r="E1006" s="1910" t="s">
        <v>5</v>
      </c>
      <c r="F1006" s="1906">
        <v>8713</v>
      </c>
      <c r="G1006" s="1906">
        <v>450</v>
      </c>
      <c r="H1006" s="1906">
        <f t="shared" si="144"/>
        <v>17426</v>
      </c>
      <c r="I1006" s="1906">
        <f t="shared" si="145"/>
        <v>900</v>
      </c>
      <c r="J1006" s="1906">
        <f t="shared" si="146"/>
        <v>18326</v>
      </c>
      <c r="K1006" s="1907"/>
      <c r="L1006" s="1907"/>
      <c r="M1006" s="1952" t="s">
        <v>1926</v>
      </c>
    </row>
    <row r="1007" spans="1:14" s="1874" customFormat="1">
      <c r="A1007" s="1903"/>
      <c r="B1007" s="1904" t="s">
        <v>902</v>
      </c>
      <c r="C1007" s="1905" t="s">
        <v>906</v>
      </c>
      <c r="D1007" s="1909">
        <v>9</v>
      </c>
      <c r="E1007" s="1910" t="s">
        <v>5</v>
      </c>
      <c r="F1007" s="1906">
        <v>19000</v>
      </c>
      <c r="G1007" s="1906">
        <v>1500</v>
      </c>
      <c r="H1007" s="1906">
        <f t="shared" si="144"/>
        <v>171000</v>
      </c>
      <c r="I1007" s="1906">
        <f t="shared" si="145"/>
        <v>13500</v>
      </c>
      <c r="J1007" s="1906">
        <f t="shared" si="146"/>
        <v>184500</v>
      </c>
      <c r="K1007" s="1907"/>
      <c r="L1007" s="1907" t="s">
        <v>1919</v>
      </c>
      <c r="M1007" s="1952" t="s">
        <v>622</v>
      </c>
    </row>
    <row r="1008" spans="1:14" s="1853" customFormat="1">
      <c r="A1008" s="1903"/>
      <c r="B1008" s="1904" t="s">
        <v>607</v>
      </c>
      <c r="C1008" s="1905" t="s">
        <v>920</v>
      </c>
      <c r="D1008" s="1909">
        <v>2</v>
      </c>
      <c r="E1008" s="1910" t="s">
        <v>5</v>
      </c>
      <c r="F1008" s="1906">
        <v>74500</v>
      </c>
      <c r="G1008" s="1906">
        <v>4500</v>
      </c>
      <c r="H1008" s="1906">
        <f t="shared" si="144"/>
        <v>149000</v>
      </c>
      <c r="I1008" s="1906">
        <f t="shared" si="145"/>
        <v>9000</v>
      </c>
      <c r="J1008" s="1906">
        <f t="shared" si="146"/>
        <v>158000</v>
      </c>
      <c r="K1008" s="1907"/>
      <c r="L1008" s="1907" t="s">
        <v>1919</v>
      </c>
      <c r="M1008" s="1902"/>
    </row>
    <row r="1009" spans="1:13" s="1853" customFormat="1">
      <c r="A1009" s="1903"/>
      <c r="B1009" s="1904" t="s">
        <v>919</v>
      </c>
      <c r="C1009" s="1905" t="s">
        <v>921</v>
      </c>
      <c r="D1009" s="1909">
        <v>1</v>
      </c>
      <c r="E1009" s="1910" t="s">
        <v>5</v>
      </c>
      <c r="F1009" s="1900">
        <v>242200</v>
      </c>
      <c r="G1009" s="1900">
        <v>14100</v>
      </c>
      <c r="H1009" s="1906">
        <f t="shared" si="144"/>
        <v>242200</v>
      </c>
      <c r="I1009" s="1906">
        <f t="shared" si="145"/>
        <v>14100</v>
      </c>
      <c r="J1009" s="1906">
        <f t="shared" si="146"/>
        <v>256300</v>
      </c>
      <c r="K1009" s="1907"/>
      <c r="L1009" s="1907" t="s">
        <v>1919</v>
      </c>
      <c r="M1009" s="1952" t="s">
        <v>622</v>
      </c>
    </row>
    <row r="1010" spans="1:13" s="1874" customFormat="1">
      <c r="A1010" s="1903"/>
      <c r="B1010" s="1904" t="s">
        <v>613</v>
      </c>
      <c r="C1010" s="1905" t="s">
        <v>1944</v>
      </c>
      <c r="D1010" s="1898">
        <v>1</v>
      </c>
      <c r="E1010" s="1899" t="s">
        <v>5</v>
      </c>
      <c r="F1010" s="1900">
        <v>180000</v>
      </c>
      <c r="G1010" s="1900">
        <v>25000</v>
      </c>
      <c r="H1010" s="1906">
        <f t="shared" si="144"/>
        <v>180000</v>
      </c>
      <c r="I1010" s="1906">
        <f t="shared" si="145"/>
        <v>25000</v>
      </c>
      <c r="J1010" s="1906">
        <f t="shared" si="146"/>
        <v>205000</v>
      </c>
      <c r="K1010" s="1907"/>
      <c r="L1010" s="1907" t="s">
        <v>1943</v>
      </c>
      <c r="M1010" s="1952" t="s">
        <v>622</v>
      </c>
    </row>
    <row r="1011" spans="1:13" s="1853" customFormat="1">
      <c r="A1011" s="1903"/>
      <c r="B1011" s="1904" t="s">
        <v>1046</v>
      </c>
      <c r="C1011" s="1905" t="s">
        <v>1047</v>
      </c>
      <c r="D1011" s="1898">
        <v>1</v>
      </c>
      <c r="E1011" s="1899" t="s">
        <v>5</v>
      </c>
      <c r="F1011" s="1900">
        <v>5975</v>
      </c>
      <c r="G1011" s="1900">
        <v>450</v>
      </c>
      <c r="H1011" s="1906">
        <f t="shared" si="144"/>
        <v>5975</v>
      </c>
      <c r="I1011" s="1906">
        <f t="shared" si="145"/>
        <v>450</v>
      </c>
      <c r="J1011" s="1906">
        <f t="shared" si="146"/>
        <v>6425</v>
      </c>
      <c r="K1011" s="1907"/>
      <c r="L1011" s="1871"/>
      <c r="M1011" s="1952" t="s">
        <v>1926</v>
      </c>
    </row>
    <row r="1012" spans="1:13" s="1853" customFormat="1">
      <c r="A1012" s="1903"/>
      <c r="B1012" s="2386" t="s">
        <v>111</v>
      </c>
      <c r="C1012" s="2386"/>
      <c r="D1012" s="1898"/>
      <c r="E1012" s="1899"/>
      <c r="F1012" s="1900"/>
      <c r="G1012" s="1900"/>
      <c r="H1012" s="1906"/>
      <c r="I1012" s="1906"/>
      <c r="J1012" s="1906"/>
      <c r="K1012" s="1907"/>
      <c r="L1012" s="1871"/>
      <c r="M1012" s="1902"/>
    </row>
    <row r="1013" spans="1:13" s="1853" customFormat="1">
      <c r="A1013" s="1903"/>
      <c r="B1013" s="1904" t="s">
        <v>908</v>
      </c>
      <c r="C1013" s="1905" t="s">
        <v>899</v>
      </c>
      <c r="D1013" s="1898">
        <v>1</v>
      </c>
      <c r="E1013" s="1899" t="s">
        <v>5</v>
      </c>
      <c r="F1013" s="1906">
        <v>28900</v>
      </c>
      <c r="G1013" s="1906">
        <f t="shared" ref="G1013:G1037" si="147">F1013*0.3</f>
        <v>8670</v>
      </c>
      <c r="H1013" s="1906">
        <f t="shared" ref="H1013:H1037" si="148">+F1013*D1013</f>
        <v>28900</v>
      </c>
      <c r="I1013" s="1906">
        <f t="shared" ref="I1013:I1037" si="149">+G1013*D1013</f>
        <v>8670</v>
      </c>
      <c r="J1013" s="1906">
        <f t="shared" ref="J1013:J1037" si="150">+H1013+I1013</f>
        <v>37570</v>
      </c>
      <c r="K1013" s="1907"/>
      <c r="L1013" s="1907" t="s">
        <v>1935</v>
      </c>
      <c r="M1013" s="1952" t="s">
        <v>622</v>
      </c>
    </row>
    <row r="1014" spans="1:13">
      <c r="A1014" s="1903"/>
      <c r="B1014" s="1904" t="s">
        <v>897</v>
      </c>
      <c r="C1014" s="1905" t="s">
        <v>901</v>
      </c>
      <c r="D1014" s="1909">
        <v>2</v>
      </c>
      <c r="E1014" s="1910" t="s">
        <v>5</v>
      </c>
      <c r="F1014" s="1906">
        <v>5715</v>
      </c>
      <c r="G1014" s="1906">
        <f t="shared" si="147"/>
        <v>1714.5</v>
      </c>
      <c r="H1014" s="1906">
        <f t="shared" si="148"/>
        <v>11430</v>
      </c>
      <c r="I1014" s="1906">
        <f t="shared" si="149"/>
        <v>3429</v>
      </c>
      <c r="J1014" s="1906">
        <f t="shared" si="150"/>
        <v>14859</v>
      </c>
      <c r="K1014" s="1907"/>
      <c r="L1014" s="1907"/>
      <c r="M1014" s="1952" t="s">
        <v>622</v>
      </c>
    </row>
    <row r="1015" spans="1:13">
      <c r="A1015" s="1903"/>
      <c r="B1015" s="1904" t="s">
        <v>370</v>
      </c>
      <c r="C1015" s="1905" t="s">
        <v>913</v>
      </c>
      <c r="D1015" s="1909">
        <v>1</v>
      </c>
      <c r="E1015" s="1910" t="s">
        <v>5</v>
      </c>
      <c r="F1015" s="1906">
        <v>11100</v>
      </c>
      <c r="G1015" s="1906">
        <f t="shared" si="147"/>
        <v>3330</v>
      </c>
      <c r="H1015" s="1906">
        <f t="shared" si="148"/>
        <v>11100</v>
      </c>
      <c r="I1015" s="1906">
        <f t="shared" si="149"/>
        <v>3330</v>
      </c>
      <c r="J1015" s="1906">
        <f t="shared" si="150"/>
        <v>14430</v>
      </c>
      <c r="K1015" s="1907"/>
      <c r="L1015" s="1907" t="s">
        <v>1935</v>
      </c>
      <c r="M1015" s="1952" t="s">
        <v>622</v>
      </c>
    </row>
    <row r="1016" spans="1:13">
      <c r="A1016" s="1903"/>
      <c r="B1016" s="1904" t="s">
        <v>371</v>
      </c>
      <c r="C1016" s="1905" t="s">
        <v>914</v>
      </c>
      <c r="D1016" s="1909">
        <v>4</v>
      </c>
      <c r="E1016" s="1910" t="s">
        <v>5</v>
      </c>
      <c r="F1016" s="1906">
        <v>46000</v>
      </c>
      <c r="G1016" s="1906">
        <f t="shared" si="147"/>
        <v>13800</v>
      </c>
      <c r="H1016" s="1906">
        <f t="shared" si="148"/>
        <v>184000</v>
      </c>
      <c r="I1016" s="1906">
        <f t="shared" si="149"/>
        <v>55200</v>
      </c>
      <c r="J1016" s="1906">
        <f t="shared" si="150"/>
        <v>239200</v>
      </c>
      <c r="K1016" s="1907"/>
      <c r="L1016" s="1907" t="s">
        <v>1935</v>
      </c>
      <c r="M1016" s="1952" t="s">
        <v>622</v>
      </c>
    </row>
    <row r="1017" spans="1:13">
      <c r="A1017" s="1903"/>
      <c r="B1017" s="1904" t="s">
        <v>8</v>
      </c>
      <c r="C1017" s="1905" t="s">
        <v>914</v>
      </c>
      <c r="D1017" s="1909">
        <v>3</v>
      </c>
      <c r="E1017" s="1910" t="s">
        <v>5</v>
      </c>
      <c r="F1017" s="1906">
        <v>52100</v>
      </c>
      <c r="G1017" s="1906">
        <f t="shared" si="147"/>
        <v>15630</v>
      </c>
      <c r="H1017" s="1906">
        <f t="shared" si="148"/>
        <v>156300</v>
      </c>
      <c r="I1017" s="1906">
        <f t="shared" si="149"/>
        <v>46890</v>
      </c>
      <c r="J1017" s="1906">
        <f t="shared" si="150"/>
        <v>203190</v>
      </c>
      <c r="K1017" s="1907"/>
      <c r="L1017" s="1907" t="s">
        <v>1935</v>
      </c>
      <c r="M1017" s="1952" t="s">
        <v>622</v>
      </c>
    </row>
    <row r="1018" spans="1:13">
      <c r="A1018" s="1903"/>
      <c r="B1018" s="1904" t="s">
        <v>909</v>
      </c>
      <c r="C1018" s="1905" t="s">
        <v>915</v>
      </c>
      <c r="D1018" s="1909">
        <v>1</v>
      </c>
      <c r="E1018" s="1910" t="s">
        <v>5</v>
      </c>
      <c r="F1018" s="1906">
        <v>18300</v>
      </c>
      <c r="G1018" s="1906">
        <f t="shared" si="147"/>
        <v>5490</v>
      </c>
      <c r="H1018" s="1906">
        <f t="shared" si="148"/>
        <v>18300</v>
      </c>
      <c r="I1018" s="1906">
        <f t="shared" si="149"/>
        <v>5490</v>
      </c>
      <c r="J1018" s="1906">
        <f t="shared" si="150"/>
        <v>23790</v>
      </c>
      <c r="K1018" s="1907"/>
      <c r="L1018" s="1907" t="s">
        <v>1935</v>
      </c>
      <c r="M1018" s="1952" t="s">
        <v>622</v>
      </c>
    </row>
    <row r="1019" spans="1:13">
      <c r="A1019" s="1903"/>
      <c r="B1019" s="1904" t="s">
        <v>911</v>
      </c>
      <c r="C1019" s="1905" t="s">
        <v>900</v>
      </c>
      <c r="D1019" s="1909">
        <v>4</v>
      </c>
      <c r="E1019" s="1910" t="s">
        <v>5</v>
      </c>
      <c r="F1019" s="1906">
        <v>10400</v>
      </c>
      <c r="G1019" s="1906">
        <f t="shared" si="147"/>
        <v>3120</v>
      </c>
      <c r="H1019" s="1906">
        <f t="shared" si="148"/>
        <v>41600</v>
      </c>
      <c r="I1019" s="1906">
        <f t="shared" si="149"/>
        <v>12480</v>
      </c>
      <c r="J1019" s="1906">
        <f t="shared" si="150"/>
        <v>54080</v>
      </c>
      <c r="K1019" s="1907"/>
      <c r="L1019" s="1907" t="s">
        <v>1935</v>
      </c>
      <c r="M1019" s="1952" t="s">
        <v>622</v>
      </c>
    </row>
    <row r="1020" spans="1:13">
      <c r="A1020" s="1903"/>
      <c r="B1020" s="1904" t="s">
        <v>912</v>
      </c>
      <c r="C1020" s="1905" t="s">
        <v>914</v>
      </c>
      <c r="D1020" s="1909">
        <v>1</v>
      </c>
      <c r="E1020" s="1910" t="s">
        <v>5</v>
      </c>
      <c r="F1020" s="1906">
        <v>73400</v>
      </c>
      <c r="G1020" s="1906">
        <f t="shared" si="147"/>
        <v>22020</v>
      </c>
      <c r="H1020" s="1906">
        <f t="shared" si="148"/>
        <v>73400</v>
      </c>
      <c r="I1020" s="1906">
        <f t="shared" si="149"/>
        <v>22020</v>
      </c>
      <c r="J1020" s="1906">
        <f t="shared" si="150"/>
        <v>95420</v>
      </c>
      <c r="K1020" s="1907"/>
      <c r="L1020" s="1907" t="s">
        <v>1935</v>
      </c>
      <c r="M1020" s="1952" t="s">
        <v>622</v>
      </c>
    </row>
    <row r="1021" spans="1:13">
      <c r="A1021" s="1863"/>
      <c r="B1021" s="1864"/>
      <c r="C1021" s="1865"/>
      <c r="D1021" s="1866"/>
      <c r="E1021" s="1867"/>
      <c r="F1021" s="1868"/>
      <c r="G1021" s="1868"/>
      <c r="H1021" s="1868"/>
      <c r="I1021" s="1868"/>
      <c r="J1021" s="1868"/>
      <c r="K1021" s="1869"/>
      <c r="L1021" s="1907"/>
      <c r="M1021" s="1952"/>
    </row>
    <row r="1022" spans="1:13">
      <c r="B1022" s="1860"/>
      <c r="C1022" s="2133" t="s">
        <v>133</v>
      </c>
      <c r="D1022" s="2134"/>
      <c r="E1022" s="2135"/>
      <c r="F1022" s="2136"/>
      <c r="G1022" s="2137"/>
      <c r="H1022" s="2137"/>
      <c r="I1022" s="2137"/>
      <c r="J1022" s="2137"/>
      <c r="K1022" s="2137"/>
      <c r="L1022" s="1907"/>
      <c r="M1022" s="1952"/>
    </row>
    <row r="1023" spans="1:13">
      <c r="B1023" s="2138"/>
      <c r="C1023" s="2139" t="s">
        <v>1769</v>
      </c>
      <c r="D1023" s="2140"/>
      <c r="E1023" s="1861"/>
      <c r="F1023" s="2135"/>
      <c r="G1023" s="2139" t="s">
        <v>134</v>
      </c>
      <c r="H1023" s="2138"/>
      <c r="I1023" s="2138"/>
      <c r="J1023" s="2138"/>
      <c r="K1023" s="2138"/>
      <c r="L1023" s="1907"/>
      <c r="M1023" s="1952"/>
    </row>
    <row r="1024" spans="1:13">
      <c r="B1024" s="1871"/>
      <c r="C1024" s="2141" t="s">
        <v>1970</v>
      </c>
      <c r="D1024" s="2140"/>
      <c r="E1024" s="2142"/>
      <c r="F1024" s="2143"/>
      <c r="G1024" s="2144" t="s">
        <v>1971</v>
      </c>
      <c r="H1024" s="2145"/>
      <c r="I1024" s="2145"/>
      <c r="J1024" s="2145"/>
      <c r="K1024" s="2145"/>
      <c r="L1024" s="1907"/>
      <c r="M1024" s="1952"/>
    </row>
    <row r="1025" spans="1:13">
      <c r="A1025" s="1837"/>
      <c r="B1025" s="2138"/>
      <c r="C1025" s="2139" t="s">
        <v>2031</v>
      </c>
      <c r="D1025" s="2140"/>
      <c r="E1025" s="1837"/>
      <c r="F1025" s="2146"/>
      <c r="G1025" s="2139" t="s">
        <v>2031</v>
      </c>
      <c r="H1025" s="1837"/>
      <c r="I1025" s="1837"/>
      <c r="J1025" s="1837"/>
      <c r="K1025" s="1837"/>
      <c r="L1025" s="1907"/>
      <c r="M1025" s="1952"/>
    </row>
    <row r="1026" spans="1:13">
      <c r="A1026" s="1952"/>
      <c r="B1026" s="1871"/>
      <c r="C1026" s="2147" t="s">
        <v>1984</v>
      </c>
      <c r="D1026" s="2140"/>
      <c r="E1026" s="1837"/>
      <c r="F1026" s="2135"/>
      <c r="G1026" s="2147" t="s">
        <v>1985</v>
      </c>
      <c r="H1026" s="1952"/>
      <c r="I1026" s="1952"/>
      <c r="J1026" s="1952"/>
      <c r="K1026" s="1952"/>
      <c r="L1026" s="1907"/>
      <c r="M1026" s="1952"/>
    </row>
    <row r="1027" spans="1:13">
      <c r="A1027" s="1952"/>
      <c r="B1027" s="1952"/>
      <c r="C1027" s="2139" t="s">
        <v>670</v>
      </c>
      <c r="D1027" s="2139"/>
      <c r="E1027" s="2143"/>
      <c r="F1027" s="2143"/>
      <c r="G1027" s="1952"/>
      <c r="H1027" s="1952"/>
      <c r="I1027" s="1952"/>
      <c r="J1027" s="1952"/>
      <c r="K1027" s="1952"/>
      <c r="L1027" s="1907"/>
      <c r="M1027" s="1952"/>
    </row>
    <row r="1028" spans="1:13">
      <c r="C1028" s="2147" t="s">
        <v>1972</v>
      </c>
      <c r="D1028" s="2147"/>
      <c r="E1028" s="2146"/>
      <c r="F1028" s="2146"/>
      <c r="L1028" s="1907"/>
      <c r="M1028" s="1952"/>
    </row>
    <row r="1029" spans="1:13">
      <c r="A1029" s="1903"/>
      <c r="B1029" s="1904" t="s">
        <v>916</v>
      </c>
      <c r="C1029" s="1905" t="s">
        <v>923</v>
      </c>
      <c r="D1029" s="1909">
        <v>8</v>
      </c>
      <c r="E1029" s="1910" t="s">
        <v>5</v>
      </c>
      <c r="F1029" s="1906">
        <v>11300</v>
      </c>
      <c r="G1029" s="1906">
        <f t="shared" si="147"/>
        <v>3390</v>
      </c>
      <c r="H1029" s="1906">
        <f t="shared" si="148"/>
        <v>90400</v>
      </c>
      <c r="I1029" s="1906">
        <f t="shared" si="149"/>
        <v>27120</v>
      </c>
      <c r="J1029" s="1906">
        <f t="shared" si="150"/>
        <v>117520</v>
      </c>
      <c r="K1029" s="1907"/>
      <c r="L1029" s="1907" t="s">
        <v>1935</v>
      </c>
      <c r="M1029" s="1952" t="s">
        <v>622</v>
      </c>
    </row>
    <row r="1030" spans="1:13">
      <c r="A1030" s="1903"/>
      <c r="B1030" s="1904" t="s">
        <v>917</v>
      </c>
      <c r="C1030" s="1905" t="s">
        <v>898</v>
      </c>
      <c r="D1030" s="1909">
        <v>1</v>
      </c>
      <c r="E1030" s="1910" t="s">
        <v>5</v>
      </c>
      <c r="F1030" s="1906">
        <v>158000</v>
      </c>
      <c r="G1030" s="1906">
        <f t="shared" si="147"/>
        <v>47400</v>
      </c>
      <c r="H1030" s="1906">
        <f t="shared" si="148"/>
        <v>158000</v>
      </c>
      <c r="I1030" s="1906">
        <f t="shared" si="149"/>
        <v>47400</v>
      </c>
      <c r="J1030" s="1906">
        <f t="shared" si="150"/>
        <v>205400</v>
      </c>
      <c r="K1030" s="1907"/>
      <c r="L1030" s="1907" t="s">
        <v>1935</v>
      </c>
      <c r="M1030" s="1952" t="s">
        <v>622</v>
      </c>
    </row>
    <row r="1031" spans="1:13">
      <c r="A1031" s="1903"/>
      <c r="B1031" s="1904" t="s">
        <v>922</v>
      </c>
      <c r="C1031" s="1905" t="s">
        <v>923</v>
      </c>
      <c r="D1031" s="1909">
        <v>2</v>
      </c>
      <c r="E1031" s="1910" t="s">
        <v>5</v>
      </c>
      <c r="F1031" s="1906">
        <v>32000</v>
      </c>
      <c r="G1031" s="1906">
        <f t="shared" si="147"/>
        <v>9600</v>
      </c>
      <c r="H1031" s="1906">
        <f t="shared" si="148"/>
        <v>64000</v>
      </c>
      <c r="I1031" s="1906">
        <f t="shared" si="149"/>
        <v>19200</v>
      </c>
      <c r="J1031" s="1906">
        <f t="shared" si="150"/>
        <v>83200</v>
      </c>
      <c r="K1031" s="1907"/>
      <c r="L1031" s="1907" t="s">
        <v>1935</v>
      </c>
      <c r="M1031" s="1952" t="s">
        <v>622</v>
      </c>
    </row>
    <row r="1032" spans="1:13">
      <c r="A1032" s="1903"/>
      <c r="B1032" s="1904" t="s">
        <v>617</v>
      </c>
      <c r="C1032" s="1905" t="s">
        <v>923</v>
      </c>
      <c r="D1032" s="1909">
        <v>2</v>
      </c>
      <c r="E1032" s="1910" t="s">
        <v>5</v>
      </c>
      <c r="F1032" s="1906">
        <v>21700</v>
      </c>
      <c r="G1032" s="1906">
        <f t="shared" si="147"/>
        <v>6510</v>
      </c>
      <c r="H1032" s="1906">
        <f t="shared" si="148"/>
        <v>43400</v>
      </c>
      <c r="I1032" s="1906">
        <f t="shared" si="149"/>
        <v>13020</v>
      </c>
      <c r="J1032" s="1906">
        <f t="shared" si="150"/>
        <v>56420</v>
      </c>
      <c r="K1032" s="1907"/>
      <c r="L1032" s="1907" t="s">
        <v>1935</v>
      </c>
      <c r="M1032" s="1952" t="s">
        <v>622</v>
      </c>
    </row>
    <row r="1033" spans="1:13">
      <c r="A1033" s="1903"/>
      <c r="B1033" s="1904" t="s">
        <v>614</v>
      </c>
      <c r="C1033" s="1905" t="s">
        <v>914</v>
      </c>
      <c r="D1033" s="1909">
        <v>1</v>
      </c>
      <c r="E1033" s="1910" t="s">
        <v>5</v>
      </c>
      <c r="F1033" s="1906">
        <v>29800</v>
      </c>
      <c r="G1033" s="1906">
        <f t="shared" si="147"/>
        <v>8940</v>
      </c>
      <c r="H1033" s="1906">
        <f t="shared" si="148"/>
        <v>29800</v>
      </c>
      <c r="I1033" s="1906">
        <f t="shared" si="149"/>
        <v>8940</v>
      </c>
      <c r="J1033" s="1906">
        <f t="shared" si="150"/>
        <v>38740</v>
      </c>
      <c r="K1033" s="1907"/>
      <c r="L1033" s="1907" t="s">
        <v>1935</v>
      </c>
      <c r="M1033" s="1952" t="s">
        <v>622</v>
      </c>
    </row>
    <row r="1034" spans="1:13">
      <c r="A1034" s="1903"/>
      <c r="B1034" s="1904" t="s">
        <v>615</v>
      </c>
      <c r="C1034" s="1905" t="s">
        <v>914</v>
      </c>
      <c r="D1034" s="1909">
        <v>1</v>
      </c>
      <c r="E1034" s="1910" t="s">
        <v>5</v>
      </c>
      <c r="F1034" s="1906">
        <v>52700</v>
      </c>
      <c r="G1034" s="1906">
        <f t="shared" si="147"/>
        <v>15810</v>
      </c>
      <c r="H1034" s="1906">
        <f t="shared" si="148"/>
        <v>52700</v>
      </c>
      <c r="I1034" s="1906">
        <f t="shared" si="149"/>
        <v>15810</v>
      </c>
      <c r="J1034" s="1906">
        <f t="shared" si="150"/>
        <v>68510</v>
      </c>
      <c r="K1034" s="1907"/>
      <c r="L1034" s="1907" t="s">
        <v>1935</v>
      </c>
      <c r="M1034" s="1952" t="s">
        <v>622</v>
      </c>
    </row>
    <row r="1035" spans="1:13">
      <c r="A1035" s="1903"/>
      <c r="B1035" s="1904" t="s">
        <v>926</v>
      </c>
      <c r="C1035" s="1905" t="s">
        <v>923</v>
      </c>
      <c r="D1035" s="1909">
        <v>1</v>
      </c>
      <c r="E1035" s="1910" t="s">
        <v>5</v>
      </c>
      <c r="F1035" s="1906">
        <v>12700</v>
      </c>
      <c r="G1035" s="1906">
        <f t="shared" si="147"/>
        <v>3810</v>
      </c>
      <c r="H1035" s="1906">
        <f t="shared" si="148"/>
        <v>12700</v>
      </c>
      <c r="I1035" s="1906">
        <f t="shared" si="149"/>
        <v>3810</v>
      </c>
      <c r="J1035" s="1906">
        <f t="shared" si="150"/>
        <v>16510</v>
      </c>
      <c r="K1035" s="1907"/>
      <c r="L1035" s="1907" t="s">
        <v>1935</v>
      </c>
      <c r="M1035" s="1952" t="s">
        <v>622</v>
      </c>
    </row>
    <row r="1036" spans="1:13">
      <c r="A1036" s="1903"/>
      <c r="B1036" s="1904" t="s">
        <v>927</v>
      </c>
      <c r="C1036" s="1905" t="s">
        <v>914</v>
      </c>
      <c r="D1036" s="1909">
        <v>1</v>
      </c>
      <c r="E1036" s="1910" t="s">
        <v>5</v>
      </c>
      <c r="F1036" s="1906">
        <v>23000</v>
      </c>
      <c r="G1036" s="1906">
        <f t="shared" si="147"/>
        <v>6900</v>
      </c>
      <c r="H1036" s="1906">
        <f t="shared" si="148"/>
        <v>23000</v>
      </c>
      <c r="I1036" s="1906">
        <f t="shared" si="149"/>
        <v>6900</v>
      </c>
      <c r="J1036" s="1906">
        <f t="shared" si="150"/>
        <v>29900</v>
      </c>
      <c r="K1036" s="1907"/>
      <c r="L1036" s="1907" t="s">
        <v>1935</v>
      </c>
      <c r="M1036" s="1952" t="s">
        <v>622</v>
      </c>
    </row>
    <row r="1037" spans="1:13">
      <c r="A1037" s="1903"/>
      <c r="B1037" s="1904" t="s">
        <v>928</v>
      </c>
      <c r="C1037" s="1905" t="s">
        <v>914</v>
      </c>
      <c r="D1037" s="1909">
        <v>1</v>
      </c>
      <c r="E1037" s="1910" t="s">
        <v>5</v>
      </c>
      <c r="F1037" s="1906">
        <v>29500</v>
      </c>
      <c r="G1037" s="1906">
        <f t="shared" si="147"/>
        <v>8850</v>
      </c>
      <c r="H1037" s="1906">
        <f t="shared" si="148"/>
        <v>29500</v>
      </c>
      <c r="I1037" s="1906">
        <f t="shared" si="149"/>
        <v>8850</v>
      </c>
      <c r="J1037" s="1906">
        <f t="shared" si="150"/>
        <v>38350</v>
      </c>
      <c r="K1037" s="1907"/>
      <c r="L1037" s="1907" t="s">
        <v>1935</v>
      </c>
      <c r="M1037" s="1952" t="s">
        <v>622</v>
      </c>
    </row>
    <row r="1038" spans="1:13">
      <c r="A1038" s="1903"/>
      <c r="B1038" s="2050" t="s">
        <v>203</v>
      </c>
      <c r="C1038" s="2051"/>
      <c r="D1038" s="1909"/>
      <c r="E1038" s="1910"/>
      <c r="F1038" s="1906"/>
      <c r="G1038" s="1906"/>
      <c r="H1038" s="1906"/>
      <c r="I1038" s="1906"/>
      <c r="J1038" s="1906"/>
      <c r="K1038" s="1907"/>
    </row>
    <row r="1039" spans="1:13" s="1976" customFormat="1">
      <c r="A1039" s="1972"/>
      <c r="B1039" s="1973"/>
      <c r="C1039" s="1974" t="s">
        <v>865</v>
      </c>
      <c r="D1039" s="1930">
        <v>9</v>
      </c>
      <c r="E1039" s="1909" t="s">
        <v>5</v>
      </c>
      <c r="F1039" s="1968">
        <v>4850</v>
      </c>
      <c r="G1039" s="1975">
        <v>450</v>
      </c>
      <c r="H1039" s="1975">
        <f t="shared" ref="H1039:H1065" si="151">F1039*D1039</f>
        <v>43650</v>
      </c>
      <c r="I1039" s="1975">
        <f t="shared" ref="I1039:I1065" si="152">G1039*D1039</f>
        <v>4050</v>
      </c>
      <c r="J1039" s="1975">
        <f t="shared" ref="J1039:J1065" si="153">SUM(H1039:I1039)</f>
        <v>47700</v>
      </c>
      <c r="K1039" s="1977"/>
      <c r="L1039" s="1872"/>
      <c r="M1039" s="1885" t="s">
        <v>1879</v>
      </c>
    </row>
    <row r="1040" spans="1:13" s="1976" customFormat="1">
      <c r="A1040" s="1972"/>
      <c r="B1040" s="1973"/>
      <c r="C1040" s="1974" t="s">
        <v>866</v>
      </c>
      <c r="D1040" s="1930">
        <f>D1039</f>
        <v>9</v>
      </c>
      <c r="E1040" s="1909" t="s">
        <v>5</v>
      </c>
      <c r="F1040" s="1968">
        <v>120</v>
      </c>
      <c r="G1040" s="1975">
        <v>0</v>
      </c>
      <c r="H1040" s="1975">
        <f t="shared" si="151"/>
        <v>1080</v>
      </c>
      <c r="I1040" s="1975">
        <f t="shared" si="152"/>
        <v>0</v>
      </c>
      <c r="J1040" s="1975">
        <f t="shared" si="153"/>
        <v>1080</v>
      </c>
      <c r="K1040" s="1977"/>
      <c r="L1040" s="1872"/>
      <c r="M1040" s="1885" t="s">
        <v>1879</v>
      </c>
    </row>
    <row r="1041" spans="1:13" s="1976" customFormat="1">
      <c r="A1041" s="1972"/>
      <c r="B1041" s="1973"/>
      <c r="C1041" s="1974" t="s">
        <v>867</v>
      </c>
      <c r="D1041" s="1930">
        <f>D1039</f>
        <v>9</v>
      </c>
      <c r="E1041" s="1909" t="s">
        <v>5</v>
      </c>
      <c r="F1041" s="1968">
        <v>80</v>
      </c>
      <c r="G1041" s="1975">
        <v>35</v>
      </c>
      <c r="H1041" s="1975">
        <f t="shared" si="151"/>
        <v>720</v>
      </c>
      <c r="I1041" s="1975">
        <f t="shared" si="152"/>
        <v>315</v>
      </c>
      <c r="J1041" s="1975">
        <f t="shared" si="153"/>
        <v>1035</v>
      </c>
      <c r="K1041" s="1977"/>
      <c r="L1041" s="1872"/>
      <c r="M1041" s="1885" t="s">
        <v>1879</v>
      </c>
    </row>
    <row r="1042" spans="1:13" s="1872" customFormat="1">
      <c r="A1042" s="1965"/>
      <c r="B1042" s="1966"/>
      <c r="C1042" s="1967" t="s">
        <v>879</v>
      </c>
      <c r="D1042" s="1909">
        <v>1</v>
      </c>
      <c r="E1042" s="1968" t="s">
        <v>5</v>
      </c>
      <c r="F1042" s="1969">
        <v>7690</v>
      </c>
      <c r="G1042" s="1970">
        <v>450</v>
      </c>
      <c r="H1042" s="1969">
        <f t="shared" si="151"/>
        <v>7690</v>
      </c>
      <c r="I1042" s="1969">
        <f t="shared" si="152"/>
        <v>450</v>
      </c>
      <c r="J1042" s="1969">
        <f t="shared" si="153"/>
        <v>8140</v>
      </c>
      <c r="L1042" s="1971" t="s">
        <v>1899</v>
      </c>
      <c r="M1042" s="1952" t="s">
        <v>1907</v>
      </c>
    </row>
    <row r="1043" spans="1:13" s="1872" customFormat="1">
      <c r="A1043" s="1972"/>
      <c r="B1043" s="1973"/>
      <c r="C1043" s="1974" t="s">
        <v>866</v>
      </c>
      <c r="D1043" s="1930">
        <f>D1042</f>
        <v>1</v>
      </c>
      <c r="E1043" s="1909" t="s">
        <v>5</v>
      </c>
      <c r="F1043" s="1968">
        <v>120</v>
      </c>
      <c r="G1043" s="1975">
        <v>0</v>
      </c>
      <c r="H1043" s="1975">
        <f t="shared" si="151"/>
        <v>120</v>
      </c>
      <c r="I1043" s="1975">
        <f t="shared" si="152"/>
        <v>0</v>
      </c>
      <c r="J1043" s="1975">
        <f t="shared" si="153"/>
        <v>120</v>
      </c>
      <c r="K1043" s="1977"/>
      <c r="M1043" s="1885" t="s">
        <v>1879</v>
      </c>
    </row>
    <row r="1044" spans="1:13" s="1976" customFormat="1">
      <c r="A1044" s="1972"/>
      <c r="B1044" s="1973"/>
      <c r="C1044" s="1974" t="s">
        <v>867</v>
      </c>
      <c r="D1044" s="1930">
        <f>D1042</f>
        <v>1</v>
      </c>
      <c r="E1044" s="1909" t="s">
        <v>5</v>
      </c>
      <c r="F1044" s="1968">
        <v>80</v>
      </c>
      <c r="G1044" s="1975">
        <v>35</v>
      </c>
      <c r="H1044" s="1975">
        <f t="shared" si="151"/>
        <v>80</v>
      </c>
      <c r="I1044" s="1975">
        <f t="shared" si="152"/>
        <v>35</v>
      </c>
      <c r="J1044" s="1975">
        <f t="shared" si="153"/>
        <v>115</v>
      </c>
      <c r="K1044" s="1977"/>
      <c r="L1044" s="1872"/>
      <c r="M1044" s="1885" t="s">
        <v>1879</v>
      </c>
    </row>
    <row r="1045" spans="1:13" s="1872" customFormat="1">
      <c r="A1045" s="1965"/>
      <c r="B1045" s="1966"/>
      <c r="C1045" s="1974" t="s">
        <v>868</v>
      </c>
      <c r="D1045" s="1930">
        <v>5</v>
      </c>
      <c r="E1045" s="1909" t="s">
        <v>5</v>
      </c>
      <c r="F1045" s="1968">
        <v>5500</v>
      </c>
      <c r="G1045" s="1975">
        <v>450</v>
      </c>
      <c r="H1045" s="1969">
        <f t="shared" si="151"/>
        <v>27500</v>
      </c>
      <c r="I1045" s="1969">
        <f t="shared" si="152"/>
        <v>2250</v>
      </c>
      <c r="J1045" s="1969">
        <f t="shared" si="153"/>
        <v>29750</v>
      </c>
      <c r="K1045" s="1978"/>
      <c r="L1045" s="1976"/>
      <c r="M1045" s="1885" t="s">
        <v>1879</v>
      </c>
    </row>
    <row r="1046" spans="1:13" s="1976" customFormat="1">
      <c r="A1046" s="1972"/>
      <c r="B1046" s="1973"/>
      <c r="C1046" s="1974" t="s">
        <v>869</v>
      </c>
      <c r="D1046" s="1930">
        <v>9</v>
      </c>
      <c r="E1046" s="1909" t="s">
        <v>5</v>
      </c>
      <c r="F1046" s="1968">
        <v>3500</v>
      </c>
      <c r="G1046" s="1975">
        <v>450</v>
      </c>
      <c r="H1046" s="1975">
        <f t="shared" si="151"/>
        <v>31500</v>
      </c>
      <c r="I1046" s="1975">
        <f t="shared" si="152"/>
        <v>4050</v>
      </c>
      <c r="J1046" s="1975">
        <f t="shared" si="153"/>
        <v>35550</v>
      </c>
      <c r="K1046" s="1977"/>
      <c r="L1046" s="1872"/>
      <c r="M1046" s="1885" t="s">
        <v>1879</v>
      </c>
    </row>
    <row r="1047" spans="1:13" s="1872" customFormat="1">
      <c r="A1047" s="2020"/>
      <c r="B1047" s="2021"/>
      <c r="C1047" s="2022" t="s">
        <v>870</v>
      </c>
      <c r="D1047" s="2023">
        <f>D1046</f>
        <v>9</v>
      </c>
      <c r="E1047" s="1956" t="s">
        <v>5</v>
      </c>
      <c r="F1047" s="1968">
        <v>900</v>
      </c>
      <c r="G1047" s="1975">
        <v>150</v>
      </c>
      <c r="H1047" s="2024">
        <f t="shared" si="151"/>
        <v>8100</v>
      </c>
      <c r="I1047" s="2024">
        <f t="shared" si="152"/>
        <v>1350</v>
      </c>
      <c r="J1047" s="2024">
        <f t="shared" si="153"/>
        <v>9450</v>
      </c>
      <c r="K1047" s="2025"/>
      <c r="M1047" s="1885" t="s">
        <v>1879</v>
      </c>
    </row>
    <row r="1048" spans="1:13" s="1872" customFormat="1">
      <c r="A1048" s="1972"/>
      <c r="B1048" s="1973"/>
      <c r="C1048" s="1974" t="s">
        <v>871</v>
      </c>
      <c r="D1048" s="1930">
        <f>D1046</f>
        <v>9</v>
      </c>
      <c r="E1048" s="1909" t="s">
        <v>5</v>
      </c>
      <c r="F1048" s="1963">
        <v>210</v>
      </c>
      <c r="G1048" s="1975">
        <v>0</v>
      </c>
      <c r="H1048" s="1975">
        <f t="shared" si="151"/>
        <v>1890</v>
      </c>
      <c r="I1048" s="1975">
        <f t="shared" si="152"/>
        <v>0</v>
      </c>
      <c r="J1048" s="1975">
        <f t="shared" si="153"/>
        <v>1890</v>
      </c>
      <c r="K1048" s="1977"/>
      <c r="M1048" s="1885" t="s">
        <v>1879</v>
      </c>
    </row>
    <row r="1049" spans="1:13" s="1872" customFormat="1">
      <c r="A1049" s="1972"/>
      <c r="B1049" s="1973"/>
      <c r="C1049" s="1974" t="s">
        <v>872</v>
      </c>
      <c r="D1049" s="1930">
        <f>D1046</f>
        <v>9</v>
      </c>
      <c r="E1049" s="1909" t="s">
        <v>5</v>
      </c>
      <c r="F1049" s="1968">
        <v>310</v>
      </c>
      <c r="G1049" s="1975">
        <v>0</v>
      </c>
      <c r="H1049" s="1975">
        <f t="shared" si="151"/>
        <v>2790</v>
      </c>
      <c r="I1049" s="1975">
        <f t="shared" si="152"/>
        <v>0</v>
      </c>
      <c r="J1049" s="1975">
        <f t="shared" si="153"/>
        <v>2790</v>
      </c>
      <c r="K1049" s="1977"/>
    </row>
    <row r="1050" spans="1:13" s="1872" customFormat="1">
      <c r="A1050" s="1972"/>
      <c r="B1050" s="1973"/>
      <c r="C1050" s="1974" t="s">
        <v>873</v>
      </c>
      <c r="D1050" s="1930">
        <f>D1046</f>
        <v>9</v>
      </c>
      <c r="E1050" s="1909" t="s">
        <v>5</v>
      </c>
      <c r="F1050" s="1968">
        <v>120</v>
      </c>
      <c r="G1050" s="1975">
        <v>0</v>
      </c>
      <c r="H1050" s="1975">
        <f t="shared" si="151"/>
        <v>1080</v>
      </c>
      <c r="I1050" s="1975">
        <f t="shared" si="152"/>
        <v>0</v>
      </c>
      <c r="J1050" s="1975">
        <f t="shared" si="153"/>
        <v>1080</v>
      </c>
      <c r="K1050" s="1977"/>
      <c r="M1050" s="1885" t="s">
        <v>1879</v>
      </c>
    </row>
    <row r="1051" spans="1:13" s="1872" customFormat="1">
      <c r="A1051" s="1972"/>
      <c r="B1051" s="1973"/>
      <c r="C1051" s="1974" t="s">
        <v>867</v>
      </c>
      <c r="D1051" s="1930">
        <f>D1046</f>
        <v>9</v>
      </c>
      <c r="E1051" s="1909" t="s">
        <v>5</v>
      </c>
      <c r="F1051" s="1968">
        <v>80</v>
      </c>
      <c r="G1051" s="1975">
        <v>35</v>
      </c>
      <c r="H1051" s="1975">
        <f t="shared" si="151"/>
        <v>720</v>
      </c>
      <c r="I1051" s="1975">
        <f t="shared" si="152"/>
        <v>315</v>
      </c>
      <c r="J1051" s="1975">
        <f t="shared" si="153"/>
        <v>1035</v>
      </c>
      <c r="K1051" s="1977"/>
      <c r="M1051" s="1885" t="s">
        <v>1879</v>
      </c>
    </row>
    <row r="1052" spans="1:13" s="1872" customFormat="1">
      <c r="A1052" s="1863"/>
      <c r="B1052" s="1864"/>
      <c r="C1052" s="1865"/>
      <c r="D1052" s="1866"/>
      <c r="E1052" s="1867"/>
      <c r="F1052" s="1868"/>
      <c r="G1052" s="1868"/>
      <c r="H1052" s="1868"/>
      <c r="I1052" s="1868"/>
      <c r="J1052" s="1868"/>
      <c r="K1052" s="1869"/>
      <c r="M1052" s="1885"/>
    </row>
    <row r="1053" spans="1:13" s="1872" customFormat="1">
      <c r="A1053" s="1840"/>
      <c r="B1053" s="1860"/>
      <c r="C1053" s="2133" t="s">
        <v>133</v>
      </c>
      <c r="D1053" s="2134"/>
      <c r="E1053" s="2135"/>
      <c r="F1053" s="2136"/>
      <c r="G1053" s="2137"/>
      <c r="H1053" s="2137"/>
      <c r="I1053" s="2137"/>
      <c r="J1053" s="2137"/>
      <c r="K1053" s="2137"/>
      <c r="M1053" s="1885"/>
    </row>
    <row r="1054" spans="1:13" s="1872" customFormat="1">
      <c r="A1054" s="1840"/>
      <c r="B1054" s="2138"/>
      <c r="C1054" s="2139" t="s">
        <v>1769</v>
      </c>
      <c r="D1054" s="2140"/>
      <c r="E1054" s="1861"/>
      <c r="F1054" s="2135"/>
      <c r="G1054" s="2139" t="s">
        <v>134</v>
      </c>
      <c r="H1054" s="2138"/>
      <c r="I1054" s="2138"/>
      <c r="J1054" s="2138"/>
      <c r="K1054" s="2138"/>
      <c r="M1054" s="1885"/>
    </row>
    <row r="1055" spans="1:13" s="1872" customFormat="1">
      <c r="A1055" s="1840"/>
      <c r="B1055" s="1871"/>
      <c r="C1055" s="2141" t="s">
        <v>1970</v>
      </c>
      <c r="D1055" s="2140"/>
      <c r="E1055" s="2142"/>
      <c r="F1055" s="2143"/>
      <c r="G1055" s="2144" t="s">
        <v>1971</v>
      </c>
      <c r="H1055" s="2145"/>
      <c r="I1055" s="2145"/>
      <c r="J1055" s="2145"/>
      <c r="K1055" s="2145"/>
      <c r="M1055" s="1885"/>
    </row>
    <row r="1056" spans="1:13" s="1872" customFormat="1">
      <c r="A1056" s="1837"/>
      <c r="B1056" s="2138"/>
      <c r="C1056" s="2139" t="s">
        <v>2031</v>
      </c>
      <c r="D1056" s="2140"/>
      <c r="E1056" s="1837"/>
      <c r="F1056" s="2146"/>
      <c r="G1056" s="2139" t="s">
        <v>2031</v>
      </c>
      <c r="H1056" s="1837"/>
      <c r="I1056" s="1837"/>
      <c r="J1056" s="1837"/>
      <c r="K1056" s="1837"/>
      <c r="M1056" s="1885"/>
    </row>
    <row r="1057" spans="1:13" s="1872" customFormat="1">
      <c r="A1057" s="1952"/>
      <c r="B1057" s="1871"/>
      <c r="C1057" s="2147" t="s">
        <v>1984</v>
      </c>
      <c r="D1057" s="2140"/>
      <c r="E1057" s="1837"/>
      <c r="F1057" s="2135"/>
      <c r="G1057" s="2147" t="s">
        <v>1985</v>
      </c>
      <c r="H1057" s="1952"/>
      <c r="I1057" s="1952"/>
      <c r="J1057" s="1952"/>
      <c r="K1057" s="1952"/>
      <c r="M1057" s="1885"/>
    </row>
    <row r="1058" spans="1:13" s="1872" customFormat="1">
      <c r="A1058" s="1952"/>
      <c r="B1058" s="1952"/>
      <c r="C1058" s="2139" t="s">
        <v>670</v>
      </c>
      <c r="D1058" s="2139"/>
      <c r="E1058" s="2143"/>
      <c r="F1058" s="2143"/>
      <c r="G1058" s="1952"/>
      <c r="H1058" s="1952"/>
      <c r="I1058" s="1952"/>
      <c r="J1058" s="1952"/>
      <c r="K1058" s="1952"/>
      <c r="M1058" s="1885"/>
    </row>
    <row r="1059" spans="1:13" s="1872" customFormat="1">
      <c r="A1059" s="1840"/>
      <c r="B1059" s="1840"/>
      <c r="C1059" s="2147" t="s">
        <v>1972</v>
      </c>
      <c r="D1059" s="2147"/>
      <c r="E1059" s="2146"/>
      <c r="F1059" s="2146"/>
      <c r="G1059" s="1870"/>
      <c r="H1059" s="1870"/>
      <c r="I1059" s="1870"/>
      <c r="J1059" s="1870"/>
      <c r="K1059" s="1871"/>
      <c r="M1059" s="1885"/>
    </row>
    <row r="1060" spans="1:13" s="1872" customFormat="1">
      <c r="A1060" s="1960"/>
      <c r="B1060" s="1961"/>
      <c r="C1060" s="1962" t="s">
        <v>886</v>
      </c>
      <c r="D1060" s="1950">
        <v>1</v>
      </c>
      <c r="E1060" s="1898" t="s">
        <v>5</v>
      </c>
      <c r="F1060" s="1968">
        <v>3500</v>
      </c>
      <c r="G1060" s="1975">
        <v>450</v>
      </c>
      <c r="H1060" s="1964">
        <f t="shared" si="151"/>
        <v>3500</v>
      </c>
      <c r="I1060" s="1964">
        <f t="shared" si="152"/>
        <v>450</v>
      </c>
      <c r="J1060" s="1964">
        <f t="shared" si="153"/>
        <v>3950</v>
      </c>
      <c r="K1060" s="1989"/>
      <c r="M1060" s="1885" t="s">
        <v>1879</v>
      </c>
    </row>
    <row r="1061" spans="1:13" s="1872" customFormat="1">
      <c r="A1061" s="1972"/>
      <c r="B1061" s="1973"/>
      <c r="C1061" s="1974" t="s">
        <v>880</v>
      </c>
      <c r="D1061" s="1930">
        <f>D1060</f>
        <v>1</v>
      </c>
      <c r="E1061" s="1909" t="s">
        <v>5</v>
      </c>
      <c r="F1061" s="1968">
        <v>900</v>
      </c>
      <c r="G1061" s="1975">
        <v>150</v>
      </c>
      <c r="H1061" s="1975">
        <f t="shared" si="151"/>
        <v>900</v>
      </c>
      <c r="I1061" s="1975">
        <f t="shared" si="152"/>
        <v>150</v>
      </c>
      <c r="J1061" s="1975">
        <f t="shared" si="153"/>
        <v>1050</v>
      </c>
      <c r="K1061" s="1977"/>
      <c r="M1061" s="1885" t="s">
        <v>1879</v>
      </c>
    </row>
    <row r="1062" spans="1:13" s="1872" customFormat="1">
      <c r="A1062" s="1972"/>
      <c r="B1062" s="1973"/>
      <c r="C1062" s="1974" t="s">
        <v>881</v>
      </c>
      <c r="D1062" s="1930">
        <f>D1060</f>
        <v>1</v>
      </c>
      <c r="E1062" s="1909" t="s">
        <v>5</v>
      </c>
      <c r="F1062" s="1963">
        <v>210</v>
      </c>
      <c r="G1062" s="1975">
        <v>0</v>
      </c>
      <c r="H1062" s="1975">
        <f t="shared" si="151"/>
        <v>210</v>
      </c>
      <c r="I1062" s="1975">
        <f t="shared" si="152"/>
        <v>0</v>
      </c>
      <c r="J1062" s="1975">
        <f t="shared" si="153"/>
        <v>210</v>
      </c>
      <c r="K1062" s="1977"/>
      <c r="M1062" s="1885" t="s">
        <v>1879</v>
      </c>
    </row>
    <row r="1063" spans="1:13" s="1872" customFormat="1">
      <c r="A1063" s="1972"/>
      <c r="B1063" s="1973"/>
      <c r="C1063" s="1974" t="s">
        <v>882</v>
      </c>
      <c r="D1063" s="1930">
        <f>D1060</f>
        <v>1</v>
      </c>
      <c r="E1063" s="1909" t="s">
        <v>5</v>
      </c>
      <c r="F1063" s="1968">
        <v>310</v>
      </c>
      <c r="G1063" s="1975">
        <v>0</v>
      </c>
      <c r="H1063" s="1975">
        <f t="shared" si="151"/>
        <v>310</v>
      </c>
      <c r="I1063" s="1975">
        <f t="shared" si="152"/>
        <v>0</v>
      </c>
      <c r="J1063" s="1975">
        <f t="shared" si="153"/>
        <v>310</v>
      </c>
      <c r="K1063" s="1977"/>
      <c r="M1063" s="1885" t="s">
        <v>1879</v>
      </c>
    </row>
    <row r="1064" spans="1:13" s="1872" customFormat="1">
      <c r="A1064" s="1972"/>
      <c r="B1064" s="1973"/>
      <c r="C1064" s="1974" t="s">
        <v>873</v>
      </c>
      <c r="D1064" s="1930">
        <f>D1060</f>
        <v>1</v>
      </c>
      <c r="E1064" s="1909" t="s">
        <v>5</v>
      </c>
      <c r="F1064" s="1968">
        <v>120</v>
      </c>
      <c r="G1064" s="1975">
        <v>0</v>
      </c>
      <c r="H1064" s="1975">
        <f t="shared" si="151"/>
        <v>120</v>
      </c>
      <c r="I1064" s="1975">
        <f t="shared" si="152"/>
        <v>0</v>
      </c>
      <c r="J1064" s="1975">
        <f t="shared" si="153"/>
        <v>120</v>
      </c>
      <c r="K1064" s="1977"/>
      <c r="M1064" s="1885" t="s">
        <v>1879</v>
      </c>
    </row>
    <row r="1065" spans="1:13" s="1872" customFormat="1">
      <c r="A1065" s="1972"/>
      <c r="B1065" s="1973"/>
      <c r="C1065" s="1974" t="s">
        <v>867</v>
      </c>
      <c r="D1065" s="1930">
        <f>D1060</f>
        <v>1</v>
      </c>
      <c r="E1065" s="1909" t="s">
        <v>5</v>
      </c>
      <c r="F1065" s="1968">
        <v>80</v>
      </c>
      <c r="G1065" s="1975">
        <v>35</v>
      </c>
      <c r="H1065" s="1975">
        <f t="shared" si="151"/>
        <v>80</v>
      </c>
      <c r="I1065" s="1975">
        <f t="shared" si="152"/>
        <v>35</v>
      </c>
      <c r="J1065" s="1975">
        <f t="shared" si="153"/>
        <v>115</v>
      </c>
      <c r="K1065" s="1977"/>
      <c r="M1065" s="1885" t="s">
        <v>1879</v>
      </c>
    </row>
    <row r="1066" spans="1:13" s="1872" customFormat="1">
      <c r="A1066" s="1972"/>
      <c r="B1066" s="1973"/>
      <c r="C1066" s="1974" t="s">
        <v>883</v>
      </c>
      <c r="D1066" s="1930">
        <v>1</v>
      </c>
      <c r="E1066" s="1909" t="s">
        <v>5</v>
      </c>
      <c r="F1066" s="1968">
        <v>3400</v>
      </c>
      <c r="G1066" s="1975">
        <v>105</v>
      </c>
      <c r="H1066" s="1975">
        <f>+F1066*D1066</f>
        <v>3400</v>
      </c>
      <c r="I1066" s="1975">
        <f>+G1066*D1066</f>
        <v>105</v>
      </c>
      <c r="J1066" s="1975">
        <f>+H1066+I1066</f>
        <v>3505</v>
      </c>
      <c r="K1066" s="1977"/>
      <c r="M1066" s="1885" t="s">
        <v>1879</v>
      </c>
    </row>
    <row r="1067" spans="1:13" s="1872" customFormat="1">
      <c r="A1067" s="1972"/>
      <c r="B1067" s="1973"/>
      <c r="C1067" s="1974" t="s">
        <v>884</v>
      </c>
      <c r="D1067" s="1930">
        <v>1</v>
      </c>
      <c r="E1067" s="1909" t="s">
        <v>5</v>
      </c>
      <c r="F1067" s="1968">
        <v>3400</v>
      </c>
      <c r="G1067" s="1975">
        <v>105</v>
      </c>
      <c r="H1067" s="1975">
        <f>+F1067*D1067</f>
        <v>3400</v>
      </c>
      <c r="I1067" s="1975">
        <f>+G1067*D1067</f>
        <v>105</v>
      </c>
      <c r="J1067" s="1975">
        <f>+H1067+I1067</f>
        <v>3505</v>
      </c>
      <c r="K1067" s="1977"/>
      <c r="M1067" s="1885" t="s">
        <v>1879</v>
      </c>
    </row>
    <row r="1068" spans="1:13" s="1872" customFormat="1">
      <c r="A1068" s="1972"/>
      <c r="B1068" s="1973"/>
      <c r="C1068" s="1974" t="s">
        <v>885</v>
      </c>
      <c r="D1068" s="1930">
        <v>1</v>
      </c>
      <c r="E1068" s="1909" t="s">
        <v>5</v>
      </c>
      <c r="F1068" s="1968">
        <v>220</v>
      </c>
      <c r="G1068" s="1975">
        <v>70</v>
      </c>
      <c r="H1068" s="1975">
        <f>+F1068*D1068</f>
        <v>220</v>
      </c>
      <c r="I1068" s="1975">
        <f>+G1068*D1068</f>
        <v>70</v>
      </c>
      <c r="J1068" s="1975">
        <f>+H1068+I1068</f>
        <v>290</v>
      </c>
      <c r="K1068" s="1977"/>
      <c r="M1068" s="1885" t="s">
        <v>1879</v>
      </c>
    </row>
    <row r="1069" spans="1:13">
      <c r="A1069" s="1972"/>
      <c r="B1069" s="1973"/>
      <c r="C1069" s="1974" t="s">
        <v>874</v>
      </c>
      <c r="D1069" s="1930">
        <v>1</v>
      </c>
      <c r="E1069" s="1909" t="s">
        <v>5</v>
      </c>
      <c r="F1069" s="1968">
        <v>1142</v>
      </c>
      <c r="G1069" s="1975">
        <v>70</v>
      </c>
      <c r="H1069" s="1975">
        <f t="shared" ref="H1069:H1077" si="154">F1069*D1069</f>
        <v>1142</v>
      </c>
      <c r="I1069" s="1975">
        <f t="shared" ref="I1069:I1077" si="155">G1069*D1069</f>
        <v>70</v>
      </c>
      <c r="J1069" s="1975">
        <f t="shared" ref="J1069:J1077" si="156">SUM(H1069:I1069)</f>
        <v>1212</v>
      </c>
      <c r="K1069" s="1977"/>
      <c r="L1069" s="1979" t="s">
        <v>1899</v>
      </c>
      <c r="M1069" s="1872" t="s">
        <v>1907</v>
      </c>
    </row>
    <row r="1070" spans="1:13" s="1872" customFormat="1">
      <c r="A1070" s="1972"/>
      <c r="B1070" s="1973"/>
      <c r="C1070" s="1974" t="s">
        <v>1897</v>
      </c>
      <c r="D1070" s="1930">
        <v>1</v>
      </c>
      <c r="E1070" s="1909" t="s">
        <v>5</v>
      </c>
      <c r="F1070" s="1968">
        <v>3200</v>
      </c>
      <c r="G1070" s="1975">
        <v>400</v>
      </c>
      <c r="H1070" s="1975">
        <f>F1070*D1070</f>
        <v>3200</v>
      </c>
      <c r="I1070" s="1975">
        <f>G1070*D1070</f>
        <v>400</v>
      </c>
      <c r="J1070" s="1975">
        <f>SUM(H1070:I1070)</f>
        <v>3600</v>
      </c>
      <c r="K1070" s="1977"/>
      <c r="L1070" s="1979" t="s">
        <v>1906</v>
      </c>
      <c r="M1070" s="1952" t="s">
        <v>1908</v>
      </c>
    </row>
    <row r="1071" spans="1:13" s="1872" customFormat="1">
      <c r="A1071" s="1972"/>
      <c r="B1071" s="1973"/>
      <c r="C1071" s="1974" t="s">
        <v>1902</v>
      </c>
      <c r="D1071" s="1930">
        <v>1</v>
      </c>
      <c r="E1071" s="1909" t="s">
        <v>5</v>
      </c>
      <c r="F1071" s="1968">
        <v>4000</v>
      </c>
      <c r="G1071" s="1975">
        <v>400</v>
      </c>
      <c r="H1071" s="1975">
        <f>F1071*D1071</f>
        <v>4000</v>
      </c>
      <c r="I1071" s="1975">
        <f>G1071*D1071</f>
        <v>400</v>
      </c>
      <c r="J1071" s="1975">
        <f>SUM(H1071:I1071)</f>
        <v>4400</v>
      </c>
      <c r="K1071" s="1977"/>
      <c r="L1071" s="1979" t="s">
        <v>1906</v>
      </c>
      <c r="M1071" s="1952" t="s">
        <v>1908</v>
      </c>
    </row>
    <row r="1072" spans="1:13" s="1872" customFormat="1">
      <c r="A1072" s="1972"/>
      <c r="B1072" s="1973"/>
      <c r="C1072" s="1974" t="s">
        <v>377</v>
      </c>
      <c r="D1072" s="1930">
        <v>10</v>
      </c>
      <c r="E1072" s="1909" t="s">
        <v>5</v>
      </c>
      <c r="F1072" s="1968">
        <v>300</v>
      </c>
      <c r="G1072" s="1975">
        <v>70</v>
      </c>
      <c r="H1072" s="1975">
        <f t="shared" si="154"/>
        <v>3000</v>
      </c>
      <c r="I1072" s="1975">
        <f t="shared" si="155"/>
        <v>700</v>
      </c>
      <c r="J1072" s="1975">
        <f t="shared" si="156"/>
        <v>3700</v>
      </c>
      <c r="K1072" s="1977"/>
      <c r="L1072" s="1977"/>
      <c r="M1072" s="1885" t="s">
        <v>1879</v>
      </c>
    </row>
    <row r="1073" spans="1:14" s="1872" customFormat="1">
      <c r="A1073" s="1972"/>
      <c r="B1073" s="1973"/>
      <c r="C1073" s="1974" t="s">
        <v>867</v>
      </c>
      <c r="D1073" s="1930">
        <f>D1072</f>
        <v>10</v>
      </c>
      <c r="E1073" s="1909" t="s">
        <v>5</v>
      </c>
      <c r="F1073" s="1968">
        <v>80</v>
      </c>
      <c r="G1073" s="1975">
        <v>35</v>
      </c>
      <c r="H1073" s="1975">
        <f t="shared" si="154"/>
        <v>800</v>
      </c>
      <c r="I1073" s="1975">
        <f t="shared" si="155"/>
        <v>350</v>
      </c>
      <c r="J1073" s="1975">
        <f t="shared" si="156"/>
        <v>1150</v>
      </c>
      <c r="K1073" s="1977"/>
      <c r="L1073" s="1977"/>
      <c r="M1073" s="1885" t="s">
        <v>1879</v>
      </c>
    </row>
    <row r="1074" spans="1:14" s="1872" customFormat="1">
      <c r="A1074" s="1903"/>
      <c r="B1074" s="1904"/>
      <c r="C1074" s="1993" t="s">
        <v>376</v>
      </c>
      <c r="D1074" s="1981">
        <v>10</v>
      </c>
      <c r="E1074" s="1903" t="s">
        <v>5</v>
      </c>
      <c r="F1074" s="1996">
        <v>390</v>
      </c>
      <c r="G1074" s="1996">
        <v>120</v>
      </c>
      <c r="H1074" s="1975">
        <f t="shared" si="154"/>
        <v>3900</v>
      </c>
      <c r="I1074" s="1975">
        <f t="shared" si="155"/>
        <v>1200</v>
      </c>
      <c r="J1074" s="1975">
        <f t="shared" si="156"/>
        <v>5100</v>
      </c>
      <c r="K1074" s="1977"/>
      <c r="L1074" s="1977"/>
      <c r="M1074" s="1885" t="s">
        <v>1879</v>
      </c>
    </row>
    <row r="1075" spans="1:14" s="1872" customFormat="1">
      <c r="A1075" s="1972"/>
      <c r="B1075" s="1973"/>
      <c r="C1075" s="1974" t="s">
        <v>875</v>
      </c>
      <c r="D1075" s="1930">
        <v>3</v>
      </c>
      <c r="E1075" s="1909" t="s">
        <v>5</v>
      </c>
      <c r="F1075" s="1968">
        <v>125</v>
      </c>
      <c r="G1075" s="1975">
        <v>25</v>
      </c>
      <c r="H1075" s="1975">
        <f t="shared" si="154"/>
        <v>375</v>
      </c>
      <c r="I1075" s="1975">
        <f t="shared" si="155"/>
        <v>75</v>
      </c>
      <c r="J1075" s="1975">
        <f t="shared" si="156"/>
        <v>450</v>
      </c>
      <c r="K1075" s="1977"/>
      <c r="L1075" s="1977"/>
      <c r="M1075" s="1885" t="s">
        <v>1879</v>
      </c>
    </row>
    <row r="1076" spans="1:14">
      <c r="A1076" s="1972"/>
      <c r="B1076" s="1973"/>
      <c r="C1076" s="1974" t="s">
        <v>878</v>
      </c>
      <c r="D1076" s="1930">
        <v>12</v>
      </c>
      <c r="E1076" s="1909" t="s">
        <v>5</v>
      </c>
      <c r="F1076" s="1968">
        <v>150</v>
      </c>
      <c r="G1076" s="1975">
        <v>75</v>
      </c>
      <c r="H1076" s="1975">
        <f t="shared" si="154"/>
        <v>1800</v>
      </c>
      <c r="I1076" s="1975">
        <f t="shared" si="155"/>
        <v>900</v>
      </c>
      <c r="J1076" s="1975">
        <f t="shared" si="156"/>
        <v>2700</v>
      </c>
      <c r="K1076" s="1977"/>
      <c r="L1076" s="1977"/>
      <c r="M1076" s="1885" t="s">
        <v>1879</v>
      </c>
      <c r="N1076" s="1861"/>
    </row>
    <row r="1077" spans="1:14" s="1872" customFormat="1">
      <c r="A1077" s="1972"/>
      <c r="B1077" s="1973"/>
      <c r="C1077" s="1980" t="s">
        <v>876</v>
      </c>
      <c r="D1077" s="1981">
        <v>7.2</v>
      </c>
      <c r="E1077" s="1982" t="s">
        <v>86</v>
      </c>
      <c r="F1077" s="1983">
        <v>2850</v>
      </c>
      <c r="G1077" s="1984">
        <v>198</v>
      </c>
      <c r="H1077" s="1975">
        <f t="shared" si="154"/>
        <v>20520</v>
      </c>
      <c r="I1077" s="1975">
        <f t="shared" si="155"/>
        <v>1425.6000000000001</v>
      </c>
      <c r="J1077" s="1975">
        <f t="shared" si="156"/>
        <v>21945.599999999999</v>
      </c>
      <c r="K1077" s="1977"/>
      <c r="L1077" s="1971" t="s">
        <v>1922</v>
      </c>
      <c r="M1077" s="1872" t="s">
        <v>1898</v>
      </c>
    </row>
    <row r="1078" spans="1:14" s="1872" customFormat="1">
      <c r="A1078" s="1985"/>
      <c r="B1078" s="1986"/>
      <c r="C1078" s="1974" t="s">
        <v>877</v>
      </c>
      <c r="D1078" s="1930">
        <v>6.5</v>
      </c>
      <c r="E1078" s="1909" t="s">
        <v>86</v>
      </c>
      <c r="F1078" s="1968">
        <v>3028</v>
      </c>
      <c r="G1078" s="1975">
        <v>392</v>
      </c>
      <c r="H1078" s="1987">
        <f>ROUND(F1078*D1078,2)</f>
        <v>19682</v>
      </c>
      <c r="I1078" s="1987">
        <f>ROUND(G1078*D1078,2)</f>
        <v>2548</v>
      </c>
      <c r="J1078" s="1988">
        <f>+H1078+I1078</f>
        <v>22230</v>
      </c>
      <c r="K1078" s="1977"/>
      <c r="L1078" s="1977"/>
      <c r="M1078" s="1872" t="s">
        <v>1898</v>
      </c>
    </row>
    <row r="1079" spans="1:14" s="1872" customFormat="1">
      <c r="A1079" s="1985"/>
      <c r="B1079" s="1986"/>
      <c r="C1079" s="1974" t="s">
        <v>1075</v>
      </c>
      <c r="D1079" s="1930">
        <v>28.45</v>
      </c>
      <c r="E1079" s="1909" t="s">
        <v>86</v>
      </c>
      <c r="F1079" s="1968">
        <v>8500</v>
      </c>
      <c r="G1079" s="1975">
        <v>2200</v>
      </c>
      <c r="H1079" s="1987">
        <f>ROUND(F1079*D1079,2)</f>
        <v>241825</v>
      </c>
      <c r="I1079" s="1987">
        <f>ROUND(G1079*D1079,2)</f>
        <v>62590</v>
      </c>
      <c r="J1079" s="1988">
        <f>+H1079+I1079</f>
        <v>304415</v>
      </c>
      <c r="K1079" s="1977"/>
      <c r="L1079" s="1979" t="s">
        <v>1885</v>
      </c>
      <c r="M1079" s="1952" t="s">
        <v>622</v>
      </c>
    </row>
    <row r="1080" spans="1:14" s="1872" customFormat="1">
      <c r="A1080" s="1903"/>
      <c r="B1080" s="2052" t="s">
        <v>249</v>
      </c>
      <c r="C1080" s="1905"/>
      <c r="D1080" s="1909"/>
      <c r="E1080" s="1910"/>
      <c r="F1080" s="1906"/>
      <c r="G1080" s="1906"/>
      <c r="H1080" s="1906"/>
      <c r="I1080" s="1906"/>
      <c r="J1080" s="1906"/>
      <c r="K1080" s="1977"/>
      <c r="M1080" s="1902"/>
    </row>
    <row r="1081" spans="1:14" s="1872" customFormat="1">
      <c r="A1081" s="1903"/>
      <c r="B1081" s="1904" t="s">
        <v>277</v>
      </c>
      <c r="C1081" s="1905" t="s">
        <v>958</v>
      </c>
      <c r="D1081" s="1909"/>
      <c r="E1081" s="1910"/>
      <c r="F1081" s="1906"/>
      <c r="G1081" s="1906"/>
      <c r="H1081" s="1906"/>
      <c r="I1081" s="1906"/>
      <c r="J1081" s="1906"/>
      <c r="K1081" s="1978"/>
      <c r="L1081" s="1976"/>
      <c r="M1081" s="1902"/>
    </row>
    <row r="1082" spans="1:14" s="1862" customFormat="1" ht="48">
      <c r="A1082" s="1911"/>
      <c r="B1082" s="1912" t="s">
        <v>107</v>
      </c>
      <c r="C1082" s="1990" t="s">
        <v>1915</v>
      </c>
      <c r="D1082" s="1991">
        <v>24.8</v>
      </c>
      <c r="E1082" s="1911" t="s">
        <v>86</v>
      </c>
      <c r="F1082" s="1922">
        <v>606</v>
      </c>
      <c r="G1082" s="1922">
        <v>222</v>
      </c>
      <c r="H1082" s="1916">
        <f t="shared" ref="H1082:H1088" si="157">+F1082*D1082</f>
        <v>15028.800000000001</v>
      </c>
      <c r="I1082" s="1916">
        <f t="shared" ref="I1082:I1088" si="158">+G1082*D1082</f>
        <v>5505.6</v>
      </c>
      <c r="J1082" s="1916">
        <f t="shared" ref="J1082:J1088" si="159">+H1082+I1082</f>
        <v>20534.400000000001</v>
      </c>
      <c r="K1082" s="1917"/>
      <c r="L1082" s="2048"/>
      <c r="M1082" s="1992" t="s">
        <v>1879</v>
      </c>
      <c r="N1082" s="1852"/>
    </row>
    <row r="1083" spans="1:14">
      <c r="A1083" s="1903"/>
      <c r="B1083" s="1904" t="s">
        <v>107</v>
      </c>
      <c r="C1083" s="1993" t="s">
        <v>948</v>
      </c>
      <c r="D1083" s="1981">
        <v>24.8</v>
      </c>
      <c r="E1083" s="1994" t="s">
        <v>84</v>
      </c>
      <c r="F1083" s="1995">
        <v>0</v>
      </c>
      <c r="G1083" s="1996">
        <v>200</v>
      </c>
      <c r="H1083" s="1906">
        <f t="shared" si="157"/>
        <v>0</v>
      </c>
      <c r="I1083" s="1906">
        <f t="shared" si="158"/>
        <v>4960</v>
      </c>
      <c r="J1083" s="1906">
        <f t="shared" si="159"/>
        <v>4960</v>
      </c>
      <c r="K1083" s="1907"/>
      <c r="M1083" s="1885" t="s">
        <v>1016</v>
      </c>
    </row>
    <row r="1084" spans="1:14">
      <c r="A1084" s="1965"/>
      <c r="B1084" s="1997" t="s">
        <v>107</v>
      </c>
      <c r="C1084" s="1993" t="s">
        <v>1087</v>
      </c>
      <c r="D1084" s="1998">
        <v>45.5</v>
      </c>
      <c r="E1084" s="1999" t="s">
        <v>87</v>
      </c>
      <c r="F1084" s="1975">
        <v>28.9</v>
      </c>
      <c r="G1084" s="1975">
        <v>10</v>
      </c>
      <c r="H1084" s="1906">
        <f t="shared" si="157"/>
        <v>1314.95</v>
      </c>
      <c r="I1084" s="1906">
        <f t="shared" si="158"/>
        <v>455</v>
      </c>
      <c r="J1084" s="1906">
        <f t="shared" si="159"/>
        <v>1769.95</v>
      </c>
      <c r="K1084" s="1907"/>
      <c r="M1084" s="1885" t="s">
        <v>1021</v>
      </c>
    </row>
    <row r="1085" spans="1:14">
      <c r="A1085" s="1965"/>
      <c r="B1085" s="1997" t="s">
        <v>107</v>
      </c>
      <c r="C1085" s="1993" t="s">
        <v>1082</v>
      </c>
      <c r="D1085" s="1998">
        <v>330.3</v>
      </c>
      <c r="E1085" s="1999" t="s">
        <v>87</v>
      </c>
      <c r="F1085" s="1975">
        <v>28.9</v>
      </c>
      <c r="G1085" s="1975">
        <v>10</v>
      </c>
      <c r="H1085" s="1906">
        <f t="shared" si="157"/>
        <v>9545.67</v>
      </c>
      <c r="I1085" s="1906">
        <f t="shared" si="158"/>
        <v>3303</v>
      </c>
      <c r="J1085" s="1906">
        <f t="shared" si="159"/>
        <v>12848.67</v>
      </c>
      <c r="K1085" s="1907"/>
      <c r="M1085" s="1885" t="s">
        <v>1021</v>
      </c>
    </row>
    <row r="1086" spans="1:14">
      <c r="A1086" s="1965"/>
      <c r="B1086" s="1997" t="s">
        <v>107</v>
      </c>
      <c r="C1086" s="1993" t="s">
        <v>1088</v>
      </c>
      <c r="D1086" s="1998">
        <v>45.15</v>
      </c>
      <c r="E1086" s="1999" t="s">
        <v>87</v>
      </c>
      <c r="F1086" s="1975">
        <v>31</v>
      </c>
      <c r="G1086" s="1975">
        <v>10</v>
      </c>
      <c r="H1086" s="1906">
        <f t="shared" si="157"/>
        <v>1399.6499999999999</v>
      </c>
      <c r="I1086" s="1906">
        <f t="shared" si="158"/>
        <v>451.5</v>
      </c>
      <c r="J1086" s="1906">
        <f t="shared" si="159"/>
        <v>1851.1499999999999</v>
      </c>
      <c r="K1086" s="1907"/>
      <c r="M1086" s="1885" t="s">
        <v>1016</v>
      </c>
    </row>
    <row r="1087" spans="1:14">
      <c r="A1087" s="1965"/>
      <c r="B1087" s="1997" t="s">
        <v>107</v>
      </c>
      <c r="C1087" s="1993" t="s">
        <v>956</v>
      </c>
      <c r="D1087" s="1998">
        <v>18</v>
      </c>
      <c r="E1087" s="1999" t="s">
        <v>109</v>
      </c>
      <c r="F1087" s="1975">
        <v>108</v>
      </c>
      <c r="G1087" s="1975">
        <v>18</v>
      </c>
      <c r="H1087" s="1906">
        <f t="shared" si="157"/>
        <v>1944</v>
      </c>
      <c r="I1087" s="1906">
        <f t="shared" si="158"/>
        <v>324</v>
      </c>
      <c r="J1087" s="1906">
        <f t="shared" si="159"/>
        <v>2268</v>
      </c>
      <c r="K1087" s="1907"/>
      <c r="M1087" s="1885" t="s">
        <v>1021</v>
      </c>
    </row>
    <row r="1088" spans="1:14">
      <c r="A1088" s="2000"/>
      <c r="B1088" s="1997" t="s">
        <v>107</v>
      </c>
      <c r="C1088" s="1993" t="s">
        <v>1059</v>
      </c>
      <c r="D1088" s="1998">
        <v>72</v>
      </c>
      <c r="E1088" s="1999" t="s">
        <v>27</v>
      </c>
      <c r="F1088" s="1975">
        <v>131.32</v>
      </c>
      <c r="G1088" s="1975">
        <v>0</v>
      </c>
      <c r="H1088" s="1906">
        <f t="shared" si="157"/>
        <v>9455.0399999999991</v>
      </c>
      <c r="I1088" s="1906">
        <f t="shared" si="158"/>
        <v>0</v>
      </c>
      <c r="J1088" s="1906">
        <f t="shared" si="159"/>
        <v>9455.0399999999991</v>
      </c>
      <c r="K1088" s="1907"/>
      <c r="M1088" s="1885" t="s">
        <v>654</v>
      </c>
    </row>
    <row r="1089" spans="1:13">
      <c r="A1089" s="1863"/>
      <c r="B1089" s="1864"/>
      <c r="C1089" s="1865"/>
      <c r="D1089" s="1866"/>
      <c r="E1089" s="1867"/>
      <c r="F1089" s="1868"/>
      <c r="G1089" s="1868"/>
      <c r="H1089" s="1868"/>
      <c r="I1089" s="1868"/>
      <c r="J1089" s="1868"/>
      <c r="K1089" s="1869"/>
      <c r="M1089" s="1885"/>
    </row>
    <row r="1090" spans="1:13">
      <c r="B1090" s="1860"/>
      <c r="C1090" s="2133" t="s">
        <v>133</v>
      </c>
      <c r="D1090" s="2134"/>
      <c r="E1090" s="2135"/>
      <c r="F1090" s="2136"/>
      <c r="G1090" s="2137"/>
      <c r="H1090" s="2137"/>
      <c r="I1090" s="2137"/>
      <c r="J1090" s="2137"/>
      <c r="K1090" s="2137"/>
      <c r="M1090" s="1885"/>
    </row>
    <row r="1091" spans="1:13">
      <c r="B1091" s="2138"/>
      <c r="C1091" s="2139" t="s">
        <v>1769</v>
      </c>
      <c r="D1091" s="2140"/>
      <c r="E1091" s="1861"/>
      <c r="F1091" s="2135"/>
      <c r="G1091" s="2139" t="s">
        <v>134</v>
      </c>
      <c r="H1091" s="2138"/>
      <c r="I1091" s="2138"/>
      <c r="J1091" s="2138"/>
      <c r="K1091" s="2138"/>
      <c r="M1091" s="1885"/>
    </row>
    <row r="1092" spans="1:13">
      <c r="B1092" s="1871"/>
      <c r="C1092" s="2141" t="s">
        <v>1970</v>
      </c>
      <c r="D1092" s="2140"/>
      <c r="E1092" s="2142"/>
      <c r="F1092" s="2143"/>
      <c r="G1092" s="2144" t="s">
        <v>1971</v>
      </c>
      <c r="H1092" s="2145"/>
      <c r="I1092" s="2145"/>
      <c r="J1092" s="2145"/>
      <c r="K1092" s="2145"/>
      <c r="M1092" s="1885"/>
    </row>
    <row r="1093" spans="1:13">
      <c r="A1093" s="1837"/>
      <c r="B1093" s="2138"/>
      <c r="C1093" s="2139" t="s">
        <v>2031</v>
      </c>
      <c r="D1093" s="2140"/>
      <c r="E1093" s="1837"/>
      <c r="F1093" s="2146"/>
      <c r="G1093" s="2139" t="s">
        <v>2031</v>
      </c>
      <c r="H1093" s="1837"/>
      <c r="I1093" s="1837"/>
      <c r="J1093" s="1837"/>
      <c r="K1093" s="1837"/>
      <c r="M1093" s="1885"/>
    </row>
    <row r="1094" spans="1:13">
      <c r="A1094" s="1952"/>
      <c r="B1094" s="1871"/>
      <c r="C1094" s="2147" t="s">
        <v>1984</v>
      </c>
      <c r="D1094" s="2140"/>
      <c r="E1094" s="1837"/>
      <c r="F1094" s="2135"/>
      <c r="G1094" s="2147" t="s">
        <v>1985</v>
      </c>
      <c r="H1094" s="1952"/>
      <c r="I1094" s="1952"/>
      <c r="J1094" s="1952"/>
      <c r="K1094" s="1952"/>
      <c r="M1094" s="1885"/>
    </row>
    <row r="1095" spans="1:13">
      <c r="A1095" s="1952"/>
      <c r="B1095" s="1952"/>
      <c r="C1095" s="2139" t="s">
        <v>670</v>
      </c>
      <c r="D1095" s="2139"/>
      <c r="E1095" s="2143"/>
      <c r="F1095" s="2143"/>
      <c r="G1095" s="1952"/>
      <c r="H1095" s="1952"/>
      <c r="I1095" s="1952"/>
      <c r="J1095" s="1952"/>
      <c r="K1095" s="1952"/>
      <c r="M1095" s="1885"/>
    </row>
    <row r="1096" spans="1:13">
      <c r="C1096" s="2147" t="s">
        <v>1972</v>
      </c>
      <c r="D1096" s="2147"/>
      <c r="E1096" s="2146"/>
      <c r="F1096" s="2146"/>
      <c r="M1096" s="1885"/>
    </row>
    <row r="1097" spans="1:13">
      <c r="A1097" s="2000"/>
      <c r="B1097" s="2004" t="s">
        <v>953</v>
      </c>
      <c r="C1097" s="2005" t="s">
        <v>958</v>
      </c>
      <c r="D1097" s="1956"/>
      <c r="E1097" s="2006"/>
      <c r="F1097" s="2007"/>
      <c r="G1097" s="2007"/>
      <c r="H1097" s="2007"/>
      <c r="I1097" s="2007"/>
      <c r="J1097" s="2007"/>
      <c r="K1097" s="1908"/>
    </row>
    <row r="1098" spans="1:13">
      <c r="A1098" s="1903"/>
      <c r="B1098" s="1904" t="s">
        <v>107</v>
      </c>
      <c r="C1098" s="1993" t="s">
        <v>952</v>
      </c>
      <c r="D1098" s="1981">
        <v>13.5</v>
      </c>
      <c r="E1098" s="1903" t="s">
        <v>86</v>
      </c>
      <c r="F1098" s="1906">
        <v>119</v>
      </c>
      <c r="G1098" s="1906">
        <v>82</v>
      </c>
      <c r="H1098" s="1906">
        <f>+F1098*D1098</f>
        <v>1606.5</v>
      </c>
      <c r="I1098" s="1906">
        <f>+G1098*D1098</f>
        <v>1107</v>
      </c>
      <c r="J1098" s="1906">
        <f>+H1098+I1098</f>
        <v>2713.5</v>
      </c>
      <c r="K1098" s="1907"/>
      <c r="M1098" s="1885" t="s">
        <v>1076</v>
      </c>
    </row>
    <row r="1099" spans="1:13">
      <c r="A1099" s="1965"/>
      <c r="B1099" s="1997" t="s">
        <v>107</v>
      </c>
      <c r="C1099" s="1993" t="s">
        <v>957</v>
      </c>
      <c r="D1099" s="1998">
        <v>20.399999999999999</v>
      </c>
      <c r="E1099" s="1999" t="s">
        <v>84</v>
      </c>
      <c r="F1099" s="1975">
        <v>200</v>
      </c>
      <c r="G1099" s="1975">
        <v>40</v>
      </c>
      <c r="H1099" s="1906">
        <f>+F1099*D1099</f>
        <v>4079.9999999999995</v>
      </c>
      <c r="I1099" s="1906">
        <f>+G1099*D1099</f>
        <v>816</v>
      </c>
      <c r="J1099" s="1906">
        <f>+H1099+I1099</f>
        <v>4896</v>
      </c>
      <c r="K1099" s="1907"/>
      <c r="M1099" s="1885" t="s">
        <v>1016</v>
      </c>
    </row>
    <row r="1100" spans="1:13">
      <c r="A1100" s="1965"/>
      <c r="B1100" s="1997" t="s">
        <v>107</v>
      </c>
      <c r="C1100" s="1993" t="s">
        <v>1237</v>
      </c>
      <c r="D1100" s="1998">
        <v>6.4</v>
      </c>
      <c r="E1100" s="1999" t="s">
        <v>84</v>
      </c>
      <c r="F1100" s="1975">
        <v>2100</v>
      </c>
      <c r="G1100" s="1975">
        <v>250</v>
      </c>
      <c r="H1100" s="1906">
        <f>F1100*D1100</f>
        <v>13440</v>
      </c>
      <c r="I1100" s="1906">
        <f>G1100*D1100</f>
        <v>1600</v>
      </c>
      <c r="J1100" s="1906">
        <f>H1100+I1100</f>
        <v>15040</v>
      </c>
      <c r="K1100" s="1907"/>
      <c r="M1100" s="1885"/>
    </row>
    <row r="1101" spans="1:13">
      <c r="A1101" s="1972"/>
      <c r="B1101" s="2001" t="s">
        <v>107</v>
      </c>
      <c r="C1101" s="2002" t="s">
        <v>955</v>
      </c>
      <c r="D1101" s="1930">
        <v>10</v>
      </c>
      <c r="E1101" s="1909" t="s">
        <v>109</v>
      </c>
      <c r="F1101" s="1909">
        <v>45</v>
      </c>
      <c r="G1101" s="1930">
        <v>7.5</v>
      </c>
      <c r="H1101" s="1930">
        <f>F1101*D1101</f>
        <v>450</v>
      </c>
      <c r="I1101" s="1930">
        <f>G1101*D1101</f>
        <v>75</v>
      </c>
      <c r="J1101" s="1930">
        <f>H1101+I1101</f>
        <v>525</v>
      </c>
      <c r="K1101" s="2003"/>
      <c r="L1101" s="1875"/>
      <c r="M1101" s="1875"/>
    </row>
    <row r="1102" spans="1:13" s="1875" customFormat="1">
      <c r="A1102" s="1972"/>
      <c r="B1102" s="2001" t="s">
        <v>107</v>
      </c>
      <c r="C1102" s="2002" t="s">
        <v>1060</v>
      </c>
      <c r="D1102" s="1930">
        <v>40</v>
      </c>
      <c r="E1102" s="1909" t="s">
        <v>27</v>
      </c>
      <c r="F1102" s="1975">
        <v>99.84</v>
      </c>
      <c r="G1102" s="1975">
        <v>0</v>
      </c>
      <c r="H1102" s="1930">
        <f>F1102*D1102</f>
        <v>3993.6000000000004</v>
      </c>
      <c r="I1102" s="1930">
        <f>G1102*D1102</f>
        <v>0</v>
      </c>
      <c r="J1102" s="1930">
        <f>H1102+I1102</f>
        <v>3993.6000000000004</v>
      </c>
      <c r="K1102" s="2003"/>
    </row>
    <row r="1103" spans="1:13" s="1875" customFormat="1">
      <c r="A1103" s="1897"/>
      <c r="B1103" s="2008" t="s">
        <v>954</v>
      </c>
      <c r="C1103" s="2019" t="s">
        <v>958</v>
      </c>
      <c r="D1103" s="1898"/>
      <c r="E1103" s="1899"/>
      <c r="F1103" s="1900"/>
      <c r="G1103" s="1900"/>
      <c r="H1103" s="1900"/>
      <c r="I1103" s="1900"/>
      <c r="J1103" s="1900"/>
      <c r="K1103" s="1901"/>
      <c r="L1103" s="1871"/>
      <c r="M1103" s="1902"/>
    </row>
    <row r="1104" spans="1:13" s="1875" customFormat="1">
      <c r="A1104" s="1903"/>
      <c r="B1104" s="1904" t="s">
        <v>107</v>
      </c>
      <c r="C1104" s="1993" t="s">
        <v>952</v>
      </c>
      <c r="D1104" s="1991">
        <v>14.3</v>
      </c>
      <c r="E1104" s="1903" t="s">
        <v>86</v>
      </c>
      <c r="F1104" s="1900">
        <v>119</v>
      </c>
      <c r="G1104" s="1900">
        <v>82</v>
      </c>
      <c r="H1104" s="1906">
        <f>+F1104*D1104</f>
        <v>1701.7</v>
      </c>
      <c r="I1104" s="1906">
        <f>+G1104*D1104</f>
        <v>1172.6000000000001</v>
      </c>
      <c r="J1104" s="1906">
        <f>+H1104+I1104</f>
        <v>2874.3</v>
      </c>
      <c r="K1104" s="1907"/>
      <c r="L1104" s="1871"/>
      <c r="M1104" s="1885" t="s">
        <v>1076</v>
      </c>
    </row>
    <row r="1105" spans="1:13">
      <c r="A1105" s="1903"/>
      <c r="B1105" s="1904" t="s">
        <v>107</v>
      </c>
      <c r="C1105" s="1993" t="s">
        <v>957</v>
      </c>
      <c r="D1105" s="1981">
        <v>24.2</v>
      </c>
      <c r="E1105" s="1994" t="s">
        <v>84</v>
      </c>
      <c r="F1105" s="1995">
        <v>200</v>
      </c>
      <c r="G1105" s="1996">
        <v>40</v>
      </c>
      <c r="H1105" s="1906">
        <f>+F1105*D1105</f>
        <v>4840</v>
      </c>
      <c r="I1105" s="1906">
        <f>+G1105*D1105</f>
        <v>968</v>
      </c>
      <c r="J1105" s="1906">
        <f>+H1105+I1105</f>
        <v>5808</v>
      </c>
      <c r="K1105" s="1907"/>
      <c r="M1105" s="1885" t="s">
        <v>1016</v>
      </c>
    </row>
    <row r="1106" spans="1:13">
      <c r="A1106" s="1972"/>
      <c r="B1106" s="2047" t="s">
        <v>107</v>
      </c>
      <c r="C1106" s="2002" t="s">
        <v>1086</v>
      </c>
      <c r="D1106" s="1930">
        <v>25.7</v>
      </c>
      <c r="E1106" s="1909" t="s">
        <v>87</v>
      </c>
      <c r="F1106" s="1909">
        <v>32.1</v>
      </c>
      <c r="G1106" s="1930">
        <v>10</v>
      </c>
      <c r="H1106" s="1930">
        <f>F1106*D1106</f>
        <v>824.97</v>
      </c>
      <c r="I1106" s="1930">
        <f>G1106*D1106</f>
        <v>257</v>
      </c>
      <c r="J1106" s="1930">
        <f>H1106+I1106</f>
        <v>1081.97</v>
      </c>
      <c r="K1106" s="2003"/>
      <c r="L1106" s="1875"/>
      <c r="M1106" s="1875"/>
    </row>
    <row r="1107" spans="1:13">
      <c r="A1107" s="1903"/>
      <c r="B1107" s="2386" t="s">
        <v>392</v>
      </c>
      <c r="C1107" s="2386"/>
      <c r="D1107" s="1909"/>
      <c r="E1107" s="1910"/>
      <c r="F1107" s="1906"/>
      <c r="G1107" s="1906"/>
      <c r="H1107" s="1906"/>
      <c r="I1107" s="1906"/>
      <c r="J1107" s="1906"/>
      <c r="K1107" s="1907"/>
    </row>
    <row r="1108" spans="1:13" s="1875" customFormat="1">
      <c r="A1108" s="1965"/>
      <c r="B1108" s="1997" t="s">
        <v>107</v>
      </c>
      <c r="C1108" s="1993" t="s">
        <v>1081</v>
      </c>
      <c r="D1108" s="1998">
        <v>302.2</v>
      </c>
      <c r="E1108" s="1999" t="s">
        <v>87</v>
      </c>
      <c r="F1108" s="1975">
        <v>28.9</v>
      </c>
      <c r="G1108" s="1975">
        <v>10</v>
      </c>
      <c r="H1108" s="1906">
        <f>+F1108*D1108</f>
        <v>8733.58</v>
      </c>
      <c r="I1108" s="1906">
        <f>+G1108*D1108</f>
        <v>3022</v>
      </c>
      <c r="J1108" s="1906">
        <f>+H1108+I1108</f>
        <v>11755.58</v>
      </c>
      <c r="K1108" s="1907"/>
      <c r="L1108" s="1871"/>
      <c r="M1108" s="1885" t="s">
        <v>1021</v>
      </c>
    </row>
    <row r="1109" spans="1:13">
      <c r="A1109" s="1965"/>
      <c r="B1109" s="1997" t="s">
        <v>107</v>
      </c>
      <c r="C1109" s="1993" t="s">
        <v>1084</v>
      </c>
      <c r="D1109" s="1998">
        <v>1295.0999999999999</v>
      </c>
      <c r="E1109" s="1999" t="s">
        <v>87</v>
      </c>
      <c r="F1109" s="1975">
        <v>28.9</v>
      </c>
      <c r="G1109" s="1975">
        <v>10</v>
      </c>
      <c r="H1109" s="1906">
        <f>+F1109*D1109</f>
        <v>37428.389999999992</v>
      </c>
      <c r="I1109" s="1906">
        <f>+G1109*D1109</f>
        <v>12951</v>
      </c>
      <c r="J1109" s="1906">
        <f>+H1109+I1109</f>
        <v>50379.389999999992</v>
      </c>
      <c r="K1109" s="1907"/>
      <c r="M1109" s="1885" t="s">
        <v>1021</v>
      </c>
    </row>
    <row r="1110" spans="1:13">
      <c r="A1110" s="1965"/>
      <c r="B1110" s="1997" t="s">
        <v>107</v>
      </c>
      <c r="C1110" s="1993" t="s">
        <v>1083</v>
      </c>
      <c r="D1110" s="1998">
        <v>279.5</v>
      </c>
      <c r="E1110" s="1999" t="s">
        <v>87</v>
      </c>
      <c r="F1110" s="1975">
        <v>31</v>
      </c>
      <c r="G1110" s="1975">
        <v>10</v>
      </c>
      <c r="H1110" s="1906">
        <f>+F1110*D1110</f>
        <v>8664.5</v>
      </c>
      <c r="I1110" s="1906">
        <f>+G1110*D1110</f>
        <v>2795</v>
      </c>
      <c r="J1110" s="1906">
        <f>+H1110+I1110</f>
        <v>11459.5</v>
      </c>
      <c r="K1110" s="1907"/>
      <c r="M1110" s="1885" t="s">
        <v>1016</v>
      </c>
    </row>
    <row r="1111" spans="1:13">
      <c r="A1111" s="1965"/>
      <c r="B1111" s="1997" t="s">
        <v>107</v>
      </c>
      <c r="C1111" s="1993" t="s">
        <v>956</v>
      </c>
      <c r="D1111" s="1998">
        <v>64</v>
      </c>
      <c r="E1111" s="1999" t="s">
        <v>109</v>
      </c>
      <c r="F1111" s="1975">
        <v>108</v>
      </c>
      <c r="G1111" s="1975">
        <v>18</v>
      </c>
      <c r="H1111" s="1906">
        <f>+F1111*D1111</f>
        <v>6912</v>
      </c>
      <c r="I1111" s="1906">
        <f>+G1111*D1111</f>
        <v>1152</v>
      </c>
      <c r="J1111" s="1906">
        <f>+H1111+I1111</f>
        <v>8064</v>
      </c>
      <c r="K1111" s="1907"/>
      <c r="M1111" s="1885" t="s">
        <v>1021</v>
      </c>
    </row>
    <row r="1112" spans="1:13">
      <c r="A1112" s="2000"/>
      <c r="B1112" s="1997" t="s">
        <v>107</v>
      </c>
      <c r="C1112" s="1993" t="s">
        <v>1059</v>
      </c>
      <c r="D1112" s="1998">
        <f>D1111*4</f>
        <v>256</v>
      </c>
      <c r="E1112" s="1999" t="s">
        <v>27</v>
      </c>
      <c r="F1112" s="1975">
        <v>131.32</v>
      </c>
      <c r="G1112" s="1975">
        <v>0</v>
      </c>
      <c r="H1112" s="1906">
        <f>+F1112*D1112</f>
        <v>33617.919999999998</v>
      </c>
      <c r="I1112" s="1906">
        <f>+G1112*D1112</f>
        <v>0</v>
      </c>
      <c r="J1112" s="1906">
        <f>+H1112+I1112</f>
        <v>33617.919999999998</v>
      </c>
      <c r="K1112" s="1907"/>
      <c r="M1112" s="1885" t="s">
        <v>654</v>
      </c>
    </row>
    <row r="1113" spans="1:13">
      <c r="A1113" s="1903"/>
      <c r="B1113" s="2386" t="s">
        <v>384</v>
      </c>
      <c r="C1113" s="2386"/>
      <c r="D1113" s="1909"/>
      <c r="E1113" s="1910"/>
      <c r="F1113" s="1906"/>
      <c r="G1113" s="1906"/>
      <c r="H1113" s="1906"/>
      <c r="I1113" s="1906"/>
      <c r="J1113" s="1906"/>
      <c r="K1113" s="1907"/>
    </row>
    <row r="1114" spans="1:13">
      <c r="A1114" s="1903"/>
      <c r="B1114" s="1997" t="s">
        <v>107</v>
      </c>
      <c r="C1114" s="1980" t="s">
        <v>1026</v>
      </c>
      <c r="D1114" s="1998">
        <v>1040</v>
      </c>
      <c r="E1114" s="1999" t="s">
        <v>1027</v>
      </c>
      <c r="F1114" s="1975">
        <v>48</v>
      </c>
      <c r="G1114" s="1975">
        <v>19</v>
      </c>
      <c r="H1114" s="1906">
        <f>+F1114*D1114</f>
        <v>49920</v>
      </c>
      <c r="I1114" s="1906">
        <f>+G1114*D1114</f>
        <v>19760</v>
      </c>
      <c r="J1114" s="1906">
        <f>+H1114+I1114</f>
        <v>69680</v>
      </c>
      <c r="K1114" s="1907"/>
      <c r="L1114" s="1907" t="s">
        <v>1967</v>
      </c>
      <c r="M1114" s="1885" t="s">
        <v>622</v>
      </c>
    </row>
    <row r="1115" spans="1:13" s="1875" customFormat="1">
      <c r="A1115" s="1972"/>
      <c r="B1115" s="1997" t="s">
        <v>107</v>
      </c>
      <c r="C1115" s="1993" t="s">
        <v>1807</v>
      </c>
      <c r="D1115" s="1998">
        <v>64</v>
      </c>
      <c r="E1115" s="1999" t="s">
        <v>109</v>
      </c>
      <c r="F1115" s="1975">
        <v>7500</v>
      </c>
      <c r="G1115" s="1975">
        <v>500</v>
      </c>
      <c r="H1115" s="1906">
        <f>+F1115*D1115</f>
        <v>480000</v>
      </c>
      <c r="I1115" s="1906">
        <f>+G1115*D1115</f>
        <v>32000</v>
      </c>
      <c r="J1115" s="1906">
        <f>+H1115+I1115</f>
        <v>512000</v>
      </c>
      <c r="K1115" s="1907"/>
      <c r="L1115" s="2031" t="s">
        <v>1900</v>
      </c>
      <c r="M1115" s="1875" t="s">
        <v>622</v>
      </c>
    </row>
    <row r="1116" spans="1:13">
      <c r="A1116" s="1903"/>
      <c r="B1116" s="1997" t="s">
        <v>107</v>
      </c>
      <c r="C1116" s="1993" t="s">
        <v>1810</v>
      </c>
      <c r="D1116" s="1998">
        <v>56</v>
      </c>
      <c r="E1116" s="1999" t="s">
        <v>962</v>
      </c>
      <c r="F1116" s="1975">
        <v>3428.58</v>
      </c>
      <c r="G1116" s="1975">
        <f>F1116*0.3</f>
        <v>1028.5739999999998</v>
      </c>
      <c r="H1116" s="1906">
        <f>+F1116*D1116</f>
        <v>192000.47999999998</v>
      </c>
      <c r="I1116" s="1906">
        <f>+G1116*D1116</f>
        <v>57600.143999999993</v>
      </c>
      <c r="J1116" s="1906">
        <f>+H1116+I1116</f>
        <v>249600.62399999998</v>
      </c>
      <c r="K1116" s="1907"/>
      <c r="L1116" s="1907" t="s">
        <v>1910</v>
      </c>
      <c r="M1116" s="1902" t="s">
        <v>622</v>
      </c>
    </row>
    <row r="1117" spans="1:13">
      <c r="A1117" s="2032"/>
      <c r="B1117" s="1878"/>
      <c r="C1117" s="2033"/>
      <c r="D1117" s="1880"/>
      <c r="E1117" s="1881"/>
      <c r="F1117" s="1882"/>
      <c r="G1117" s="1882"/>
      <c r="H1117" s="2017"/>
      <c r="I1117" s="2017"/>
      <c r="J1117" s="2017"/>
      <c r="K1117" s="1884"/>
    </row>
    <row r="1118" spans="1:13" ht="24.75" thickBot="1">
      <c r="A1118" s="2034"/>
      <c r="B1118" s="2035"/>
      <c r="C1118" s="2053" t="str">
        <f>"รวมราคา "&amp;B943</f>
        <v>รวมราคา งานสถาปัตยกรรม ชั้น 6</v>
      </c>
      <c r="D1118" s="1889"/>
      <c r="E1118" s="1890"/>
      <c r="F1118" s="1891"/>
      <c r="G1118" s="1891"/>
      <c r="H1118" s="1891">
        <f>SUM(H944:H1116)</f>
        <v>4983272.25</v>
      </c>
      <c r="I1118" s="1891">
        <f>SUM(I944:I1116)</f>
        <v>1450105.5440000005</v>
      </c>
      <c r="J1118" s="1891">
        <f>SUM(J944:J1116)</f>
        <v>6433377.7939999998</v>
      </c>
      <c r="K1118" s="1891"/>
      <c r="L1118" s="1870"/>
      <c r="M1118" s="1892"/>
    </row>
    <row r="1119" spans="1:13" ht="24.75" thickTop="1">
      <c r="A1119" s="2037">
        <v>2.7</v>
      </c>
      <c r="B1119" s="2387" t="s">
        <v>357</v>
      </c>
      <c r="C1119" s="2387"/>
      <c r="D1119" s="2038"/>
      <c r="E1119" s="2037"/>
      <c r="F1119" s="2039"/>
      <c r="G1119" s="2039"/>
      <c r="H1119" s="2039"/>
      <c r="I1119" s="2039"/>
      <c r="J1119" s="2039"/>
      <c r="K1119" s="2039"/>
      <c r="L1119" s="2175"/>
      <c r="M1119" s="1892"/>
    </row>
    <row r="1120" spans="1:13" s="1860" customFormat="1">
      <c r="A1120" s="1897"/>
      <c r="B1120" s="2388" t="s">
        <v>201</v>
      </c>
      <c r="C1120" s="2388"/>
      <c r="D1120" s="1898"/>
      <c r="E1120" s="1899"/>
      <c r="F1120" s="1900"/>
      <c r="G1120" s="1900"/>
      <c r="H1120" s="1900"/>
      <c r="I1120" s="1900"/>
      <c r="J1120" s="1900"/>
      <c r="K1120" s="1901"/>
      <c r="L1120" s="1871"/>
      <c r="M1120" s="1902"/>
    </row>
    <row r="1121" spans="1:14" s="1860" customFormat="1">
      <c r="A1121" s="1863"/>
      <c r="B1121" s="1864"/>
      <c r="C1121" s="1865"/>
      <c r="D1121" s="1866"/>
      <c r="E1121" s="1867"/>
      <c r="F1121" s="1868"/>
      <c r="G1121" s="1868"/>
      <c r="H1121" s="1868"/>
      <c r="I1121" s="1868"/>
      <c r="J1121" s="1868"/>
      <c r="K1121" s="1869"/>
      <c r="L1121" s="1871"/>
      <c r="M1121" s="1902"/>
    </row>
    <row r="1122" spans="1:14" s="1860" customFormat="1">
      <c r="A1122" s="1840"/>
      <c r="C1122" s="2133" t="s">
        <v>133</v>
      </c>
      <c r="D1122" s="2134"/>
      <c r="E1122" s="2135"/>
      <c r="F1122" s="2136"/>
      <c r="G1122" s="2137"/>
      <c r="H1122" s="2137"/>
      <c r="I1122" s="2137"/>
      <c r="J1122" s="2137"/>
      <c r="K1122" s="2137"/>
      <c r="L1122" s="1871"/>
      <c r="M1122" s="1902"/>
    </row>
    <row r="1123" spans="1:14" s="1860" customFormat="1">
      <c r="A1123" s="1840"/>
      <c r="B1123" s="2138"/>
      <c r="C1123" s="2139" t="s">
        <v>1769</v>
      </c>
      <c r="D1123" s="2140"/>
      <c r="E1123" s="1861"/>
      <c r="F1123" s="2135"/>
      <c r="G1123" s="2139" t="s">
        <v>134</v>
      </c>
      <c r="H1123" s="2138"/>
      <c r="I1123" s="2138"/>
      <c r="J1123" s="2138"/>
      <c r="K1123" s="2138"/>
      <c r="L1123" s="1871"/>
      <c r="M1123" s="1902"/>
    </row>
    <row r="1124" spans="1:14" s="1860" customFormat="1">
      <c r="A1124" s="1840"/>
      <c r="B1124" s="1871"/>
      <c r="C1124" s="2141" t="s">
        <v>1970</v>
      </c>
      <c r="D1124" s="2140"/>
      <c r="E1124" s="2142"/>
      <c r="F1124" s="2143"/>
      <c r="G1124" s="2144" t="s">
        <v>1971</v>
      </c>
      <c r="H1124" s="2145"/>
      <c r="I1124" s="2145"/>
      <c r="J1124" s="2145"/>
      <c r="K1124" s="2145"/>
      <c r="L1124" s="1871"/>
      <c r="M1124" s="1902"/>
    </row>
    <row r="1125" spans="1:14" s="1860" customFormat="1">
      <c r="A1125" s="1837"/>
      <c r="B1125" s="2138"/>
      <c r="C1125" s="2139" t="s">
        <v>2031</v>
      </c>
      <c r="D1125" s="2140"/>
      <c r="E1125" s="1837"/>
      <c r="F1125" s="2146"/>
      <c r="G1125" s="2139" t="s">
        <v>2031</v>
      </c>
      <c r="H1125" s="1837"/>
      <c r="I1125" s="1837"/>
      <c r="J1125" s="1837"/>
      <c r="K1125" s="1837"/>
      <c r="L1125" s="1871"/>
      <c r="M1125" s="1902"/>
    </row>
    <row r="1126" spans="1:14" s="1860" customFormat="1">
      <c r="A1126" s="1952"/>
      <c r="B1126" s="1871"/>
      <c r="C1126" s="2147" t="s">
        <v>1984</v>
      </c>
      <c r="D1126" s="2140"/>
      <c r="E1126" s="1837"/>
      <c r="F1126" s="2135"/>
      <c r="G1126" s="2147" t="s">
        <v>1985</v>
      </c>
      <c r="H1126" s="1952"/>
      <c r="I1126" s="1952"/>
      <c r="J1126" s="1952"/>
      <c r="K1126" s="1952"/>
      <c r="L1126" s="1871"/>
      <c r="M1126" s="1902"/>
    </row>
    <row r="1127" spans="1:14" s="1860" customFormat="1">
      <c r="A1127" s="1952"/>
      <c r="B1127" s="1952"/>
      <c r="C1127" s="2139" t="s">
        <v>670</v>
      </c>
      <c r="D1127" s="2139"/>
      <c r="E1127" s="2143"/>
      <c r="F1127" s="2143"/>
      <c r="G1127" s="1952"/>
      <c r="H1127" s="1952"/>
      <c r="I1127" s="1952"/>
      <c r="J1127" s="1952"/>
      <c r="K1127" s="1952"/>
      <c r="L1127" s="1871"/>
      <c r="M1127" s="1902"/>
    </row>
    <row r="1128" spans="1:14" s="1860" customFormat="1">
      <c r="A1128" s="1840"/>
      <c r="B1128" s="1840"/>
      <c r="C1128" s="2147" t="s">
        <v>1972</v>
      </c>
      <c r="D1128" s="2147"/>
      <c r="E1128" s="2146"/>
      <c r="F1128" s="2146"/>
      <c r="G1128" s="1870"/>
      <c r="H1128" s="1870"/>
      <c r="I1128" s="1870"/>
      <c r="J1128" s="1870"/>
      <c r="K1128" s="1871"/>
      <c r="L1128" s="1871"/>
      <c r="M1128" s="1902"/>
    </row>
    <row r="1129" spans="1:14" s="1860" customFormat="1">
      <c r="A1129" s="1903"/>
      <c r="B1129" s="1904" t="s">
        <v>3</v>
      </c>
      <c r="C1129" s="1905" t="s">
        <v>723</v>
      </c>
      <c r="D1129" s="1898">
        <v>198.1</v>
      </c>
      <c r="E1129" s="1899" t="s">
        <v>86</v>
      </c>
      <c r="F1129" s="1900">
        <v>606</v>
      </c>
      <c r="G1129" s="1900">
        <v>222</v>
      </c>
      <c r="H1129" s="1906">
        <f>+F1129*D1129</f>
        <v>120048.59999999999</v>
      </c>
      <c r="I1129" s="1906">
        <f>+G1129*D1129</f>
        <v>43978.2</v>
      </c>
      <c r="J1129" s="1906">
        <f>+H1129+I1129</f>
        <v>164026.79999999999</v>
      </c>
      <c r="K1129" s="1907"/>
      <c r="L1129" s="1871"/>
      <c r="M1129" s="1885" t="s">
        <v>1875</v>
      </c>
    </row>
    <row r="1130" spans="1:14">
      <c r="A1130" s="1903"/>
      <c r="B1130" s="1904" t="s">
        <v>137</v>
      </c>
      <c r="C1130" s="1905" t="s">
        <v>724</v>
      </c>
      <c r="D1130" s="1898">
        <v>59</v>
      </c>
      <c r="E1130" s="1899" t="s">
        <v>86</v>
      </c>
      <c r="F1130" s="1900">
        <v>606</v>
      </c>
      <c r="G1130" s="1900">
        <v>222</v>
      </c>
      <c r="H1130" s="1906">
        <f t="shared" ref="H1130:H1136" si="160">+F1130*D1130</f>
        <v>35754</v>
      </c>
      <c r="I1130" s="1906">
        <f t="shared" ref="I1130:I1136" si="161">+G1130*D1130</f>
        <v>13098</v>
      </c>
      <c r="J1130" s="1906">
        <f t="shared" ref="J1130:J1136" si="162">+H1130+I1130</f>
        <v>48852</v>
      </c>
      <c r="K1130" s="1907"/>
      <c r="M1130" s="1885" t="s">
        <v>1875</v>
      </c>
      <c r="N1130" s="1861"/>
    </row>
    <row r="1131" spans="1:14" s="1862" customFormat="1">
      <c r="A1131" s="1903"/>
      <c r="B1131" s="1904" t="s">
        <v>4</v>
      </c>
      <c r="C1131" s="1905" t="s">
        <v>149</v>
      </c>
      <c r="D1131" s="1898">
        <v>41.9</v>
      </c>
      <c r="E1131" s="1899" t="s">
        <v>86</v>
      </c>
      <c r="F1131" s="1900">
        <v>113</v>
      </c>
      <c r="G1131" s="1900">
        <v>87</v>
      </c>
      <c r="H1131" s="1906">
        <f t="shared" si="160"/>
        <v>4734.7</v>
      </c>
      <c r="I1131" s="1906">
        <f t="shared" si="161"/>
        <v>3645.2999999999997</v>
      </c>
      <c r="J1131" s="1906">
        <f t="shared" si="162"/>
        <v>8380</v>
      </c>
      <c r="K1131" s="1907"/>
      <c r="L1131" s="1871"/>
      <c r="M1131" s="1885" t="s">
        <v>1875</v>
      </c>
    </row>
    <row r="1132" spans="1:14" s="1862" customFormat="1">
      <c r="A1132" s="1903"/>
      <c r="B1132" s="1904" t="s">
        <v>368</v>
      </c>
      <c r="C1132" s="1905" t="s">
        <v>939</v>
      </c>
      <c r="D1132" s="1898">
        <v>559.4</v>
      </c>
      <c r="E1132" s="1899" t="s">
        <v>86</v>
      </c>
      <c r="F1132" s="1900">
        <v>465</v>
      </c>
      <c r="G1132" s="1900">
        <v>100</v>
      </c>
      <c r="H1132" s="1906">
        <f t="shared" si="160"/>
        <v>260121</v>
      </c>
      <c r="I1132" s="1906">
        <f t="shared" si="161"/>
        <v>55940</v>
      </c>
      <c r="J1132" s="1906">
        <f t="shared" si="162"/>
        <v>316061</v>
      </c>
      <c r="K1132" s="1907"/>
      <c r="L1132" s="1907" t="s">
        <v>1925</v>
      </c>
      <c r="M1132" s="1885" t="s">
        <v>1927</v>
      </c>
    </row>
    <row r="1133" spans="1:14">
      <c r="A1133" s="1903"/>
      <c r="B1133" s="1904"/>
      <c r="C1133" s="1905" t="s">
        <v>1025</v>
      </c>
      <c r="D1133" s="1898">
        <v>232.8</v>
      </c>
      <c r="E1133" s="1899" t="s">
        <v>84</v>
      </c>
      <c r="F1133" s="1900">
        <v>95</v>
      </c>
      <c r="G1133" s="1900">
        <v>40</v>
      </c>
      <c r="H1133" s="1906">
        <f t="shared" si="160"/>
        <v>22116</v>
      </c>
      <c r="I1133" s="1906">
        <f t="shared" si="161"/>
        <v>9312</v>
      </c>
      <c r="J1133" s="1906">
        <f t="shared" si="162"/>
        <v>31428</v>
      </c>
      <c r="K1133" s="1907"/>
      <c r="M1133" s="1885" t="s">
        <v>1928</v>
      </c>
      <c r="N1133" s="1861"/>
    </row>
    <row r="1134" spans="1:14">
      <c r="A1134" s="1897"/>
      <c r="B1134" s="2008" t="s">
        <v>108</v>
      </c>
      <c r="C1134" s="2019" t="s">
        <v>725</v>
      </c>
      <c r="D1134" s="1898">
        <v>48.4</v>
      </c>
      <c r="E1134" s="1899" t="s">
        <v>86</v>
      </c>
      <c r="F1134" s="1900">
        <v>123</v>
      </c>
      <c r="G1134" s="1900">
        <v>82</v>
      </c>
      <c r="H1134" s="1900">
        <f t="shared" si="160"/>
        <v>5953.2</v>
      </c>
      <c r="I1134" s="1900">
        <f t="shared" si="161"/>
        <v>3968.7999999999997</v>
      </c>
      <c r="J1134" s="1900">
        <f t="shared" si="162"/>
        <v>9922</v>
      </c>
      <c r="K1134" s="1907"/>
      <c r="L1134" s="1901"/>
      <c r="M1134" s="1885" t="s">
        <v>1875</v>
      </c>
      <c r="N1134" s="1861"/>
    </row>
    <row r="1135" spans="1:14">
      <c r="A1135" s="1903"/>
      <c r="B1135" s="1904"/>
      <c r="C1135" s="1905" t="s">
        <v>727</v>
      </c>
      <c r="D1135" s="1898">
        <f>D1130+D1129</f>
        <v>257.10000000000002</v>
      </c>
      <c r="E1135" s="1899" t="s">
        <v>86</v>
      </c>
      <c r="F1135" s="1900">
        <v>109</v>
      </c>
      <c r="G1135" s="1900">
        <v>64</v>
      </c>
      <c r="H1135" s="1906">
        <f t="shared" si="160"/>
        <v>28023.9</v>
      </c>
      <c r="I1135" s="1906">
        <f t="shared" si="161"/>
        <v>16454.400000000001</v>
      </c>
      <c r="J1135" s="1906">
        <f t="shared" si="162"/>
        <v>44478.3</v>
      </c>
      <c r="K1135" s="1907"/>
      <c r="L1135" s="1907"/>
      <c r="M1135" s="1885" t="s">
        <v>1879</v>
      </c>
      <c r="N1135" s="1861"/>
    </row>
    <row r="1136" spans="1:14" s="1862" customFormat="1">
      <c r="A1136" s="1903"/>
      <c r="B1136" s="1904"/>
      <c r="C1136" s="1905" t="s">
        <v>728</v>
      </c>
      <c r="D1136" s="1898">
        <f>D1132</f>
        <v>559.4</v>
      </c>
      <c r="E1136" s="1899" t="s">
        <v>86</v>
      </c>
      <c r="F1136" s="1900">
        <v>175</v>
      </c>
      <c r="G1136" s="1900">
        <v>40</v>
      </c>
      <c r="H1136" s="1906">
        <f t="shared" si="160"/>
        <v>97895</v>
      </c>
      <c r="I1136" s="1906">
        <f t="shared" si="161"/>
        <v>22376</v>
      </c>
      <c r="J1136" s="1906">
        <f t="shared" si="162"/>
        <v>120271</v>
      </c>
      <c r="K1136" s="1907"/>
      <c r="L1136" s="1907"/>
      <c r="M1136" s="1885" t="s">
        <v>1076</v>
      </c>
    </row>
    <row r="1137" spans="1:14">
      <c r="A1137" s="1903"/>
      <c r="B1137" s="2386" t="s">
        <v>366</v>
      </c>
      <c r="C1137" s="2386"/>
      <c r="D1137" s="1898"/>
      <c r="E1137" s="1899"/>
      <c r="F1137" s="1900"/>
      <c r="G1137" s="1900"/>
      <c r="H1137" s="1906"/>
      <c r="I1137" s="1906"/>
      <c r="J1137" s="1906"/>
      <c r="K1137" s="1907"/>
      <c r="L1137" s="1907"/>
    </row>
    <row r="1138" spans="1:14">
      <c r="A1138" s="1903"/>
      <c r="B1138" s="1904" t="s">
        <v>733</v>
      </c>
      <c r="C1138" s="1905" t="s">
        <v>1241</v>
      </c>
      <c r="D1138" s="1898">
        <v>798.9</v>
      </c>
      <c r="E1138" s="1899" t="s">
        <v>86</v>
      </c>
      <c r="F1138" s="1900">
        <v>273</v>
      </c>
      <c r="G1138" s="1900">
        <v>53</v>
      </c>
      <c r="H1138" s="1906">
        <f>+F1138*D1138</f>
        <v>218099.69999999998</v>
      </c>
      <c r="I1138" s="1906">
        <f>+G1138*D1138</f>
        <v>42341.7</v>
      </c>
      <c r="J1138" s="1906">
        <f>+H1138+I1138</f>
        <v>260441.39999999997</v>
      </c>
      <c r="K1138" s="1907"/>
      <c r="L1138" s="1907"/>
      <c r="M1138" s="1885" t="s">
        <v>1879</v>
      </c>
      <c r="N1138" s="1861"/>
    </row>
    <row r="1139" spans="1:14">
      <c r="A1139" s="2000"/>
      <c r="B1139" s="2004" t="s">
        <v>734</v>
      </c>
      <c r="C1139" s="2005" t="s">
        <v>653</v>
      </c>
      <c r="D1139" s="2015">
        <v>9</v>
      </c>
      <c r="E1139" s="2016" t="s">
        <v>5</v>
      </c>
      <c r="F1139" s="1900">
        <v>14500</v>
      </c>
      <c r="G1139" s="1900">
        <v>800</v>
      </c>
      <c r="H1139" s="2007">
        <f>+F1139*D1139</f>
        <v>130500</v>
      </c>
      <c r="I1139" s="2007">
        <f>+G1139*D1139</f>
        <v>7200</v>
      </c>
      <c r="J1139" s="2007">
        <f>+H1139+I1139</f>
        <v>137700</v>
      </c>
      <c r="K1139" s="1907"/>
      <c r="L1139" s="1908" t="s">
        <v>1885</v>
      </c>
      <c r="M1139" s="2018" t="s">
        <v>622</v>
      </c>
    </row>
    <row r="1140" spans="1:14">
      <c r="A1140" s="1903"/>
      <c r="B1140" s="1904" t="s">
        <v>735</v>
      </c>
      <c r="C1140" s="1905" t="s">
        <v>1768</v>
      </c>
      <c r="D1140" s="1909">
        <v>185.8</v>
      </c>
      <c r="E1140" s="1910" t="s">
        <v>86</v>
      </c>
      <c r="F1140" s="1900">
        <v>754</v>
      </c>
      <c r="G1140" s="1906">
        <v>75</v>
      </c>
      <c r="H1140" s="1906">
        <f>+F1140*D1140</f>
        <v>140093.20000000001</v>
      </c>
      <c r="I1140" s="1906">
        <f>+G1140*D1140</f>
        <v>13935</v>
      </c>
      <c r="J1140" s="1906">
        <f>+H1140+I1140</f>
        <v>154028.20000000001</v>
      </c>
      <c r="K1140" s="1907"/>
      <c r="L1140" s="1907"/>
      <c r="M1140" s="1885" t="s">
        <v>1879</v>
      </c>
      <c r="N1140" s="1861"/>
    </row>
    <row r="1141" spans="1:14">
      <c r="A1141" s="1903"/>
      <c r="B1141" s="2386" t="s">
        <v>365</v>
      </c>
      <c r="C1141" s="2386"/>
      <c r="D1141" s="1909"/>
      <c r="E1141" s="1910"/>
      <c r="F1141" s="1906"/>
      <c r="G1141" s="1906"/>
      <c r="H1141" s="1906"/>
      <c r="I1141" s="1906"/>
      <c r="J1141" s="1906"/>
      <c r="K1141" s="1907"/>
      <c r="L1141" s="1907"/>
    </row>
    <row r="1142" spans="1:14" s="1862" customFormat="1" ht="48">
      <c r="A1142" s="1911"/>
      <c r="B1142" s="1912">
        <v>1</v>
      </c>
      <c r="C1142" s="1913" t="s">
        <v>736</v>
      </c>
      <c r="D1142" s="1914">
        <v>474.8</v>
      </c>
      <c r="E1142" s="1915" t="s">
        <v>86</v>
      </c>
      <c r="F1142" s="1916">
        <v>165</v>
      </c>
      <c r="G1142" s="1916">
        <v>240</v>
      </c>
      <c r="H1142" s="1916">
        <f t="shared" ref="H1142:H1162" si="163">+F1142*D1142</f>
        <v>78342</v>
      </c>
      <c r="I1142" s="1916">
        <f t="shared" ref="I1142:I1162" si="164">+G1142*D1142</f>
        <v>113952</v>
      </c>
      <c r="J1142" s="1916">
        <f t="shared" ref="J1142:J1162" si="165">+H1142+I1142</f>
        <v>192294</v>
      </c>
      <c r="K1142" s="1917"/>
      <c r="L1142" s="1917"/>
      <c r="M1142" s="1918" t="s">
        <v>1076</v>
      </c>
      <c r="N1142" s="1852"/>
    </row>
    <row r="1143" spans="1:14" s="1862" customFormat="1">
      <c r="A1143" s="1911"/>
      <c r="B1143" s="1912">
        <v>2</v>
      </c>
      <c r="C1143" s="1913" t="s">
        <v>738</v>
      </c>
      <c r="D1143" s="1914">
        <v>82.4</v>
      </c>
      <c r="E1143" s="1915" t="s">
        <v>86</v>
      </c>
      <c r="F1143" s="1916">
        <v>155</v>
      </c>
      <c r="G1143" s="1916">
        <v>155</v>
      </c>
      <c r="H1143" s="1916">
        <f t="shared" si="163"/>
        <v>12772</v>
      </c>
      <c r="I1143" s="1916">
        <f t="shared" si="164"/>
        <v>12772</v>
      </c>
      <c r="J1143" s="1916">
        <f t="shared" si="165"/>
        <v>25544</v>
      </c>
      <c r="K1143" s="1917"/>
      <c r="L1143" s="1917"/>
      <c r="M1143" s="1918" t="s">
        <v>1076</v>
      </c>
      <c r="N1143" s="1852"/>
    </row>
    <row r="1144" spans="1:14" s="1862" customFormat="1">
      <c r="A1144" s="1923"/>
      <c r="B1144" s="1924">
        <v>3</v>
      </c>
      <c r="C1144" s="1925" t="s">
        <v>737</v>
      </c>
      <c r="D1144" s="1920">
        <v>19</v>
      </c>
      <c r="E1144" s="1921" t="s">
        <v>86</v>
      </c>
      <c r="F1144" s="1922">
        <v>135</v>
      </c>
      <c r="G1144" s="1922">
        <v>155</v>
      </c>
      <c r="H1144" s="1922">
        <f t="shared" si="163"/>
        <v>2565</v>
      </c>
      <c r="I1144" s="1922">
        <f t="shared" si="164"/>
        <v>2945</v>
      </c>
      <c r="J1144" s="1922">
        <f t="shared" si="165"/>
        <v>5510</v>
      </c>
      <c r="K1144" s="1917"/>
      <c r="L1144" s="2042"/>
      <c r="M1144" s="1918" t="s">
        <v>1076</v>
      </c>
    </row>
    <row r="1145" spans="1:14" s="1862" customFormat="1" ht="48">
      <c r="A1145" s="1911"/>
      <c r="B1145" s="1912">
        <v>4</v>
      </c>
      <c r="C1145" s="1913" t="s">
        <v>1767</v>
      </c>
      <c r="D1145" s="1920">
        <v>162.6</v>
      </c>
      <c r="E1145" s="1921" t="s">
        <v>86</v>
      </c>
      <c r="F1145" s="1922">
        <v>540</v>
      </c>
      <c r="G1145" s="1922">
        <v>271</v>
      </c>
      <c r="H1145" s="1916">
        <f t="shared" si="163"/>
        <v>87804</v>
      </c>
      <c r="I1145" s="1916">
        <f t="shared" si="164"/>
        <v>44064.6</v>
      </c>
      <c r="J1145" s="1916">
        <f t="shared" si="165"/>
        <v>131868.6</v>
      </c>
      <c r="K1145" s="1917"/>
      <c r="L1145" s="1917" t="s">
        <v>1939</v>
      </c>
      <c r="M1145" s="1918" t="s">
        <v>1076</v>
      </c>
      <c r="N1145" s="1852"/>
    </row>
    <row r="1146" spans="1:14" s="1862" customFormat="1" ht="48">
      <c r="A1146" s="1911"/>
      <c r="B1146" s="1912">
        <v>5</v>
      </c>
      <c r="C1146" s="1913" t="s">
        <v>739</v>
      </c>
      <c r="D1146" s="1920">
        <v>231.2</v>
      </c>
      <c r="E1146" s="1921" t="s">
        <v>86</v>
      </c>
      <c r="F1146" s="1922">
        <v>165</v>
      </c>
      <c r="G1146" s="1922">
        <v>240</v>
      </c>
      <c r="H1146" s="1916">
        <f t="shared" si="163"/>
        <v>38148</v>
      </c>
      <c r="I1146" s="1916">
        <f t="shared" si="164"/>
        <v>55488</v>
      </c>
      <c r="J1146" s="1916">
        <f t="shared" si="165"/>
        <v>93636</v>
      </c>
      <c r="K1146" s="1917"/>
      <c r="L1146" s="2048"/>
      <c r="M1146" s="1918" t="s">
        <v>1076</v>
      </c>
    </row>
    <row r="1147" spans="1:14" s="1862" customFormat="1" ht="48">
      <c r="A1147" s="1911"/>
      <c r="B1147" s="1912">
        <v>6</v>
      </c>
      <c r="C1147" s="1913" t="s">
        <v>740</v>
      </c>
      <c r="D1147" s="1920">
        <v>76.599999999999994</v>
      </c>
      <c r="E1147" s="1921" t="s">
        <v>86</v>
      </c>
      <c r="F1147" s="1922">
        <v>285</v>
      </c>
      <c r="G1147" s="1922">
        <v>240</v>
      </c>
      <c r="H1147" s="1916">
        <f t="shared" si="163"/>
        <v>21831</v>
      </c>
      <c r="I1147" s="1916">
        <f t="shared" si="164"/>
        <v>18384</v>
      </c>
      <c r="J1147" s="1916">
        <f t="shared" si="165"/>
        <v>40215</v>
      </c>
      <c r="K1147" s="1917"/>
      <c r="L1147" s="2048"/>
      <c r="M1147" s="1918" t="s">
        <v>1076</v>
      </c>
      <c r="N1147" s="1852"/>
    </row>
    <row r="1148" spans="1:14">
      <c r="A1148" s="1903"/>
      <c r="B1148" s="1904">
        <v>7</v>
      </c>
      <c r="C1148" s="1905" t="s">
        <v>372</v>
      </c>
      <c r="D1148" s="1898">
        <v>10.7</v>
      </c>
      <c r="E1148" s="1899" t="s">
        <v>86</v>
      </c>
      <c r="F1148" s="1900">
        <v>151</v>
      </c>
      <c r="G1148" s="1900">
        <v>92</v>
      </c>
      <c r="H1148" s="1906">
        <f t="shared" si="163"/>
        <v>1615.6999999999998</v>
      </c>
      <c r="I1148" s="1906">
        <f t="shared" si="164"/>
        <v>984.4</v>
      </c>
      <c r="J1148" s="1906">
        <f t="shared" si="165"/>
        <v>2600.1</v>
      </c>
      <c r="K1148" s="1907"/>
      <c r="M1148" s="1885" t="s">
        <v>1879</v>
      </c>
      <c r="N1148" s="1861"/>
    </row>
    <row r="1149" spans="1:14">
      <c r="A1149" s="1903"/>
      <c r="B1149" s="1904">
        <v>10</v>
      </c>
      <c r="C1149" s="1905" t="s">
        <v>1748</v>
      </c>
      <c r="D1149" s="1898">
        <v>906.9</v>
      </c>
      <c r="E1149" s="1899" t="s">
        <v>86</v>
      </c>
      <c r="F1149" s="1900">
        <v>75</v>
      </c>
      <c r="G1149" s="1900">
        <v>87</v>
      </c>
      <c r="H1149" s="1906">
        <f t="shared" si="163"/>
        <v>68017.5</v>
      </c>
      <c r="I1149" s="1906">
        <f t="shared" si="164"/>
        <v>78900.3</v>
      </c>
      <c r="J1149" s="1906">
        <f t="shared" si="165"/>
        <v>146917.79999999999</v>
      </c>
      <c r="K1149" s="1907"/>
      <c r="M1149" s="1885" t="s">
        <v>1879</v>
      </c>
      <c r="N1149" s="1861"/>
    </row>
    <row r="1150" spans="1:14">
      <c r="A1150" s="1863"/>
      <c r="B1150" s="1864"/>
      <c r="C1150" s="1865"/>
      <c r="D1150" s="1866"/>
      <c r="E1150" s="1867"/>
      <c r="F1150" s="1868"/>
      <c r="G1150" s="1868"/>
      <c r="H1150" s="1868"/>
      <c r="I1150" s="1868"/>
      <c r="J1150" s="1868"/>
      <c r="K1150" s="1869"/>
      <c r="M1150" s="1885"/>
      <c r="N1150" s="1861"/>
    </row>
    <row r="1151" spans="1:14">
      <c r="B1151" s="1860"/>
      <c r="C1151" s="2133" t="s">
        <v>133</v>
      </c>
      <c r="D1151" s="2134"/>
      <c r="E1151" s="2135"/>
      <c r="F1151" s="2136"/>
      <c r="G1151" s="2137"/>
      <c r="H1151" s="2137"/>
      <c r="I1151" s="2137"/>
      <c r="J1151" s="2137"/>
      <c r="K1151" s="2137"/>
      <c r="M1151" s="1885"/>
      <c r="N1151" s="1861"/>
    </row>
    <row r="1152" spans="1:14">
      <c r="B1152" s="2138"/>
      <c r="C1152" s="2139" t="s">
        <v>1769</v>
      </c>
      <c r="D1152" s="2140"/>
      <c r="E1152" s="1861"/>
      <c r="F1152" s="2135"/>
      <c r="G1152" s="2139" t="s">
        <v>134</v>
      </c>
      <c r="H1152" s="2138"/>
      <c r="I1152" s="2138"/>
      <c r="J1152" s="2138"/>
      <c r="K1152" s="2138"/>
      <c r="M1152" s="1885"/>
      <c r="N1152" s="1861"/>
    </row>
    <row r="1153" spans="1:14">
      <c r="B1153" s="1871"/>
      <c r="C1153" s="2141" t="s">
        <v>1970</v>
      </c>
      <c r="D1153" s="2140"/>
      <c r="E1153" s="2142"/>
      <c r="F1153" s="2143"/>
      <c r="G1153" s="2144" t="s">
        <v>1971</v>
      </c>
      <c r="H1153" s="2145"/>
      <c r="I1153" s="2145"/>
      <c r="J1153" s="2145"/>
      <c r="K1153" s="2145"/>
      <c r="M1153" s="1885"/>
      <c r="N1153" s="1861"/>
    </row>
    <row r="1154" spans="1:14">
      <c r="A1154" s="1837"/>
      <c r="B1154" s="2138"/>
      <c r="C1154" s="2139" t="s">
        <v>2031</v>
      </c>
      <c r="D1154" s="2140"/>
      <c r="E1154" s="1837"/>
      <c r="F1154" s="2146"/>
      <c r="G1154" s="2139" t="s">
        <v>2031</v>
      </c>
      <c r="H1154" s="1837"/>
      <c r="I1154" s="1837"/>
      <c r="J1154" s="1837"/>
      <c r="K1154" s="1837"/>
      <c r="M1154" s="1885"/>
      <c r="N1154" s="1861"/>
    </row>
    <row r="1155" spans="1:14">
      <c r="A1155" s="1952"/>
      <c r="B1155" s="1871"/>
      <c r="C1155" s="2147" t="s">
        <v>1984</v>
      </c>
      <c r="D1155" s="2140"/>
      <c r="E1155" s="1837"/>
      <c r="F1155" s="2135"/>
      <c r="G1155" s="2147" t="s">
        <v>1985</v>
      </c>
      <c r="H1155" s="1952"/>
      <c r="I1155" s="1952"/>
      <c r="J1155" s="1952"/>
      <c r="K1155" s="1952"/>
      <c r="M1155" s="1885"/>
      <c r="N1155" s="1861"/>
    </row>
    <row r="1156" spans="1:14">
      <c r="A1156" s="1952"/>
      <c r="B1156" s="1952"/>
      <c r="C1156" s="2139" t="s">
        <v>670</v>
      </c>
      <c r="D1156" s="2139"/>
      <c r="E1156" s="2143"/>
      <c r="F1156" s="2143"/>
      <c r="G1156" s="1952"/>
      <c r="H1156" s="1952"/>
      <c r="I1156" s="1952"/>
      <c r="J1156" s="1952"/>
      <c r="K1156" s="1952"/>
      <c r="M1156" s="1885"/>
      <c r="N1156" s="1861"/>
    </row>
    <row r="1157" spans="1:14">
      <c r="C1157" s="2147" t="s">
        <v>1972</v>
      </c>
      <c r="D1157" s="2147"/>
      <c r="E1157" s="2146"/>
      <c r="F1157" s="2146"/>
      <c r="M1157" s="1885"/>
      <c r="N1157" s="1861"/>
    </row>
    <row r="1158" spans="1:14">
      <c r="A1158" s="1903"/>
      <c r="B1158" s="1904">
        <v>11</v>
      </c>
      <c r="C1158" s="1905" t="s">
        <v>1747</v>
      </c>
      <c r="D1158" s="1898">
        <v>185.4</v>
      </c>
      <c r="E1158" s="1899" t="s">
        <v>86</v>
      </c>
      <c r="F1158" s="1900">
        <v>75</v>
      </c>
      <c r="G1158" s="1900">
        <v>87</v>
      </c>
      <c r="H1158" s="1906">
        <f t="shared" si="163"/>
        <v>13905</v>
      </c>
      <c r="I1158" s="1906">
        <f t="shared" si="164"/>
        <v>16129.800000000001</v>
      </c>
      <c r="J1158" s="1906">
        <f t="shared" si="165"/>
        <v>30034.800000000003</v>
      </c>
      <c r="K1158" s="1907"/>
      <c r="M1158" s="1885" t="s">
        <v>1879</v>
      </c>
      <c r="N1158" s="1861"/>
    </row>
    <row r="1159" spans="1:14">
      <c r="A1159" s="1903"/>
      <c r="B1159" s="1904" t="s">
        <v>620</v>
      </c>
      <c r="C1159" s="1905" t="s">
        <v>1008</v>
      </c>
      <c r="D1159" s="1909">
        <v>926.9</v>
      </c>
      <c r="E1159" s="1910" t="s">
        <v>84</v>
      </c>
      <c r="F1159" s="1906">
        <v>79</v>
      </c>
      <c r="G1159" s="1906">
        <v>46</v>
      </c>
      <c r="H1159" s="1906">
        <f t="shared" si="163"/>
        <v>73225.099999999991</v>
      </c>
      <c r="I1159" s="1906">
        <f t="shared" si="164"/>
        <v>42637.4</v>
      </c>
      <c r="J1159" s="1906">
        <f t="shared" si="165"/>
        <v>115862.5</v>
      </c>
      <c r="K1159" s="1907"/>
      <c r="M1159" s="1885" t="s">
        <v>1879</v>
      </c>
      <c r="N1159" s="1861"/>
    </row>
    <row r="1160" spans="1:14">
      <c r="A1160" s="1903"/>
      <c r="B1160" s="1904" t="s">
        <v>621</v>
      </c>
      <c r="C1160" s="1905" t="s">
        <v>1009</v>
      </c>
      <c r="D1160" s="1909">
        <v>268.3</v>
      </c>
      <c r="E1160" s="1910" t="s">
        <v>84</v>
      </c>
      <c r="F1160" s="1906">
        <v>120</v>
      </c>
      <c r="G1160" s="1906">
        <v>64</v>
      </c>
      <c r="H1160" s="1906">
        <f t="shared" si="163"/>
        <v>32196</v>
      </c>
      <c r="I1160" s="1906">
        <f t="shared" si="164"/>
        <v>17171.2</v>
      </c>
      <c r="J1160" s="1906">
        <f t="shared" si="165"/>
        <v>49367.199999999997</v>
      </c>
      <c r="K1160" s="1907"/>
      <c r="M1160" s="1885" t="s">
        <v>1879</v>
      </c>
      <c r="N1160" s="1861"/>
    </row>
    <row r="1161" spans="1:14">
      <c r="A1161" s="1903"/>
      <c r="B1161" s="1904" t="s">
        <v>1007</v>
      </c>
      <c r="C1161" s="1905" t="s">
        <v>1010</v>
      </c>
      <c r="D1161" s="1909">
        <v>25</v>
      </c>
      <c r="E1161" s="1910" t="s">
        <v>84</v>
      </c>
      <c r="F1161" s="1906">
        <v>120</v>
      </c>
      <c r="G1161" s="1906">
        <v>81</v>
      </c>
      <c r="H1161" s="1906">
        <f t="shared" si="163"/>
        <v>3000</v>
      </c>
      <c r="I1161" s="1906">
        <f t="shared" si="164"/>
        <v>2025</v>
      </c>
      <c r="J1161" s="1906">
        <f t="shared" si="165"/>
        <v>5025</v>
      </c>
      <c r="K1161" s="1907"/>
      <c r="M1161" s="1885" t="s">
        <v>1879</v>
      </c>
      <c r="N1161" s="1861"/>
    </row>
    <row r="1162" spans="1:14">
      <c r="A1162" s="1903"/>
      <c r="B1162" s="1904"/>
      <c r="C1162" s="1905" t="s">
        <v>1078</v>
      </c>
      <c r="D1162" s="1898">
        <v>261</v>
      </c>
      <c r="E1162" s="1910" t="s">
        <v>113</v>
      </c>
      <c r="F1162" s="1900">
        <v>0</v>
      </c>
      <c r="G1162" s="1900">
        <v>15</v>
      </c>
      <c r="H1162" s="1906">
        <f t="shared" si="163"/>
        <v>0</v>
      </c>
      <c r="I1162" s="1906">
        <f t="shared" si="164"/>
        <v>3915</v>
      </c>
      <c r="J1162" s="1906">
        <f t="shared" si="165"/>
        <v>3915</v>
      </c>
      <c r="K1162" s="1907"/>
      <c r="M1162" s="1885" t="s">
        <v>1015</v>
      </c>
      <c r="N1162" s="1861"/>
    </row>
    <row r="1163" spans="1:14">
      <c r="A1163" s="1903"/>
      <c r="B1163" s="2052" t="s">
        <v>205</v>
      </c>
      <c r="C1163" s="1905"/>
      <c r="D1163" s="1909"/>
      <c r="E1163" s="1910"/>
      <c r="F1163" s="1906"/>
      <c r="G1163" s="1906"/>
      <c r="H1163" s="1906"/>
      <c r="I1163" s="1906"/>
      <c r="J1163" s="1906"/>
      <c r="K1163" s="1907"/>
    </row>
    <row r="1164" spans="1:14">
      <c r="A1164" s="2054"/>
      <c r="B1164" s="2055" t="s">
        <v>941</v>
      </c>
      <c r="C1164" s="2056" t="s">
        <v>1066</v>
      </c>
      <c r="D1164" s="2057">
        <f>D1149</f>
        <v>906.9</v>
      </c>
      <c r="E1164" s="2054" t="s">
        <v>86</v>
      </c>
      <c r="F1164" s="2023">
        <v>35</v>
      </c>
      <c r="G1164" s="2023">
        <v>30</v>
      </c>
      <c r="H1164" s="2023">
        <f t="shared" ref="H1164:H1170" si="166">F1164*D1164</f>
        <v>31741.5</v>
      </c>
      <c r="I1164" s="2023">
        <f t="shared" ref="I1164:I1170" si="167">G1164*D1164</f>
        <v>27207</v>
      </c>
      <c r="J1164" s="2058">
        <f t="shared" ref="J1164:J1170" si="168">H1164+I1164</f>
        <v>58948.5</v>
      </c>
      <c r="K1164" s="2058"/>
      <c r="L1164" s="2155"/>
      <c r="M1164" s="1885" t="s">
        <v>1875</v>
      </c>
      <c r="N1164" s="1861"/>
    </row>
    <row r="1165" spans="1:14" s="1862" customFormat="1" ht="48">
      <c r="A1165" s="1911"/>
      <c r="B1165" s="1912" t="s">
        <v>942</v>
      </c>
      <c r="C1165" s="1913" t="s">
        <v>1067</v>
      </c>
      <c r="D1165" s="1920">
        <f>D1158</f>
        <v>185.4</v>
      </c>
      <c r="E1165" s="1921" t="s">
        <v>86</v>
      </c>
      <c r="F1165" s="1922">
        <v>44</v>
      </c>
      <c r="G1165" s="1922">
        <v>34</v>
      </c>
      <c r="H1165" s="1916">
        <f t="shared" si="166"/>
        <v>8157.6</v>
      </c>
      <c r="I1165" s="1916">
        <f t="shared" si="167"/>
        <v>6303.6</v>
      </c>
      <c r="J1165" s="1916">
        <f t="shared" si="168"/>
        <v>14461.2</v>
      </c>
      <c r="K1165" s="1917"/>
      <c r="L1165" s="2048"/>
      <c r="M1165" s="1918" t="s">
        <v>1875</v>
      </c>
      <c r="N1165" s="1852"/>
    </row>
    <row r="1166" spans="1:14" s="1862" customFormat="1" ht="48">
      <c r="A1166" s="1911"/>
      <c r="B1166" s="1912" t="s">
        <v>943</v>
      </c>
      <c r="C1166" s="1913" t="s">
        <v>1068</v>
      </c>
      <c r="D1166" s="1920">
        <f>D1174</f>
        <v>71</v>
      </c>
      <c r="E1166" s="1921" t="s">
        <v>86</v>
      </c>
      <c r="F1166" s="1922">
        <v>33</v>
      </c>
      <c r="G1166" s="1922">
        <v>30</v>
      </c>
      <c r="H1166" s="1916">
        <f t="shared" si="166"/>
        <v>2343</v>
      </c>
      <c r="I1166" s="1916">
        <f t="shared" si="167"/>
        <v>2130</v>
      </c>
      <c r="J1166" s="1916">
        <f t="shared" si="168"/>
        <v>4473</v>
      </c>
      <c r="K1166" s="1917"/>
      <c r="L1166" s="2048"/>
      <c r="M1166" s="1918" t="s">
        <v>1875</v>
      </c>
      <c r="N1166" s="1852"/>
    </row>
    <row r="1167" spans="1:14" s="1873" customFormat="1" ht="48">
      <c r="A1167" s="1944"/>
      <c r="B1167" s="1939" t="s">
        <v>944</v>
      </c>
      <c r="C1167" s="1946" t="s">
        <v>1069</v>
      </c>
      <c r="D1167" s="1947">
        <f>D1175</f>
        <v>112</v>
      </c>
      <c r="E1167" s="1944" t="s">
        <v>86</v>
      </c>
      <c r="F1167" s="1948">
        <v>33</v>
      </c>
      <c r="G1167" s="1942">
        <v>30</v>
      </c>
      <c r="H1167" s="1948">
        <f t="shared" si="166"/>
        <v>3696</v>
      </c>
      <c r="I1167" s="1948">
        <f t="shared" si="167"/>
        <v>3360</v>
      </c>
      <c r="J1167" s="1949">
        <f t="shared" si="168"/>
        <v>7056</v>
      </c>
      <c r="K1167" s="1949"/>
      <c r="L1167" s="2156"/>
      <c r="M1167" s="1918" t="s">
        <v>1875</v>
      </c>
    </row>
    <row r="1168" spans="1:14" s="1873" customFormat="1" ht="48">
      <c r="A1168" s="1938"/>
      <c r="B1168" s="1939" t="s">
        <v>945</v>
      </c>
      <c r="C1168" s="1940" t="s">
        <v>1070</v>
      </c>
      <c r="D1168" s="1941">
        <f>D1173</f>
        <v>515.20000000000005</v>
      </c>
      <c r="E1168" s="1938" t="s">
        <v>86</v>
      </c>
      <c r="F1168" s="1948">
        <v>33</v>
      </c>
      <c r="G1168" s="1948">
        <v>30</v>
      </c>
      <c r="H1168" s="1942">
        <f t="shared" si="166"/>
        <v>17001.600000000002</v>
      </c>
      <c r="I1168" s="1942">
        <f t="shared" si="167"/>
        <v>15456.000000000002</v>
      </c>
      <c r="J1168" s="1943">
        <f t="shared" si="168"/>
        <v>32457.600000000006</v>
      </c>
      <c r="K1168" s="1943"/>
      <c r="L1168" s="2156"/>
      <c r="M1168" s="1918" t="s">
        <v>1875</v>
      </c>
    </row>
    <row r="1169" spans="1:13" s="1872" customFormat="1">
      <c r="A1169" s="1926"/>
      <c r="B1169" s="1927" t="s">
        <v>946</v>
      </c>
      <c r="C1169" s="1928" t="s">
        <v>1071</v>
      </c>
      <c r="D1169" s="1929">
        <v>97.8</v>
      </c>
      <c r="E1169" s="1926" t="s">
        <v>86</v>
      </c>
      <c r="F1169" s="1950">
        <v>58</v>
      </c>
      <c r="G1169" s="1950">
        <v>35</v>
      </c>
      <c r="H1169" s="1930">
        <f t="shared" si="166"/>
        <v>5672.4</v>
      </c>
      <c r="I1169" s="1930">
        <f t="shared" si="167"/>
        <v>3423</v>
      </c>
      <c r="J1169" s="1931">
        <f t="shared" si="168"/>
        <v>9095.4</v>
      </c>
      <c r="K1169" s="1931"/>
      <c r="L1169" s="2155"/>
      <c r="M1169" s="1885" t="s">
        <v>1879</v>
      </c>
    </row>
    <row r="1170" spans="1:13" s="1872" customFormat="1">
      <c r="A1170" s="1926"/>
      <c r="B1170" s="1927" t="s">
        <v>1102</v>
      </c>
      <c r="C1170" s="1928" t="s">
        <v>1103</v>
      </c>
      <c r="D1170" s="1929">
        <v>15.1</v>
      </c>
      <c r="E1170" s="1926" t="s">
        <v>86</v>
      </c>
      <c r="F1170" s="1950">
        <v>471</v>
      </c>
      <c r="G1170" s="1950">
        <v>30</v>
      </c>
      <c r="H1170" s="1930">
        <f t="shared" si="166"/>
        <v>7112.0999999999995</v>
      </c>
      <c r="I1170" s="1930">
        <f t="shared" si="167"/>
        <v>453</v>
      </c>
      <c r="J1170" s="1931">
        <f t="shared" si="168"/>
        <v>7565.0999999999995</v>
      </c>
      <c r="K1170" s="1931"/>
      <c r="L1170" s="2155"/>
      <c r="M1170" s="1885" t="s">
        <v>1879</v>
      </c>
    </row>
    <row r="1171" spans="1:13" s="1872" customFormat="1">
      <c r="A1171" s="1903"/>
      <c r="B1171" s="2052" t="s">
        <v>204</v>
      </c>
      <c r="C1171" s="1905"/>
      <c r="D1171" s="1909"/>
      <c r="E1171" s="1910"/>
      <c r="F1171" s="1906"/>
      <c r="G1171" s="1906"/>
      <c r="H1171" s="1906"/>
      <c r="I1171" s="1906"/>
      <c r="J1171" s="1906"/>
      <c r="K1171" s="1907"/>
      <c r="L1171" s="1871"/>
      <c r="M1171" s="1951"/>
    </row>
    <row r="1172" spans="1:13" s="1872" customFormat="1">
      <c r="A1172" s="1903"/>
      <c r="B1172" s="1904" t="s">
        <v>197</v>
      </c>
      <c r="C1172" s="1905" t="s">
        <v>937</v>
      </c>
      <c r="D1172" s="1909">
        <v>374.8</v>
      </c>
      <c r="E1172" s="1910" t="s">
        <v>86</v>
      </c>
      <c r="F1172" s="1906">
        <v>177</v>
      </c>
      <c r="G1172" s="1906">
        <v>134</v>
      </c>
      <c r="H1172" s="1906">
        <f>+F1172*D1172</f>
        <v>66339.600000000006</v>
      </c>
      <c r="I1172" s="1906">
        <f>+G1172*D1172</f>
        <v>50223.200000000004</v>
      </c>
      <c r="J1172" s="1906">
        <f>+H1172+I1172</f>
        <v>116562.80000000002</v>
      </c>
      <c r="K1172" s="1907"/>
      <c r="L1172" s="1871"/>
      <c r="M1172" s="1885" t="s">
        <v>1879</v>
      </c>
    </row>
    <row r="1173" spans="1:13" s="1853" customFormat="1">
      <c r="A1173" s="1903"/>
      <c r="B1173" s="1904" t="s">
        <v>373</v>
      </c>
      <c r="C1173" s="1905" t="s">
        <v>938</v>
      </c>
      <c r="D1173" s="1909">
        <v>515.20000000000005</v>
      </c>
      <c r="E1173" s="1910" t="s">
        <v>86</v>
      </c>
      <c r="F1173" s="1906">
        <v>100</v>
      </c>
      <c r="G1173" s="1906">
        <v>82</v>
      </c>
      <c r="H1173" s="1906">
        <f>+F1173*D1173</f>
        <v>51520.000000000007</v>
      </c>
      <c r="I1173" s="1906">
        <f>+G1173*D1173</f>
        <v>42246.400000000001</v>
      </c>
      <c r="J1173" s="1906">
        <f>+H1173+I1173</f>
        <v>93766.400000000009</v>
      </c>
      <c r="K1173" s="1907"/>
      <c r="L1173" s="1871"/>
      <c r="M1173" s="1885" t="s">
        <v>1879</v>
      </c>
    </row>
    <row r="1174" spans="1:13" s="1853" customFormat="1">
      <c r="A1174" s="1903"/>
      <c r="B1174" s="1904" t="s">
        <v>374</v>
      </c>
      <c r="C1174" s="1905" t="s">
        <v>1238</v>
      </c>
      <c r="D1174" s="1909">
        <v>71</v>
      </c>
      <c r="E1174" s="1910" t="s">
        <v>86</v>
      </c>
      <c r="F1174" s="1906">
        <v>298</v>
      </c>
      <c r="G1174" s="1906">
        <v>75</v>
      </c>
      <c r="H1174" s="1906">
        <f>+F1174*D1174</f>
        <v>21158</v>
      </c>
      <c r="I1174" s="1906">
        <f>+G1174*D1174</f>
        <v>5325</v>
      </c>
      <c r="J1174" s="1906">
        <f>+H1174+I1174</f>
        <v>26483</v>
      </c>
      <c r="K1174" s="1907"/>
      <c r="L1174" s="1871"/>
      <c r="M1174" s="1885" t="s">
        <v>1876</v>
      </c>
    </row>
    <row r="1175" spans="1:13" s="1853" customFormat="1">
      <c r="A1175" s="1903"/>
      <c r="B1175" s="1904" t="s">
        <v>375</v>
      </c>
      <c r="C1175" s="1905" t="s">
        <v>1235</v>
      </c>
      <c r="D1175" s="1909">
        <v>112</v>
      </c>
      <c r="E1175" s="1910" t="s">
        <v>86</v>
      </c>
      <c r="F1175" s="1906">
        <v>343</v>
      </c>
      <c r="G1175" s="1906">
        <v>75</v>
      </c>
      <c r="H1175" s="1906">
        <f>+F1175*D1175</f>
        <v>38416</v>
      </c>
      <c r="I1175" s="1906">
        <f>+G1175*D1175</f>
        <v>8400</v>
      </c>
      <c r="J1175" s="1906">
        <f>+H1175+I1175</f>
        <v>46816</v>
      </c>
      <c r="K1175" s="1907"/>
      <c r="L1175" s="1871"/>
      <c r="M1175" s="1885" t="s">
        <v>1876</v>
      </c>
    </row>
    <row r="1176" spans="1:13" s="1853" customFormat="1">
      <c r="A1176" s="1903"/>
      <c r="B1176" s="1904"/>
      <c r="C1176" s="1905" t="s">
        <v>1199</v>
      </c>
      <c r="D1176" s="1909">
        <v>3</v>
      </c>
      <c r="E1176" s="1910" t="s">
        <v>5</v>
      </c>
      <c r="F1176" s="1906">
        <v>500</v>
      </c>
      <c r="G1176" s="1906">
        <v>100</v>
      </c>
      <c r="H1176" s="1906">
        <f>+F1176*D1176</f>
        <v>1500</v>
      </c>
      <c r="I1176" s="1906">
        <f>+G1176*D1176</f>
        <v>300</v>
      </c>
      <c r="J1176" s="1906">
        <f>+H1176+I1176</f>
        <v>1800</v>
      </c>
      <c r="K1176" s="1907"/>
      <c r="L1176" s="1871"/>
      <c r="M1176" s="1885" t="s">
        <v>1879</v>
      </c>
    </row>
    <row r="1177" spans="1:13" s="1853" customFormat="1">
      <c r="A1177" s="1863"/>
      <c r="B1177" s="1864"/>
      <c r="C1177" s="1865"/>
      <c r="D1177" s="1866"/>
      <c r="E1177" s="1867"/>
      <c r="F1177" s="1868"/>
      <c r="G1177" s="1868"/>
      <c r="H1177" s="1868"/>
      <c r="I1177" s="1868"/>
      <c r="J1177" s="1868"/>
      <c r="K1177" s="1869"/>
      <c r="L1177" s="1871"/>
      <c r="M1177" s="1885"/>
    </row>
    <row r="1178" spans="1:13" s="1853" customFormat="1">
      <c r="A1178" s="1840"/>
      <c r="B1178" s="1860"/>
      <c r="C1178" s="2133" t="s">
        <v>133</v>
      </c>
      <c r="D1178" s="2134"/>
      <c r="E1178" s="2135"/>
      <c r="F1178" s="2136"/>
      <c r="G1178" s="2137"/>
      <c r="H1178" s="2137"/>
      <c r="I1178" s="2137"/>
      <c r="J1178" s="2137"/>
      <c r="K1178" s="2137"/>
      <c r="L1178" s="1871"/>
      <c r="M1178" s="1885"/>
    </row>
    <row r="1179" spans="1:13" s="1853" customFormat="1">
      <c r="A1179" s="1840"/>
      <c r="B1179" s="2138"/>
      <c r="C1179" s="2139" t="s">
        <v>1769</v>
      </c>
      <c r="D1179" s="2140"/>
      <c r="E1179" s="1861"/>
      <c r="F1179" s="2135"/>
      <c r="G1179" s="2139" t="s">
        <v>134</v>
      </c>
      <c r="H1179" s="2138"/>
      <c r="I1179" s="2138"/>
      <c r="J1179" s="2138"/>
      <c r="K1179" s="2138"/>
      <c r="L1179" s="1871"/>
      <c r="M1179" s="1885"/>
    </row>
    <row r="1180" spans="1:13" s="1853" customFormat="1">
      <c r="A1180" s="1840"/>
      <c r="B1180" s="1871"/>
      <c r="C1180" s="2141" t="s">
        <v>1970</v>
      </c>
      <c r="D1180" s="2140"/>
      <c r="E1180" s="2142"/>
      <c r="F1180" s="2143"/>
      <c r="G1180" s="2144" t="s">
        <v>1971</v>
      </c>
      <c r="H1180" s="2145"/>
      <c r="I1180" s="2145"/>
      <c r="J1180" s="2145"/>
      <c r="K1180" s="2145"/>
      <c r="L1180" s="1871"/>
      <c r="M1180" s="1885"/>
    </row>
    <row r="1181" spans="1:13" s="1853" customFormat="1">
      <c r="A1181" s="1837"/>
      <c r="B1181" s="2138"/>
      <c r="C1181" s="2139" t="s">
        <v>2031</v>
      </c>
      <c r="D1181" s="2140"/>
      <c r="E1181" s="1837"/>
      <c r="F1181" s="2146"/>
      <c r="G1181" s="2139" t="s">
        <v>2031</v>
      </c>
      <c r="H1181" s="1837"/>
      <c r="I1181" s="1837"/>
      <c r="J1181" s="1837"/>
      <c r="K1181" s="1837"/>
      <c r="L1181" s="1871"/>
      <c r="M1181" s="1885"/>
    </row>
    <row r="1182" spans="1:13" s="1853" customFormat="1">
      <c r="A1182" s="1952"/>
      <c r="B1182" s="1871"/>
      <c r="C1182" s="2147" t="s">
        <v>1984</v>
      </c>
      <c r="D1182" s="2140"/>
      <c r="E1182" s="1837"/>
      <c r="F1182" s="2135"/>
      <c r="G1182" s="2147" t="s">
        <v>1985</v>
      </c>
      <c r="H1182" s="1952"/>
      <c r="I1182" s="1952"/>
      <c r="J1182" s="1952"/>
      <c r="K1182" s="1952"/>
      <c r="L1182" s="1871"/>
      <c r="M1182" s="1885"/>
    </row>
    <row r="1183" spans="1:13" s="1853" customFormat="1">
      <c r="A1183" s="1952"/>
      <c r="B1183" s="1952"/>
      <c r="C1183" s="2139" t="s">
        <v>670</v>
      </c>
      <c r="D1183" s="2139"/>
      <c r="E1183" s="2143"/>
      <c r="F1183" s="2143"/>
      <c r="G1183" s="1952"/>
      <c r="H1183" s="1952"/>
      <c r="I1183" s="1952"/>
      <c r="J1183" s="1952"/>
      <c r="K1183" s="1952"/>
      <c r="L1183" s="1871"/>
      <c r="M1183" s="1885"/>
    </row>
    <row r="1184" spans="1:13" s="1853" customFormat="1">
      <c r="A1184" s="1840"/>
      <c r="B1184" s="1840"/>
      <c r="C1184" s="2147" t="s">
        <v>1972</v>
      </c>
      <c r="D1184" s="2147"/>
      <c r="E1184" s="2146"/>
      <c r="F1184" s="2146"/>
      <c r="G1184" s="1870"/>
      <c r="H1184" s="1870"/>
      <c r="I1184" s="1870"/>
      <c r="J1184" s="1870"/>
      <c r="K1184" s="1871"/>
      <c r="L1184" s="1871"/>
      <c r="M1184" s="1885"/>
    </row>
    <row r="1185" spans="1:13" s="1853" customFormat="1">
      <c r="A1185" s="1903"/>
      <c r="B1185" s="2393" t="s">
        <v>202</v>
      </c>
      <c r="C1185" s="2393"/>
      <c r="D1185" s="1909"/>
      <c r="E1185" s="1910"/>
      <c r="F1185" s="1906"/>
      <c r="G1185" s="1906"/>
      <c r="H1185" s="1906"/>
      <c r="I1185" s="1906"/>
      <c r="J1185" s="1906"/>
      <c r="K1185" s="1907"/>
      <c r="L1185" s="1871"/>
      <c r="M1185" s="1902"/>
    </row>
    <row r="1186" spans="1:13" s="1853" customFormat="1">
      <c r="A1186" s="1903"/>
      <c r="B1186" s="1904" t="s">
        <v>612</v>
      </c>
      <c r="C1186" s="1905" t="s">
        <v>893</v>
      </c>
      <c r="D1186" s="1909">
        <v>2</v>
      </c>
      <c r="E1186" s="1910" t="s">
        <v>5</v>
      </c>
      <c r="F1186" s="1900">
        <v>12306</v>
      </c>
      <c r="G1186" s="1900">
        <v>450</v>
      </c>
      <c r="H1186" s="1906">
        <f>+F1186*D1186</f>
        <v>24612</v>
      </c>
      <c r="I1186" s="1906">
        <f>+G1186*D1186</f>
        <v>900</v>
      </c>
      <c r="J1186" s="1906">
        <f>+H1186+I1186</f>
        <v>25512</v>
      </c>
      <c r="K1186" s="1907"/>
      <c r="L1186" s="1871"/>
      <c r="M1186" s="1952" t="s">
        <v>1926</v>
      </c>
    </row>
    <row r="1187" spans="1:13">
      <c r="A1187" s="1903"/>
      <c r="B1187" s="1904" t="s">
        <v>604</v>
      </c>
      <c r="C1187" s="1905" t="s">
        <v>990</v>
      </c>
      <c r="D1187" s="1909">
        <v>3</v>
      </c>
      <c r="E1187" s="1910" t="s">
        <v>5</v>
      </c>
      <c r="F1187" s="1900">
        <v>22000</v>
      </c>
      <c r="G1187" s="1900">
        <f>F1187*0.3</f>
        <v>6600</v>
      </c>
      <c r="H1187" s="1906">
        <f>+F1187*D1187</f>
        <v>66000</v>
      </c>
      <c r="I1187" s="1906">
        <f>+G1187*D1187</f>
        <v>19800</v>
      </c>
      <c r="J1187" s="1906">
        <f>+H1187+I1187</f>
        <v>85800</v>
      </c>
      <c r="K1187" s="1907"/>
      <c r="L1187" s="1907" t="s">
        <v>1968</v>
      </c>
      <c r="M1187" s="1952" t="s">
        <v>622</v>
      </c>
    </row>
    <row r="1188" spans="1:13">
      <c r="A1188" s="2000"/>
      <c r="B1188" s="2004" t="s">
        <v>890</v>
      </c>
      <c r="C1188" s="2005" t="s">
        <v>896</v>
      </c>
      <c r="D1188" s="1956">
        <v>1</v>
      </c>
      <c r="E1188" s="2006" t="s">
        <v>5</v>
      </c>
      <c r="F1188" s="1900">
        <v>21100</v>
      </c>
      <c r="G1188" s="1900">
        <v>1450</v>
      </c>
      <c r="H1188" s="2007">
        <f t="shared" ref="H1188:H1193" si="169">+F1188*D1188</f>
        <v>21100</v>
      </c>
      <c r="I1188" s="2007">
        <f t="shared" ref="I1188:I1193" si="170">+G1188*D1188</f>
        <v>1450</v>
      </c>
      <c r="J1188" s="2007">
        <f t="shared" ref="J1188:J1193" si="171">+H1188+I1188</f>
        <v>22550</v>
      </c>
      <c r="K1188" s="1907"/>
      <c r="L1188" s="1901" t="s">
        <v>1941</v>
      </c>
      <c r="M1188" s="1952" t="s">
        <v>1942</v>
      </c>
    </row>
    <row r="1189" spans="1:13" s="1874" customFormat="1">
      <c r="A1189" s="1903"/>
      <c r="B1189" s="1904" t="s">
        <v>609</v>
      </c>
      <c r="C1189" s="1905" t="s">
        <v>895</v>
      </c>
      <c r="D1189" s="1909">
        <v>2</v>
      </c>
      <c r="E1189" s="1910" t="s">
        <v>5</v>
      </c>
      <c r="F1189" s="1906">
        <v>8713</v>
      </c>
      <c r="G1189" s="1906">
        <v>450</v>
      </c>
      <c r="H1189" s="1906">
        <f t="shared" si="169"/>
        <v>17426</v>
      </c>
      <c r="I1189" s="1906">
        <f t="shared" si="170"/>
        <v>900</v>
      </c>
      <c r="J1189" s="1906">
        <f t="shared" si="171"/>
        <v>18326</v>
      </c>
      <c r="K1189" s="1907"/>
      <c r="L1189" s="1907"/>
      <c r="M1189" s="1952" t="s">
        <v>1926</v>
      </c>
    </row>
    <row r="1190" spans="1:13" s="1874" customFormat="1">
      <c r="A1190" s="1903"/>
      <c r="B1190" s="1904" t="s">
        <v>902</v>
      </c>
      <c r="C1190" s="1905" t="s">
        <v>906</v>
      </c>
      <c r="D1190" s="1909">
        <v>9</v>
      </c>
      <c r="E1190" s="1910" t="s">
        <v>5</v>
      </c>
      <c r="F1190" s="1906">
        <v>19000</v>
      </c>
      <c r="G1190" s="1906">
        <v>1500</v>
      </c>
      <c r="H1190" s="1906">
        <f t="shared" si="169"/>
        <v>171000</v>
      </c>
      <c r="I1190" s="1906">
        <f t="shared" si="170"/>
        <v>13500</v>
      </c>
      <c r="J1190" s="1906">
        <f t="shared" si="171"/>
        <v>184500</v>
      </c>
      <c r="K1190" s="1907"/>
      <c r="L1190" s="1907" t="s">
        <v>1919</v>
      </c>
      <c r="M1190" s="1952" t="s">
        <v>622</v>
      </c>
    </row>
    <row r="1191" spans="1:13" s="1853" customFormat="1">
      <c r="A1191" s="1903"/>
      <c r="B1191" s="1904" t="s">
        <v>607</v>
      </c>
      <c r="C1191" s="1905" t="s">
        <v>920</v>
      </c>
      <c r="D1191" s="1909">
        <v>2</v>
      </c>
      <c r="E1191" s="1910" t="s">
        <v>5</v>
      </c>
      <c r="F1191" s="1906">
        <v>74500</v>
      </c>
      <c r="G1191" s="1906">
        <v>14100</v>
      </c>
      <c r="H1191" s="1906">
        <f t="shared" si="169"/>
        <v>149000</v>
      </c>
      <c r="I1191" s="1906">
        <f t="shared" si="170"/>
        <v>28200</v>
      </c>
      <c r="J1191" s="1906">
        <f t="shared" si="171"/>
        <v>177200</v>
      </c>
      <c r="K1191" s="1907"/>
      <c r="L1191" s="1907" t="s">
        <v>1919</v>
      </c>
      <c r="M1191" s="1902"/>
    </row>
    <row r="1192" spans="1:13" s="1853" customFormat="1">
      <c r="A1192" s="1897"/>
      <c r="B1192" s="2008" t="s">
        <v>613</v>
      </c>
      <c r="C1192" s="1905" t="s">
        <v>1944</v>
      </c>
      <c r="D1192" s="1898">
        <v>1</v>
      </c>
      <c r="E1192" s="1899" t="s">
        <v>5</v>
      </c>
      <c r="F1192" s="1900">
        <v>180000</v>
      </c>
      <c r="G1192" s="1900">
        <v>25000</v>
      </c>
      <c r="H1192" s="1900">
        <f t="shared" si="169"/>
        <v>180000</v>
      </c>
      <c r="I1192" s="1900">
        <f t="shared" si="170"/>
        <v>25000</v>
      </c>
      <c r="J1192" s="1900">
        <f t="shared" si="171"/>
        <v>205000</v>
      </c>
      <c r="K1192" s="1907"/>
      <c r="L1192" s="1907" t="s">
        <v>1943</v>
      </c>
      <c r="M1192" s="1952" t="s">
        <v>622</v>
      </c>
    </row>
    <row r="1193" spans="1:13" s="1874" customFormat="1">
      <c r="A1193" s="1903"/>
      <c r="B1193" s="1904" t="s">
        <v>1046</v>
      </c>
      <c r="C1193" s="1905" t="s">
        <v>1047</v>
      </c>
      <c r="D1193" s="1898">
        <v>1</v>
      </c>
      <c r="E1193" s="1899" t="s">
        <v>5</v>
      </c>
      <c r="F1193" s="1900">
        <v>5975</v>
      </c>
      <c r="G1193" s="1900">
        <v>450</v>
      </c>
      <c r="H1193" s="1906">
        <f t="shared" si="169"/>
        <v>5975</v>
      </c>
      <c r="I1193" s="1906">
        <f t="shared" si="170"/>
        <v>450</v>
      </c>
      <c r="J1193" s="1906">
        <f t="shared" si="171"/>
        <v>6425</v>
      </c>
      <c r="K1193" s="1907"/>
      <c r="L1193" s="1907"/>
      <c r="M1193" s="1952" t="s">
        <v>1926</v>
      </c>
    </row>
    <row r="1194" spans="1:13" s="1853" customFormat="1">
      <c r="A1194" s="1903"/>
      <c r="B1194" s="2386" t="s">
        <v>111</v>
      </c>
      <c r="C1194" s="2386"/>
      <c r="D1194" s="1898"/>
      <c r="E1194" s="1899"/>
      <c r="F1194" s="1900"/>
      <c r="G1194" s="1900"/>
      <c r="H1194" s="1906"/>
      <c r="I1194" s="1906"/>
      <c r="J1194" s="1906"/>
      <c r="K1194" s="1907"/>
      <c r="L1194" s="1907"/>
      <c r="M1194" s="1902"/>
    </row>
    <row r="1195" spans="1:13" s="1853" customFormat="1">
      <c r="A1195" s="1903"/>
      <c r="B1195" s="1904" t="s">
        <v>908</v>
      </c>
      <c r="C1195" s="1905" t="s">
        <v>899</v>
      </c>
      <c r="D1195" s="1898">
        <v>1</v>
      </c>
      <c r="E1195" s="1899" t="s">
        <v>5</v>
      </c>
      <c r="F1195" s="1906">
        <v>28900</v>
      </c>
      <c r="G1195" s="1906">
        <f t="shared" ref="G1195:G1210" si="172">F1195*0.3</f>
        <v>8670</v>
      </c>
      <c r="H1195" s="1906">
        <f t="shared" ref="H1195:H1219" si="173">+F1195*D1195</f>
        <v>28900</v>
      </c>
      <c r="I1195" s="1906">
        <f t="shared" ref="I1195:I1219" si="174">+G1195*D1195</f>
        <v>8670</v>
      </c>
      <c r="J1195" s="1906">
        <f t="shared" ref="J1195:J1219" si="175">+H1195+I1195</f>
        <v>37570</v>
      </c>
      <c r="K1195" s="1907"/>
      <c r="L1195" s="1907" t="s">
        <v>1935</v>
      </c>
      <c r="M1195" s="1952" t="s">
        <v>622</v>
      </c>
    </row>
    <row r="1196" spans="1:13">
      <c r="A1196" s="1903"/>
      <c r="B1196" s="1904" t="s">
        <v>897</v>
      </c>
      <c r="C1196" s="1905" t="s">
        <v>901</v>
      </c>
      <c r="D1196" s="1909">
        <v>2</v>
      </c>
      <c r="E1196" s="1910" t="s">
        <v>5</v>
      </c>
      <c r="F1196" s="1906">
        <v>5715</v>
      </c>
      <c r="G1196" s="1906">
        <f t="shared" si="172"/>
        <v>1714.5</v>
      </c>
      <c r="H1196" s="1906">
        <f t="shared" si="173"/>
        <v>11430</v>
      </c>
      <c r="I1196" s="1906">
        <f t="shared" si="174"/>
        <v>3429</v>
      </c>
      <c r="J1196" s="1906">
        <f t="shared" si="175"/>
        <v>14859</v>
      </c>
      <c r="K1196" s="1907"/>
      <c r="L1196" s="1907"/>
      <c r="M1196" s="1952" t="s">
        <v>622</v>
      </c>
    </row>
    <row r="1197" spans="1:13">
      <c r="A1197" s="1903"/>
      <c r="B1197" s="1904" t="s">
        <v>370</v>
      </c>
      <c r="C1197" s="1905" t="s">
        <v>913</v>
      </c>
      <c r="D1197" s="1909">
        <v>1</v>
      </c>
      <c r="E1197" s="1910" t="s">
        <v>5</v>
      </c>
      <c r="F1197" s="1906">
        <v>11100</v>
      </c>
      <c r="G1197" s="1906">
        <f t="shared" si="172"/>
        <v>3330</v>
      </c>
      <c r="H1197" s="1906">
        <f t="shared" si="173"/>
        <v>11100</v>
      </c>
      <c r="I1197" s="1906">
        <f t="shared" si="174"/>
        <v>3330</v>
      </c>
      <c r="J1197" s="1906">
        <f t="shared" si="175"/>
        <v>14430</v>
      </c>
      <c r="K1197" s="1907"/>
      <c r="L1197" s="1907" t="s">
        <v>1935</v>
      </c>
      <c r="M1197" s="1952" t="s">
        <v>622</v>
      </c>
    </row>
    <row r="1198" spans="1:13" s="1874" customFormat="1">
      <c r="A1198" s="1903"/>
      <c r="B1198" s="1904" t="s">
        <v>371</v>
      </c>
      <c r="C1198" s="1905" t="s">
        <v>914</v>
      </c>
      <c r="D1198" s="1898">
        <v>4</v>
      </c>
      <c r="E1198" s="1899" t="s">
        <v>5</v>
      </c>
      <c r="F1198" s="1900">
        <v>46000</v>
      </c>
      <c r="G1198" s="1900">
        <f t="shared" si="172"/>
        <v>13800</v>
      </c>
      <c r="H1198" s="1906">
        <f t="shared" si="173"/>
        <v>184000</v>
      </c>
      <c r="I1198" s="1906">
        <f t="shared" si="174"/>
        <v>55200</v>
      </c>
      <c r="J1198" s="1906">
        <f t="shared" si="175"/>
        <v>239200</v>
      </c>
      <c r="K1198" s="1907"/>
      <c r="L1198" s="1907" t="s">
        <v>1935</v>
      </c>
      <c r="M1198" s="1952" t="s">
        <v>622</v>
      </c>
    </row>
    <row r="1199" spans="1:13" s="1874" customFormat="1">
      <c r="A1199" s="1903"/>
      <c r="B1199" s="1904" t="s">
        <v>8</v>
      </c>
      <c r="C1199" s="1905" t="s">
        <v>914</v>
      </c>
      <c r="D1199" s="1898">
        <v>4</v>
      </c>
      <c r="E1199" s="1899" t="s">
        <v>5</v>
      </c>
      <c r="F1199" s="1900">
        <v>52100</v>
      </c>
      <c r="G1199" s="1900">
        <f t="shared" si="172"/>
        <v>15630</v>
      </c>
      <c r="H1199" s="1906">
        <f t="shared" si="173"/>
        <v>208400</v>
      </c>
      <c r="I1199" s="1906">
        <f t="shared" si="174"/>
        <v>62520</v>
      </c>
      <c r="J1199" s="1906">
        <f t="shared" si="175"/>
        <v>270920</v>
      </c>
      <c r="K1199" s="1907"/>
      <c r="L1199" s="1907" t="s">
        <v>1935</v>
      </c>
      <c r="M1199" s="1952" t="s">
        <v>622</v>
      </c>
    </row>
    <row r="1200" spans="1:13">
      <c r="A1200" s="1903"/>
      <c r="B1200" s="1904" t="s">
        <v>909</v>
      </c>
      <c r="C1200" s="1905" t="s">
        <v>915</v>
      </c>
      <c r="D1200" s="1909">
        <v>1</v>
      </c>
      <c r="E1200" s="1910" t="s">
        <v>5</v>
      </c>
      <c r="F1200" s="1906">
        <v>18300</v>
      </c>
      <c r="G1200" s="1906">
        <f t="shared" si="172"/>
        <v>5490</v>
      </c>
      <c r="H1200" s="1906">
        <f t="shared" si="173"/>
        <v>18300</v>
      </c>
      <c r="I1200" s="1906">
        <f t="shared" si="174"/>
        <v>5490</v>
      </c>
      <c r="J1200" s="1906">
        <f t="shared" si="175"/>
        <v>23790</v>
      </c>
      <c r="K1200" s="1907"/>
      <c r="L1200" s="1907" t="s">
        <v>1935</v>
      </c>
      <c r="M1200" s="1952" t="s">
        <v>622</v>
      </c>
    </row>
    <row r="1201" spans="1:13">
      <c r="A1201" s="1903"/>
      <c r="B1201" s="1904" t="s">
        <v>911</v>
      </c>
      <c r="C1201" s="1905" t="s">
        <v>900</v>
      </c>
      <c r="D1201" s="1909">
        <v>4</v>
      </c>
      <c r="E1201" s="1910" t="s">
        <v>5</v>
      </c>
      <c r="F1201" s="1906">
        <v>10400</v>
      </c>
      <c r="G1201" s="1906">
        <f t="shared" si="172"/>
        <v>3120</v>
      </c>
      <c r="H1201" s="1906">
        <f t="shared" si="173"/>
        <v>41600</v>
      </c>
      <c r="I1201" s="1906">
        <f t="shared" si="174"/>
        <v>12480</v>
      </c>
      <c r="J1201" s="1906">
        <f t="shared" si="175"/>
        <v>54080</v>
      </c>
      <c r="K1201" s="1907"/>
      <c r="L1201" s="1907" t="s">
        <v>1935</v>
      </c>
      <c r="M1201" s="1952" t="s">
        <v>622</v>
      </c>
    </row>
    <row r="1202" spans="1:13">
      <c r="A1202" s="1903"/>
      <c r="B1202" s="1904" t="s">
        <v>912</v>
      </c>
      <c r="C1202" s="1905" t="s">
        <v>914</v>
      </c>
      <c r="D1202" s="1909">
        <v>1</v>
      </c>
      <c r="E1202" s="1910" t="s">
        <v>5</v>
      </c>
      <c r="F1202" s="1906">
        <v>73400</v>
      </c>
      <c r="G1202" s="1906">
        <f t="shared" si="172"/>
        <v>22020</v>
      </c>
      <c r="H1202" s="1906">
        <f t="shared" si="173"/>
        <v>73400</v>
      </c>
      <c r="I1202" s="1906">
        <f t="shared" si="174"/>
        <v>22020</v>
      </c>
      <c r="J1202" s="1906">
        <f t="shared" si="175"/>
        <v>95420</v>
      </c>
      <c r="K1202" s="1907"/>
      <c r="L1202" s="1907" t="s">
        <v>1935</v>
      </c>
      <c r="M1202" s="1952" t="s">
        <v>622</v>
      </c>
    </row>
    <row r="1203" spans="1:13">
      <c r="A1203" s="1903"/>
      <c r="B1203" s="1904" t="s">
        <v>916</v>
      </c>
      <c r="C1203" s="1905" t="s">
        <v>923</v>
      </c>
      <c r="D1203" s="1909">
        <v>8</v>
      </c>
      <c r="E1203" s="1910" t="s">
        <v>5</v>
      </c>
      <c r="F1203" s="1906">
        <v>11300</v>
      </c>
      <c r="G1203" s="1906">
        <f t="shared" si="172"/>
        <v>3390</v>
      </c>
      <c r="H1203" s="1906">
        <f t="shared" si="173"/>
        <v>90400</v>
      </c>
      <c r="I1203" s="1906">
        <f t="shared" si="174"/>
        <v>27120</v>
      </c>
      <c r="J1203" s="1906">
        <f t="shared" si="175"/>
        <v>117520</v>
      </c>
      <c r="K1203" s="1907"/>
      <c r="L1203" s="1907" t="s">
        <v>1935</v>
      </c>
      <c r="M1203" s="1952" t="s">
        <v>622</v>
      </c>
    </row>
    <row r="1204" spans="1:13">
      <c r="A1204" s="1903"/>
      <c r="B1204" s="1904" t="s">
        <v>917</v>
      </c>
      <c r="C1204" s="1905" t="s">
        <v>898</v>
      </c>
      <c r="D1204" s="1909">
        <v>1</v>
      </c>
      <c r="E1204" s="1910" t="s">
        <v>5</v>
      </c>
      <c r="F1204" s="1906">
        <v>158000</v>
      </c>
      <c r="G1204" s="1906">
        <f t="shared" si="172"/>
        <v>47400</v>
      </c>
      <c r="H1204" s="1906">
        <f t="shared" si="173"/>
        <v>158000</v>
      </c>
      <c r="I1204" s="1906">
        <f t="shared" si="174"/>
        <v>47400</v>
      </c>
      <c r="J1204" s="1906">
        <f t="shared" si="175"/>
        <v>205400</v>
      </c>
      <c r="K1204" s="1907"/>
      <c r="L1204" s="1907" t="s">
        <v>1935</v>
      </c>
      <c r="M1204" s="1952" t="s">
        <v>622</v>
      </c>
    </row>
    <row r="1205" spans="1:13">
      <c r="A1205" s="1903"/>
      <c r="B1205" s="1904" t="s">
        <v>922</v>
      </c>
      <c r="C1205" s="1905" t="s">
        <v>923</v>
      </c>
      <c r="D1205" s="1909">
        <v>2</v>
      </c>
      <c r="E1205" s="1910" t="s">
        <v>5</v>
      </c>
      <c r="F1205" s="1906">
        <v>32000</v>
      </c>
      <c r="G1205" s="1906">
        <f t="shared" si="172"/>
        <v>9600</v>
      </c>
      <c r="H1205" s="1906">
        <f t="shared" si="173"/>
        <v>64000</v>
      </c>
      <c r="I1205" s="1906">
        <f t="shared" si="174"/>
        <v>19200</v>
      </c>
      <c r="J1205" s="1906">
        <f t="shared" si="175"/>
        <v>83200</v>
      </c>
      <c r="K1205" s="1907"/>
      <c r="L1205" s="1907" t="s">
        <v>1935</v>
      </c>
      <c r="M1205" s="1952" t="s">
        <v>622</v>
      </c>
    </row>
    <row r="1206" spans="1:13">
      <c r="A1206" s="1903"/>
      <c r="B1206" s="1904" t="s">
        <v>617</v>
      </c>
      <c r="C1206" s="1905" t="s">
        <v>923</v>
      </c>
      <c r="D1206" s="1909">
        <v>2</v>
      </c>
      <c r="E1206" s="1910" t="s">
        <v>5</v>
      </c>
      <c r="F1206" s="1906">
        <v>21700</v>
      </c>
      <c r="G1206" s="1906">
        <f t="shared" si="172"/>
        <v>6510</v>
      </c>
      <c r="H1206" s="1906">
        <f t="shared" si="173"/>
        <v>43400</v>
      </c>
      <c r="I1206" s="1906">
        <f t="shared" si="174"/>
        <v>13020</v>
      </c>
      <c r="J1206" s="1906">
        <f t="shared" si="175"/>
        <v>56420</v>
      </c>
      <c r="K1206" s="1907"/>
      <c r="L1206" s="1907" t="s">
        <v>1935</v>
      </c>
      <c r="M1206" s="1952" t="s">
        <v>622</v>
      </c>
    </row>
    <row r="1207" spans="1:13">
      <c r="A1207" s="1903"/>
      <c r="B1207" s="1904" t="s">
        <v>614</v>
      </c>
      <c r="C1207" s="1905" t="s">
        <v>914</v>
      </c>
      <c r="D1207" s="1909">
        <v>1</v>
      </c>
      <c r="E1207" s="1910" t="s">
        <v>5</v>
      </c>
      <c r="F1207" s="1906">
        <v>29800</v>
      </c>
      <c r="G1207" s="1906">
        <f t="shared" si="172"/>
        <v>8940</v>
      </c>
      <c r="H1207" s="1906">
        <f t="shared" si="173"/>
        <v>29800</v>
      </c>
      <c r="I1207" s="1906">
        <f t="shared" si="174"/>
        <v>8940</v>
      </c>
      <c r="J1207" s="1906">
        <f t="shared" si="175"/>
        <v>38740</v>
      </c>
      <c r="K1207" s="1907"/>
      <c r="L1207" s="1907" t="s">
        <v>1935</v>
      </c>
      <c r="M1207" s="1952" t="s">
        <v>622</v>
      </c>
    </row>
    <row r="1208" spans="1:13">
      <c r="A1208" s="1903"/>
      <c r="B1208" s="1904" t="s">
        <v>615</v>
      </c>
      <c r="C1208" s="1905" t="s">
        <v>914</v>
      </c>
      <c r="D1208" s="1909">
        <v>1</v>
      </c>
      <c r="E1208" s="1910" t="s">
        <v>5</v>
      </c>
      <c r="F1208" s="1906">
        <v>52700</v>
      </c>
      <c r="G1208" s="1906">
        <f t="shared" si="172"/>
        <v>15810</v>
      </c>
      <c r="H1208" s="1906">
        <f t="shared" si="173"/>
        <v>52700</v>
      </c>
      <c r="I1208" s="1906">
        <f t="shared" si="174"/>
        <v>15810</v>
      </c>
      <c r="J1208" s="1906">
        <f t="shared" si="175"/>
        <v>68510</v>
      </c>
      <c r="K1208" s="1907"/>
      <c r="L1208" s="1907" t="s">
        <v>1935</v>
      </c>
      <c r="M1208" s="1952" t="s">
        <v>622</v>
      </c>
    </row>
    <row r="1209" spans="1:13">
      <c r="A1209" s="1903"/>
      <c r="B1209" s="1904" t="s">
        <v>926</v>
      </c>
      <c r="C1209" s="1905" t="s">
        <v>923</v>
      </c>
      <c r="D1209" s="1909">
        <v>1</v>
      </c>
      <c r="E1209" s="1910" t="s">
        <v>5</v>
      </c>
      <c r="F1209" s="1906">
        <v>12700</v>
      </c>
      <c r="G1209" s="1906">
        <f t="shared" si="172"/>
        <v>3810</v>
      </c>
      <c r="H1209" s="1906">
        <f t="shared" si="173"/>
        <v>12700</v>
      </c>
      <c r="I1209" s="1906">
        <f t="shared" si="174"/>
        <v>3810</v>
      </c>
      <c r="J1209" s="1906">
        <f t="shared" si="175"/>
        <v>16510</v>
      </c>
      <c r="K1209" s="1907"/>
      <c r="L1209" s="1907" t="s">
        <v>1935</v>
      </c>
      <c r="M1209" s="1952" t="s">
        <v>622</v>
      </c>
    </row>
    <row r="1210" spans="1:13">
      <c r="A1210" s="1903"/>
      <c r="B1210" s="1904" t="s">
        <v>618</v>
      </c>
      <c r="C1210" s="1905" t="s">
        <v>924</v>
      </c>
      <c r="D1210" s="1909">
        <v>1</v>
      </c>
      <c r="E1210" s="1910" t="s">
        <v>5</v>
      </c>
      <c r="F1210" s="1906">
        <v>136900</v>
      </c>
      <c r="G1210" s="1906">
        <f t="shared" si="172"/>
        <v>41070</v>
      </c>
      <c r="H1210" s="1906">
        <f t="shared" si="173"/>
        <v>136900</v>
      </c>
      <c r="I1210" s="1906">
        <f t="shared" si="174"/>
        <v>41070</v>
      </c>
      <c r="J1210" s="1906">
        <f t="shared" si="175"/>
        <v>177970</v>
      </c>
      <c r="K1210" s="1907"/>
      <c r="L1210" s="1907" t="s">
        <v>1935</v>
      </c>
      <c r="M1210" s="1952" t="s">
        <v>622</v>
      </c>
    </row>
    <row r="1211" spans="1:13">
      <c r="A1211" s="1863"/>
      <c r="B1211" s="1864"/>
      <c r="C1211" s="1865"/>
      <c r="D1211" s="1866"/>
      <c r="E1211" s="1867"/>
      <c r="F1211" s="1868"/>
      <c r="G1211" s="1868"/>
      <c r="H1211" s="1868"/>
      <c r="I1211" s="1868"/>
      <c r="J1211" s="1868"/>
      <c r="K1211" s="1869"/>
      <c r="M1211" s="1952"/>
    </row>
    <row r="1212" spans="1:13">
      <c r="B1212" s="1860"/>
      <c r="C1212" s="2133" t="s">
        <v>133</v>
      </c>
      <c r="D1212" s="2134"/>
      <c r="E1212" s="2135"/>
      <c r="F1212" s="2136"/>
      <c r="G1212" s="2137"/>
      <c r="H1212" s="2137"/>
      <c r="I1212" s="2137"/>
      <c r="J1212" s="2137"/>
      <c r="K1212" s="2137"/>
      <c r="M1212" s="1952"/>
    </row>
    <row r="1213" spans="1:13">
      <c r="B1213" s="2138"/>
      <c r="C1213" s="2139" t="s">
        <v>1769</v>
      </c>
      <c r="D1213" s="2140"/>
      <c r="E1213" s="1861"/>
      <c r="F1213" s="2135"/>
      <c r="G1213" s="2139" t="s">
        <v>134</v>
      </c>
      <c r="H1213" s="2138"/>
      <c r="I1213" s="2138"/>
      <c r="J1213" s="2138"/>
      <c r="K1213" s="2138"/>
      <c r="M1213" s="1952"/>
    </row>
    <row r="1214" spans="1:13">
      <c r="B1214" s="1871"/>
      <c r="C1214" s="2141" t="s">
        <v>1970</v>
      </c>
      <c r="D1214" s="2140"/>
      <c r="E1214" s="2142"/>
      <c r="F1214" s="2143"/>
      <c r="G1214" s="2144" t="s">
        <v>1971</v>
      </c>
      <c r="H1214" s="2145"/>
      <c r="I1214" s="2145"/>
      <c r="J1214" s="2145"/>
      <c r="K1214" s="2145"/>
      <c r="M1214" s="1952"/>
    </row>
    <row r="1215" spans="1:13">
      <c r="A1215" s="1837"/>
      <c r="B1215" s="2138"/>
      <c r="C1215" s="2139" t="s">
        <v>2031</v>
      </c>
      <c r="D1215" s="2140"/>
      <c r="E1215" s="1837"/>
      <c r="F1215" s="2146"/>
      <c r="G1215" s="2139" t="s">
        <v>2031</v>
      </c>
      <c r="H1215" s="1837"/>
      <c r="I1215" s="1837"/>
      <c r="J1215" s="1837"/>
      <c r="K1215" s="1837"/>
      <c r="M1215" s="1952"/>
    </row>
    <row r="1216" spans="1:13">
      <c r="A1216" s="1952"/>
      <c r="B1216" s="1871"/>
      <c r="C1216" s="2147" t="s">
        <v>1984</v>
      </c>
      <c r="D1216" s="2140"/>
      <c r="E1216" s="1837"/>
      <c r="F1216" s="2135"/>
      <c r="G1216" s="2147" t="s">
        <v>1985</v>
      </c>
      <c r="H1216" s="1952"/>
      <c r="I1216" s="1952"/>
      <c r="J1216" s="1952"/>
      <c r="K1216" s="1952"/>
      <c r="M1216" s="1952"/>
    </row>
    <row r="1217" spans="1:13">
      <c r="A1217" s="1952"/>
      <c r="B1217" s="1952"/>
      <c r="C1217" s="2139" t="s">
        <v>670</v>
      </c>
      <c r="D1217" s="2139"/>
      <c r="E1217" s="2143"/>
      <c r="F1217" s="2143"/>
      <c r="G1217" s="1952"/>
      <c r="H1217" s="1952"/>
      <c r="I1217" s="1952"/>
      <c r="J1217" s="1952"/>
      <c r="K1217" s="1952"/>
      <c r="M1217" s="1952"/>
    </row>
    <row r="1218" spans="1:13">
      <c r="C1218" s="2147" t="s">
        <v>1972</v>
      </c>
      <c r="D1218" s="2147"/>
      <c r="E1218" s="2146"/>
      <c r="F1218" s="2146"/>
      <c r="M1218" s="1952"/>
    </row>
    <row r="1219" spans="1:13">
      <c r="A1219" s="1903"/>
      <c r="B1219" s="2386" t="s">
        <v>203</v>
      </c>
      <c r="C1219" s="2386"/>
      <c r="D1219" s="1909"/>
      <c r="E1219" s="1910"/>
      <c r="F1219" s="1906"/>
      <c r="G1219" s="1906"/>
      <c r="H1219" s="1906">
        <f t="shared" si="173"/>
        <v>0</v>
      </c>
      <c r="I1219" s="1906">
        <f t="shared" si="174"/>
        <v>0</v>
      </c>
      <c r="J1219" s="1906">
        <f t="shared" si="175"/>
        <v>0</v>
      </c>
      <c r="K1219" s="1907"/>
    </row>
    <row r="1220" spans="1:13" s="1976" customFormat="1">
      <c r="A1220" s="1972"/>
      <c r="B1220" s="1973"/>
      <c r="C1220" s="1974" t="s">
        <v>865</v>
      </c>
      <c r="D1220" s="1930">
        <v>9</v>
      </c>
      <c r="E1220" s="1909" t="s">
        <v>5</v>
      </c>
      <c r="F1220" s="1968">
        <v>4850</v>
      </c>
      <c r="G1220" s="1975">
        <v>450</v>
      </c>
      <c r="H1220" s="1975">
        <f t="shared" ref="H1220:H1238" si="176">F1220*D1220</f>
        <v>43650</v>
      </c>
      <c r="I1220" s="1975">
        <f t="shared" ref="I1220:I1238" si="177">G1220*D1220</f>
        <v>4050</v>
      </c>
      <c r="J1220" s="1975">
        <f t="shared" ref="J1220:J1238" si="178">SUM(H1220:I1220)</f>
        <v>47700</v>
      </c>
      <c r="K1220" s="1977"/>
      <c r="L1220" s="1872"/>
      <c r="M1220" s="1885" t="s">
        <v>1879</v>
      </c>
    </row>
    <row r="1221" spans="1:13" s="1976" customFormat="1">
      <c r="A1221" s="1972"/>
      <c r="B1221" s="1973"/>
      <c r="C1221" s="1974" t="s">
        <v>866</v>
      </c>
      <c r="D1221" s="1930">
        <f>D1220</f>
        <v>9</v>
      </c>
      <c r="E1221" s="1909" t="s">
        <v>5</v>
      </c>
      <c r="F1221" s="1968">
        <v>120</v>
      </c>
      <c r="G1221" s="1975">
        <v>0</v>
      </c>
      <c r="H1221" s="1975">
        <f t="shared" si="176"/>
        <v>1080</v>
      </c>
      <c r="I1221" s="1975">
        <f t="shared" si="177"/>
        <v>0</v>
      </c>
      <c r="J1221" s="1975">
        <f t="shared" si="178"/>
        <v>1080</v>
      </c>
      <c r="K1221" s="1977"/>
      <c r="L1221" s="1872"/>
      <c r="M1221" s="1885" t="s">
        <v>1879</v>
      </c>
    </row>
    <row r="1222" spans="1:13" s="1976" customFormat="1">
      <c r="A1222" s="1972"/>
      <c r="B1222" s="1973"/>
      <c r="C1222" s="1974" t="s">
        <v>867</v>
      </c>
      <c r="D1222" s="1930">
        <f>D1220</f>
        <v>9</v>
      </c>
      <c r="E1222" s="1909" t="s">
        <v>5</v>
      </c>
      <c r="F1222" s="1968">
        <v>80</v>
      </c>
      <c r="G1222" s="1975">
        <v>35</v>
      </c>
      <c r="H1222" s="1975">
        <f t="shared" si="176"/>
        <v>720</v>
      </c>
      <c r="I1222" s="1975">
        <f t="shared" si="177"/>
        <v>315</v>
      </c>
      <c r="J1222" s="1975">
        <f t="shared" si="178"/>
        <v>1035</v>
      </c>
      <c r="K1222" s="1977"/>
      <c r="L1222" s="1872"/>
      <c r="M1222" s="1885" t="s">
        <v>1879</v>
      </c>
    </row>
    <row r="1223" spans="1:13" s="1872" customFormat="1">
      <c r="A1223" s="1965"/>
      <c r="B1223" s="1966"/>
      <c r="C1223" s="1967" t="s">
        <v>879</v>
      </c>
      <c r="D1223" s="1909">
        <v>1</v>
      </c>
      <c r="E1223" s="1968" t="s">
        <v>5</v>
      </c>
      <c r="F1223" s="1969">
        <v>7690</v>
      </c>
      <c r="G1223" s="1970">
        <v>450</v>
      </c>
      <c r="H1223" s="1969">
        <f t="shared" si="176"/>
        <v>7690</v>
      </c>
      <c r="I1223" s="1969">
        <f t="shared" si="177"/>
        <v>450</v>
      </c>
      <c r="J1223" s="1969">
        <f t="shared" si="178"/>
        <v>8140</v>
      </c>
      <c r="K1223" s="1977"/>
      <c r="L1223" s="1971" t="s">
        <v>1899</v>
      </c>
      <c r="M1223" s="1952" t="s">
        <v>1907</v>
      </c>
    </row>
    <row r="1224" spans="1:13" s="1872" customFormat="1">
      <c r="A1224" s="1965"/>
      <c r="B1224" s="1966"/>
      <c r="C1224" s="1974" t="s">
        <v>866</v>
      </c>
      <c r="D1224" s="1930">
        <f>D1223</f>
        <v>1</v>
      </c>
      <c r="E1224" s="1909" t="s">
        <v>5</v>
      </c>
      <c r="F1224" s="1968">
        <v>120</v>
      </c>
      <c r="G1224" s="1975">
        <v>0</v>
      </c>
      <c r="H1224" s="1969">
        <f t="shared" si="176"/>
        <v>120</v>
      </c>
      <c r="I1224" s="1969">
        <f t="shared" si="177"/>
        <v>0</v>
      </c>
      <c r="J1224" s="1969">
        <f t="shared" si="178"/>
        <v>120</v>
      </c>
      <c r="K1224" s="1977"/>
      <c r="L1224" s="1976"/>
      <c r="M1224" s="1885" t="s">
        <v>1879</v>
      </c>
    </row>
    <row r="1225" spans="1:13" s="1872" customFormat="1">
      <c r="A1225" s="1965"/>
      <c r="B1225" s="1966"/>
      <c r="C1225" s="1974" t="s">
        <v>867</v>
      </c>
      <c r="D1225" s="1930">
        <f>D1223</f>
        <v>1</v>
      </c>
      <c r="E1225" s="1909" t="s">
        <v>5</v>
      </c>
      <c r="F1225" s="1968">
        <v>80</v>
      </c>
      <c r="G1225" s="1975">
        <v>35</v>
      </c>
      <c r="H1225" s="1969">
        <f t="shared" si="176"/>
        <v>80</v>
      </c>
      <c r="I1225" s="1969">
        <f t="shared" si="177"/>
        <v>35</v>
      </c>
      <c r="J1225" s="1969">
        <f t="shared" si="178"/>
        <v>115</v>
      </c>
      <c r="K1225" s="1978"/>
      <c r="L1225" s="1976"/>
      <c r="M1225" s="1885" t="s">
        <v>1879</v>
      </c>
    </row>
    <row r="1226" spans="1:13" s="1872" customFormat="1">
      <c r="A1226" s="1965"/>
      <c r="B1226" s="1966"/>
      <c r="C1226" s="1974" t="s">
        <v>868</v>
      </c>
      <c r="D1226" s="1930">
        <v>5</v>
      </c>
      <c r="E1226" s="1909" t="s">
        <v>5</v>
      </c>
      <c r="F1226" s="1968">
        <v>5500</v>
      </c>
      <c r="G1226" s="1975">
        <v>450</v>
      </c>
      <c r="H1226" s="1969">
        <f t="shared" si="176"/>
        <v>27500</v>
      </c>
      <c r="I1226" s="1969">
        <f t="shared" si="177"/>
        <v>2250</v>
      </c>
      <c r="J1226" s="1969">
        <f t="shared" si="178"/>
        <v>29750</v>
      </c>
      <c r="K1226" s="1978"/>
      <c r="L1226" s="1976"/>
      <c r="M1226" s="1885" t="s">
        <v>1879</v>
      </c>
    </row>
    <row r="1227" spans="1:13" s="1976" customFormat="1">
      <c r="A1227" s="1972"/>
      <c r="B1227" s="1973"/>
      <c r="C1227" s="1974" t="s">
        <v>869</v>
      </c>
      <c r="D1227" s="1930">
        <v>9</v>
      </c>
      <c r="E1227" s="1909" t="s">
        <v>5</v>
      </c>
      <c r="F1227" s="1968">
        <v>3500</v>
      </c>
      <c r="G1227" s="1975">
        <v>450</v>
      </c>
      <c r="H1227" s="1975">
        <f t="shared" si="176"/>
        <v>31500</v>
      </c>
      <c r="I1227" s="1975">
        <f t="shared" si="177"/>
        <v>4050</v>
      </c>
      <c r="J1227" s="1975">
        <f t="shared" si="178"/>
        <v>35550</v>
      </c>
      <c r="K1227" s="1977"/>
      <c r="L1227" s="1872"/>
      <c r="M1227" s="1885" t="s">
        <v>1879</v>
      </c>
    </row>
    <row r="1228" spans="1:13" s="1872" customFormat="1">
      <c r="A1228" s="2020"/>
      <c r="B1228" s="2021"/>
      <c r="C1228" s="2022" t="s">
        <v>870</v>
      </c>
      <c r="D1228" s="2023">
        <f>D1227</f>
        <v>9</v>
      </c>
      <c r="E1228" s="1956" t="s">
        <v>5</v>
      </c>
      <c r="F1228" s="1968">
        <v>900</v>
      </c>
      <c r="G1228" s="1975">
        <v>150</v>
      </c>
      <c r="H1228" s="2024">
        <f t="shared" si="176"/>
        <v>8100</v>
      </c>
      <c r="I1228" s="2024">
        <f t="shared" si="177"/>
        <v>1350</v>
      </c>
      <c r="J1228" s="2024">
        <f t="shared" si="178"/>
        <v>9450</v>
      </c>
      <c r="K1228" s="2025"/>
      <c r="M1228" s="1885" t="s">
        <v>1879</v>
      </c>
    </row>
    <row r="1229" spans="1:13" s="1872" customFormat="1">
      <c r="A1229" s="1972"/>
      <c r="B1229" s="1973"/>
      <c r="C1229" s="1974" t="s">
        <v>871</v>
      </c>
      <c r="D1229" s="1930">
        <f>D1227</f>
        <v>9</v>
      </c>
      <c r="E1229" s="1909" t="s">
        <v>5</v>
      </c>
      <c r="F1229" s="1963">
        <v>210</v>
      </c>
      <c r="G1229" s="1975">
        <v>0</v>
      </c>
      <c r="H1229" s="1975">
        <f t="shared" si="176"/>
        <v>1890</v>
      </c>
      <c r="I1229" s="1975">
        <f t="shared" si="177"/>
        <v>0</v>
      </c>
      <c r="J1229" s="1975">
        <f t="shared" si="178"/>
        <v>1890</v>
      </c>
      <c r="K1229" s="1977"/>
      <c r="M1229" s="1885" t="s">
        <v>1879</v>
      </c>
    </row>
    <row r="1230" spans="1:13" s="1872" customFormat="1">
      <c r="A1230" s="1972"/>
      <c r="B1230" s="1973"/>
      <c r="C1230" s="1974" t="s">
        <v>872</v>
      </c>
      <c r="D1230" s="1930">
        <f>D1227</f>
        <v>9</v>
      </c>
      <c r="E1230" s="1909" t="s">
        <v>5</v>
      </c>
      <c r="F1230" s="1968">
        <v>310</v>
      </c>
      <c r="G1230" s="1975">
        <v>0</v>
      </c>
      <c r="H1230" s="1975">
        <f t="shared" si="176"/>
        <v>2790</v>
      </c>
      <c r="I1230" s="1975">
        <f t="shared" si="177"/>
        <v>0</v>
      </c>
      <c r="J1230" s="1975">
        <f t="shared" si="178"/>
        <v>2790</v>
      </c>
      <c r="K1230" s="1977"/>
    </row>
    <row r="1231" spans="1:13" s="1872" customFormat="1">
      <c r="A1231" s="1972"/>
      <c r="B1231" s="1973"/>
      <c r="C1231" s="1974" t="s">
        <v>873</v>
      </c>
      <c r="D1231" s="1930">
        <f>D1227</f>
        <v>9</v>
      </c>
      <c r="E1231" s="1909" t="s">
        <v>5</v>
      </c>
      <c r="F1231" s="1968">
        <v>120</v>
      </c>
      <c r="G1231" s="1975">
        <v>0</v>
      </c>
      <c r="H1231" s="1975">
        <f t="shared" si="176"/>
        <v>1080</v>
      </c>
      <c r="I1231" s="1975">
        <f t="shared" si="177"/>
        <v>0</v>
      </c>
      <c r="J1231" s="1975">
        <f t="shared" si="178"/>
        <v>1080</v>
      </c>
      <c r="K1231" s="1977"/>
      <c r="M1231" s="1872" t="s">
        <v>1879</v>
      </c>
    </row>
    <row r="1232" spans="1:13" s="1872" customFormat="1">
      <c r="A1232" s="1972"/>
      <c r="B1232" s="1973"/>
      <c r="C1232" s="1974" t="s">
        <v>867</v>
      </c>
      <c r="D1232" s="1930">
        <f>D1227</f>
        <v>9</v>
      </c>
      <c r="E1232" s="1909" t="s">
        <v>5</v>
      </c>
      <c r="F1232" s="1968">
        <v>80</v>
      </c>
      <c r="G1232" s="1975">
        <v>35</v>
      </c>
      <c r="H1232" s="1975">
        <f t="shared" si="176"/>
        <v>720</v>
      </c>
      <c r="I1232" s="1975">
        <f t="shared" si="177"/>
        <v>315</v>
      </c>
      <c r="J1232" s="1975">
        <f t="shared" si="178"/>
        <v>1035</v>
      </c>
      <c r="K1232" s="1977"/>
      <c r="M1232" s="1872" t="s">
        <v>1879</v>
      </c>
    </row>
    <row r="1233" spans="1:13" s="1872" customFormat="1">
      <c r="A1233" s="1972"/>
      <c r="B1233" s="1973"/>
      <c r="C1233" s="1974" t="s">
        <v>886</v>
      </c>
      <c r="D1233" s="1930">
        <v>1</v>
      </c>
      <c r="E1233" s="1909" t="s">
        <v>5</v>
      </c>
      <c r="F1233" s="1968">
        <v>3500</v>
      </c>
      <c r="G1233" s="1975">
        <v>450</v>
      </c>
      <c r="H1233" s="1975">
        <f t="shared" si="176"/>
        <v>3500</v>
      </c>
      <c r="I1233" s="1975">
        <f t="shared" si="177"/>
        <v>450</v>
      </c>
      <c r="J1233" s="1975">
        <f t="shared" si="178"/>
        <v>3950</v>
      </c>
      <c r="K1233" s="1977"/>
      <c r="M1233" s="1872" t="s">
        <v>1879</v>
      </c>
    </row>
    <row r="1234" spans="1:13" s="1872" customFormat="1">
      <c r="A1234" s="1972"/>
      <c r="B1234" s="1973"/>
      <c r="C1234" s="1974" t="s">
        <v>880</v>
      </c>
      <c r="D1234" s="1930">
        <f>D1233</f>
        <v>1</v>
      </c>
      <c r="E1234" s="1909" t="s">
        <v>5</v>
      </c>
      <c r="F1234" s="1968">
        <v>900</v>
      </c>
      <c r="G1234" s="1975">
        <v>150</v>
      </c>
      <c r="H1234" s="1975">
        <f t="shared" si="176"/>
        <v>900</v>
      </c>
      <c r="I1234" s="1975">
        <f t="shared" si="177"/>
        <v>150</v>
      </c>
      <c r="J1234" s="1975">
        <f t="shared" si="178"/>
        <v>1050</v>
      </c>
      <c r="K1234" s="1977"/>
      <c r="M1234" s="1872" t="s">
        <v>1879</v>
      </c>
    </row>
    <row r="1235" spans="1:13" s="1872" customFormat="1">
      <c r="A1235" s="1972"/>
      <c r="B1235" s="1973"/>
      <c r="C1235" s="1974" t="s">
        <v>881</v>
      </c>
      <c r="D1235" s="1930">
        <f>D1233</f>
        <v>1</v>
      </c>
      <c r="E1235" s="1909" t="s">
        <v>5</v>
      </c>
      <c r="F1235" s="1968">
        <v>210</v>
      </c>
      <c r="G1235" s="1975">
        <v>0</v>
      </c>
      <c r="H1235" s="1975">
        <f t="shared" si="176"/>
        <v>210</v>
      </c>
      <c r="I1235" s="1975">
        <f t="shared" si="177"/>
        <v>0</v>
      </c>
      <c r="J1235" s="1975">
        <f t="shared" si="178"/>
        <v>210</v>
      </c>
      <c r="K1235" s="1977"/>
      <c r="M1235" s="1872" t="s">
        <v>1879</v>
      </c>
    </row>
    <row r="1236" spans="1:13" s="1872" customFormat="1">
      <c r="A1236" s="1972"/>
      <c r="B1236" s="1973"/>
      <c r="C1236" s="1974" t="s">
        <v>882</v>
      </c>
      <c r="D1236" s="1930">
        <f>D1233</f>
        <v>1</v>
      </c>
      <c r="E1236" s="1909" t="s">
        <v>5</v>
      </c>
      <c r="F1236" s="1968">
        <v>310</v>
      </c>
      <c r="G1236" s="1975">
        <v>0</v>
      </c>
      <c r="H1236" s="1975">
        <f t="shared" si="176"/>
        <v>310</v>
      </c>
      <c r="I1236" s="1975">
        <f t="shared" si="177"/>
        <v>0</v>
      </c>
      <c r="J1236" s="1975">
        <f t="shared" si="178"/>
        <v>310</v>
      </c>
      <c r="K1236" s="1977"/>
      <c r="M1236" s="1872" t="s">
        <v>1879</v>
      </c>
    </row>
    <row r="1237" spans="1:13" s="1872" customFormat="1">
      <c r="A1237" s="1972"/>
      <c r="B1237" s="1973"/>
      <c r="C1237" s="1974" t="s">
        <v>873</v>
      </c>
      <c r="D1237" s="1930">
        <f>D1233</f>
        <v>1</v>
      </c>
      <c r="E1237" s="1909" t="s">
        <v>5</v>
      </c>
      <c r="F1237" s="1968">
        <v>120</v>
      </c>
      <c r="G1237" s="1975">
        <v>0</v>
      </c>
      <c r="H1237" s="1975">
        <f t="shared" si="176"/>
        <v>120</v>
      </c>
      <c r="I1237" s="1975">
        <f t="shared" si="177"/>
        <v>0</v>
      </c>
      <c r="J1237" s="1975">
        <f t="shared" si="178"/>
        <v>120</v>
      </c>
      <c r="K1237" s="1977"/>
      <c r="M1237" s="1872" t="s">
        <v>1879</v>
      </c>
    </row>
    <row r="1238" spans="1:13" s="1872" customFormat="1">
      <c r="A1238" s="1972"/>
      <c r="B1238" s="1973"/>
      <c r="C1238" s="1974" t="s">
        <v>867</v>
      </c>
      <c r="D1238" s="1930">
        <f>D1233</f>
        <v>1</v>
      </c>
      <c r="E1238" s="1909" t="s">
        <v>5</v>
      </c>
      <c r="F1238" s="1968">
        <v>80</v>
      </c>
      <c r="G1238" s="1975">
        <v>35</v>
      </c>
      <c r="H1238" s="1975">
        <f t="shared" si="176"/>
        <v>80</v>
      </c>
      <c r="I1238" s="1975">
        <f t="shared" si="177"/>
        <v>35</v>
      </c>
      <c r="J1238" s="1975">
        <f t="shared" si="178"/>
        <v>115</v>
      </c>
      <c r="K1238" s="1977"/>
      <c r="M1238" s="1872" t="s">
        <v>1879</v>
      </c>
    </row>
    <row r="1239" spans="1:13" s="1872" customFormat="1">
      <c r="A1239" s="1972"/>
      <c r="B1239" s="1973"/>
      <c r="C1239" s="1974" t="s">
        <v>883</v>
      </c>
      <c r="D1239" s="1930">
        <v>1</v>
      </c>
      <c r="E1239" s="1909" t="s">
        <v>5</v>
      </c>
      <c r="F1239" s="1968">
        <v>3400</v>
      </c>
      <c r="G1239" s="1975">
        <v>105</v>
      </c>
      <c r="H1239" s="1975">
        <f>+F1239*D1239</f>
        <v>3400</v>
      </c>
      <c r="I1239" s="1975">
        <f>+G1239*D1239</f>
        <v>105</v>
      </c>
      <c r="J1239" s="1975">
        <f>+H1239+I1239</f>
        <v>3505</v>
      </c>
      <c r="K1239" s="1977"/>
      <c r="M1239" s="1872" t="s">
        <v>1879</v>
      </c>
    </row>
    <row r="1240" spans="1:13" s="1872" customFormat="1">
      <c r="A1240" s="1972"/>
      <c r="B1240" s="1973"/>
      <c r="C1240" s="1974" t="s">
        <v>884</v>
      </c>
      <c r="D1240" s="1930">
        <v>1</v>
      </c>
      <c r="E1240" s="1909" t="s">
        <v>5</v>
      </c>
      <c r="F1240" s="1968">
        <v>3400</v>
      </c>
      <c r="G1240" s="1975">
        <v>105</v>
      </c>
      <c r="H1240" s="1975">
        <f>+F1240*D1240</f>
        <v>3400</v>
      </c>
      <c r="I1240" s="1975">
        <f>+G1240*D1240</f>
        <v>105</v>
      </c>
      <c r="J1240" s="1975">
        <f>+H1240+I1240</f>
        <v>3505</v>
      </c>
      <c r="K1240" s="1977"/>
      <c r="M1240" s="1872" t="s">
        <v>622</v>
      </c>
    </row>
    <row r="1241" spans="1:13" s="1872" customFormat="1">
      <c r="A1241" s="1863"/>
      <c r="B1241" s="1864"/>
      <c r="C1241" s="1865"/>
      <c r="D1241" s="1866"/>
      <c r="E1241" s="1867"/>
      <c r="F1241" s="1868"/>
      <c r="G1241" s="1868"/>
      <c r="H1241" s="1868"/>
      <c r="I1241" s="1868"/>
      <c r="J1241" s="1868"/>
      <c r="K1241" s="1869"/>
    </row>
    <row r="1242" spans="1:13" s="1872" customFormat="1">
      <c r="A1242" s="1840"/>
      <c r="B1242" s="1860"/>
      <c r="C1242" s="2133" t="s">
        <v>133</v>
      </c>
      <c r="D1242" s="2134"/>
      <c r="E1242" s="2135"/>
      <c r="F1242" s="2136"/>
      <c r="G1242" s="2137"/>
      <c r="H1242" s="2137"/>
      <c r="I1242" s="2137"/>
      <c r="J1242" s="2137"/>
      <c r="K1242" s="2137"/>
    </row>
    <row r="1243" spans="1:13" s="1872" customFormat="1">
      <c r="A1243" s="1840"/>
      <c r="B1243" s="2138"/>
      <c r="C1243" s="2139" t="s">
        <v>1769</v>
      </c>
      <c r="D1243" s="2140"/>
      <c r="E1243" s="1861"/>
      <c r="F1243" s="2135"/>
      <c r="G1243" s="2139" t="s">
        <v>134</v>
      </c>
      <c r="H1243" s="2138"/>
      <c r="I1243" s="2138"/>
      <c r="J1243" s="2138"/>
      <c r="K1243" s="2138"/>
    </row>
    <row r="1244" spans="1:13" s="1872" customFormat="1">
      <c r="A1244" s="1840"/>
      <c r="B1244" s="1871"/>
      <c r="C1244" s="2141" t="s">
        <v>1970</v>
      </c>
      <c r="D1244" s="2140"/>
      <c r="E1244" s="2142"/>
      <c r="F1244" s="2143"/>
      <c r="G1244" s="2144" t="s">
        <v>1971</v>
      </c>
      <c r="H1244" s="2145"/>
      <c r="I1244" s="2145"/>
      <c r="J1244" s="2145"/>
      <c r="K1244" s="2145"/>
    </row>
    <row r="1245" spans="1:13" s="1872" customFormat="1">
      <c r="A1245" s="1837"/>
      <c r="B1245" s="2138"/>
      <c r="C1245" s="2139" t="s">
        <v>2031</v>
      </c>
      <c r="D1245" s="2140"/>
      <c r="E1245" s="1837"/>
      <c r="F1245" s="2146"/>
      <c r="G1245" s="2139" t="s">
        <v>2031</v>
      </c>
      <c r="H1245" s="1837"/>
      <c r="I1245" s="1837"/>
      <c r="J1245" s="1837"/>
      <c r="K1245" s="1837"/>
    </row>
    <row r="1246" spans="1:13" s="1872" customFormat="1">
      <c r="A1246" s="1952"/>
      <c r="B1246" s="1871"/>
      <c r="C1246" s="2147" t="s">
        <v>1984</v>
      </c>
      <c r="D1246" s="2140"/>
      <c r="E1246" s="1837"/>
      <c r="F1246" s="2135"/>
      <c r="G1246" s="2147" t="s">
        <v>1985</v>
      </c>
      <c r="H1246" s="1952"/>
      <c r="I1246" s="1952"/>
      <c r="J1246" s="1952"/>
      <c r="K1246" s="1952"/>
    </row>
    <row r="1247" spans="1:13" s="1872" customFormat="1">
      <c r="A1247" s="1952"/>
      <c r="B1247" s="1952"/>
      <c r="C1247" s="2139" t="s">
        <v>670</v>
      </c>
      <c r="D1247" s="2139"/>
      <c r="E1247" s="2143"/>
      <c r="F1247" s="2143"/>
      <c r="G1247" s="1952"/>
      <c r="H1247" s="1952"/>
      <c r="I1247" s="1952"/>
      <c r="J1247" s="1952"/>
      <c r="K1247" s="1952"/>
    </row>
    <row r="1248" spans="1:13" s="1872" customFormat="1">
      <c r="A1248" s="1840"/>
      <c r="B1248" s="1840"/>
      <c r="C1248" s="2147" t="s">
        <v>1972</v>
      </c>
      <c r="D1248" s="2147"/>
      <c r="E1248" s="2146"/>
      <c r="F1248" s="2146"/>
      <c r="G1248" s="1870"/>
      <c r="H1248" s="1870"/>
      <c r="I1248" s="1870"/>
      <c r="J1248" s="1870"/>
      <c r="K1248" s="1871"/>
    </row>
    <row r="1249" spans="1:14">
      <c r="A1249" s="1903"/>
      <c r="B1249" s="1904"/>
      <c r="C1249" s="1905" t="s">
        <v>885</v>
      </c>
      <c r="D1249" s="1898">
        <v>1</v>
      </c>
      <c r="E1249" s="1899" t="s">
        <v>5</v>
      </c>
      <c r="F1249" s="1900">
        <v>220</v>
      </c>
      <c r="G1249" s="1900">
        <v>70</v>
      </c>
      <c r="H1249" s="1906">
        <f>+F1249*D1249</f>
        <v>220</v>
      </c>
      <c r="I1249" s="1906">
        <f>+G1249*D1249</f>
        <v>70</v>
      </c>
      <c r="J1249" s="1906">
        <f>+H1249+I1249</f>
        <v>290</v>
      </c>
      <c r="K1249" s="1977"/>
      <c r="M1249" s="1885" t="s">
        <v>1879</v>
      </c>
      <c r="N1249" s="1861"/>
    </row>
    <row r="1250" spans="1:14">
      <c r="A1250" s="1972"/>
      <c r="B1250" s="1973"/>
      <c r="C1250" s="1974" t="s">
        <v>874</v>
      </c>
      <c r="D1250" s="1930">
        <v>1</v>
      </c>
      <c r="E1250" s="1909" t="s">
        <v>5</v>
      </c>
      <c r="F1250" s="1968">
        <v>1142</v>
      </c>
      <c r="G1250" s="1975">
        <v>70</v>
      </c>
      <c r="H1250" s="1975">
        <f t="shared" ref="H1250:H1258" si="179">F1250*D1250</f>
        <v>1142</v>
      </c>
      <c r="I1250" s="1975">
        <f t="shared" ref="I1250:I1258" si="180">G1250*D1250</f>
        <v>70</v>
      </c>
      <c r="J1250" s="1975">
        <f t="shared" ref="J1250:J1258" si="181">SUM(H1250:I1250)</f>
        <v>1212</v>
      </c>
      <c r="K1250" s="1977"/>
      <c r="L1250" s="1979" t="s">
        <v>1899</v>
      </c>
      <c r="M1250" s="1872" t="s">
        <v>1907</v>
      </c>
    </row>
    <row r="1251" spans="1:14" s="1872" customFormat="1">
      <c r="A1251" s="1972"/>
      <c r="B1251" s="1973"/>
      <c r="C1251" s="1974" t="s">
        <v>1897</v>
      </c>
      <c r="D1251" s="1930">
        <v>1</v>
      </c>
      <c r="E1251" s="1909" t="s">
        <v>5</v>
      </c>
      <c r="F1251" s="1968">
        <v>3200</v>
      </c>
      <c r="G1251" s="1975">
        <v>400</v>
      </c>
      <c r="H1251" s="1975">
        <f>F1251*D1251</f>
        <v>3200</v>
      </c>
      <c r="I1251" s="1975">
        <f>G1251*D1251</f>
        <v>400</v>
      </c>
      <c r="J1251" s="1975">
        <f>SUM(H1251:I1251)</f>
        <v>3600</v>
      </c>
      <c r="K1251" s="1977"/>
      <c r="L1251" s="1979" t="s">
        <v>1906</v>
      </c>
      <c r="M1251" s="1952" t="s">
        <v>1908</v>
      </c>
    </row>
    <row r="1252" spans="1:14" s="1872" customFormat="1">
      <c r="A1252" s="1972"/>
      <c r="B1252" s="1973"/>
      <c r="C1252" s="1974" t="s">
        <v>1902</v>
      </c>
      <c r="D1252" s="1930">
        <v>1</v>
      </c>
      <c r="E1252" s="1909" t="s">
        <v>5</v>
      </c>
      <c r="F1252" s="1968">
        <v>4000</v>
      </c>
      <c r="G1252" s="1975">
        <v>400</v>
      </c>
      <c r="H1252" s="1975">
        <f>F1252*D1252</f>
        <v>4000</v>
      </c>
      <c r="I1252" s="1975">
        <f>G1252*D1252</f>
        <v>400</v>
      </c>
      <c r="J1252" s="1975">
        <f>SUM(H1252:I1252)</f>
        <v>4400</v>
      </c>
      <c r="K1252" s="1977"/>
      <c r="L1252" s="1979" t="s">
        <v>1906</v>
      </c>
      <c r="M1252" s="1952" t="s">
        <v>1908</v>
      </c>
    </row>
    <row r="1253" spans="1:14" s="1872" customFormat="1">
      <c r="A1253" s="1972"/>
      <c r="B1253" s="1973"/>
      <c r="C1253" s="1974" t="s">
        <v>377</v>
      </c>
      <c r="D1253" s="1930">
        <v>10</v>
      </c>
      <c r="E1253" s="1909" t="s">
        <v>5</v>
      </c>
      <c r="F1253" s="1968">
        <v>300</v>
      </c>
      <c r="G1253" s="1975">
        <v>70</v>
      </c>
      <c r="H1253" s="1975">
        <f t="shared" si="179"/>
        <v>3000</v>
      </c>
      <c r="I1253" s="1975">
        <f t="shared" si="180"/>
        <v>700</v>
      </c>
      <c r="J1253" s="1975">
        <f t="shared" si="181"/>
        <v>3700</v>
      </c>
      <c r="K1253" s="1977"/>
      <c r="L1253" s="1907"/>
      <c r="M1253" s="1885" t="s">
        <v>1879</v>
      </c>
    </row>
    <row r="1254" spans="1:14" s="1872" customFormat="1">
      <c r="A1254" s="1972"/>
      <c r="B1254" s="1973"/>
      <c r="C1254" s="1974" t="s">
        <v>867</v>
      </c>
      <c r="D1254" s="1930">
        <f>D1253</f>
        <v>10</v>
      </c>
      <c r="E1254" s="1909" t="s">
        <v>5</v>
      </c>
      <c r="F1254" s="1968">
        <v>80</v>
      </c>
      <c r="G1254" s="1975">
        <v>35</v>
      </c>
      <c r="H1254" s="1975">
        <f t="shared" si="179"/>
        <v>800</v>
      </c>
      <c r="I1254" s="1975">
        <f t="shared" si="180"/>
        <v>350</v>
      </c>
      <c r="J1254" s="1975">
        <f t="shared" si="181"/>
        <v>1150</v>
      </c>
      <c r="K1254" s="1977"/>
      <c r="L1254" s="1907"/>
      <c r="M1254" s="1885" t="s">
        <v>1879</v>
      </c>
    </row>
    <row r="1255" spans="1:14" s="1872" customFormat="1">
      <c r="A1255" s="1903"/>
      <c r="B1255" s="1904"/>
      <c r="C1255" s="1993" t="s">
        <v>376</v>
      </c>
      <c r="D1255" s="1981">
        <v>10</v>
      </c>
      <c r="E1255" s="1903" t="s">
        <v>5</v>
      </c>
      <c r="F1255" s="1996">
        <v>390</v>
      </c>
      <c r="G1255" s="1996">
        <v>120</v>
      </c>
      <c r="H1255" s="1975">
        <f t="shared" si="179"/>
        <v>3900</v>
      </c>
      <c r="I1255" s="1975">
        <f t="shared" si="180"/>
        <v>1200</v>
      </c>
      <c r="J1255" s="1975">
        <f t="shared" si="181"/>
        <v>5100</v>
      </c>
      <c r="K1255" s="1977"/>
      <c r="L1255" s="1907"/>
      <c r="M1255" s="1885" t="s">
        <v>1879</v>
      </c>
    </row>
    <row r="1256" spans="1:14" s="1872" customFormat="1">
      <c r="A1256" s="1972"/>
      <c r="B1256" s="1973"/>
      <c r="C1256" s="1974" t="s">
        <v>875</v>
      </c>
      <c r="D1256" s="1930">
        <v>3</v>
      </c>
      <c r="E1256" s="1909" t="s">
        <v>5</v>
      </c>
      <c r="F1256" s="1968">
        <v>125</v>
      </c>
      <c r="G1256" s="1975">
        <v>25</v>
      </c>
      <c r="H1256" s="1975">
        <f t="shared" si="179"/>
        <v>375</v>
      </c>
      <c r="I1256" s="1975">
        <f t="shared" si="180"/>
        <v>75</v>
      </c>
      <c r="J1256" s="1975">
        <f t="shared" si="181"/>
        <v>450</v>
      </c>
      <c r="K1256" s="1977"/>
      <c r="L1256" s="1907"/>
      <c r="M1256" s="1885" t="s">
        <v>1879</v>
      </c>
    </row>
    <row r="1257" spans="1:14">
      <c r="A1257" s="1972"/>
      <c r="B1257" s="1973"/>
      <c r="C1257" s="1974" t="s">
        <v>878</v>
      </c>
      <c r="D1257" s="1930">
        <v>12</v>
      </c>
      <c r="E1257" s="1909" t="s">
        <v>5</v>
      </c>
      <c r="F1257" s="1968">
        <v>150</v>
      </c>
      <c r="G1257" s="1975">
        <v>75</v>
      </c>
      <c r="H1257" s="1975">
        <f t="shared" si="179"/>
        <v>1800</v>
      </c>
      <c r="I1257" s="1975">
        <f t="shared" si="180"/>
        <v>900</v>
      </c>
      <c r="J1257" s="1975">
        <f t="shared" si="181"/>
        <v>2700</v>
      </c>
      <c r="K1257" s="1977"/>
      <c r="L1257" s="1907"/>
      <c r="M1257" s="1885" t="s">
        <v>1879</v>
      </c>
      <c r="N1257" s="1861"/>
    </row>
    <row r="1258" spans="1:14" s="1872" customFormat="1">
      <c r="A1258" s="1972"/>
      <c r="B1258" s="1973"/>
      <c r="C1258" s="1980" t="s">
        <v>876</v>
      </c>
      <c r="D1258" s="1981">
        <v>7.8</v>
      </c>
      <c r="E1258" s="1982" t="s">
        <v>86</v>
      </c>
      <c r="F1258" s="1983">
        <v>2850</v>
      </c>
      <c r="G1258" s="1984">
        <v>198</v>
      </c>
      <c r="H1258" s="1975">
        <f t="shared" si="179"/>
        <v>22230</v>
      </c>
      <c r="I1258" s="1975">
        <f t="shared" si="180"/>
        <v>1544.3999999999999</v>
      </c>
      <c r="J1258" s="1975">
        <f t="shared" si="181"/>
        <v>23774.400000000001</v>
      </c>
      <c r="K1258" s="1977"/>
      <c r="L1258" s="1971" t="s">
        <v>1922</v>
      </c>
      <c r="M1258" s="1872" t="s">
        <v>1898</v>
      </c>
    </row>
    <row r="1259" spans="1:14" s="1872" customFormat="1">
      <c r="A1259" s="1985"/>
      <c r="B1259" s="1986"/>
      <c r="C1259" s="1974" t="s">
        <v>877</v>
      </c>
      <c r="D1259" s="1930">
        <v>6.5</v>
      </c>
      <c r="E1259" s="1909" t="s">
        <v>86</v>
      </c>
      <c r="F1259" s="1968">
        <v>3028</v>
      </c>
      <c r="G1259" s="1975">
        <v>392</v>
      </c>
      <c r="H1259" s="1987">
        <f>ROUND(F1259*D1259,2)</f>
        <v>19682</v>
      </c>
      <c r="I1259" s="1987">
        <f>ROUND(G1259*D1259,2)</f>
        <v>2548</v>
      </c>
      <c r="J1259" s="1988">
        <f>+H1259+I1259</f>
        <v>22230</v>
      </c>
      <c r="K1259" s="1977"/>
      <c r="L1259" s="1907"/>
      <c r="M1259" s="1872" t="s">
        <v>1898</v>
      </c>
    </row>
    <row r="1260" spans="1:14" s="1872" customFormat="1">
      <c r="A1260" s="1985"/>
      <c r="B1260" s="1986"/>
      <c r="C1260" s="1974" t="s">
        <v>1075</v>
      </c>
      <c r="D1260" s="1930">
        <v>28.45</v>
      </c>
      <c r="E1260" s="1909" t="s">
        <v>86</v>
      </c>
      <c r="F1260" s="1968">
        <v>8500</v>
      </c>
      <c r="G1260" s="1975">
        <v>2200</v>
      </c>
      <c r="H1260" s="1987">
        <f>ROUND(F1260*D1260,2)</f>
        <v>241825</v>
      </c>
      <c r="I1260" s="1987">
        <f>ROUND(G1260*D1260,2)</f>
        <v>62590</v>
      </c>
      <c r="J1260" s="1988">
        <f>+H1260+I1260</f>
        <v>304415</v>
      </c>
      <c r="K1260" s="1977"/>
      <c r="L1260" s="1979" t="s">
        <v>1885</v>
      </c>
      <c r="M1260" s="1952" t="s">
        <v>622</v>
      </c>
    </row>
    <row r="1261" spans="1:14" s="1872" customFormat="1">
      <c r="A1261" s="1903"/>
      <c r="B1261" s="2052" t="s">
        <v>249</v>
      </c>
      <c r="C1261" s="1905"/>
      <c r="D1261" s="1909"/>
      <c r="E1261" s="1910"/>
      <c r="F1261" s="1906"/>
      <c r="G1261" s="1906"/>
      <c r="H1261" s="1906"/>
      <c r="I1261" s="1906"/>
      <c r="J1261" s="1906"/>
      <c r="K1261" s="1977"/>
      <c r="L1261" s="1871"/>
      <c r="M1261" s="1902"/>
    </row>
    <row r="1262" spans="1:14" s="1872" customFormat="1">
      <c r="A1262" s="1903"/>
      <c r="B1262" s="1904" t="s">
        <v>277</v>
      </c>
      <c r="C1262" s="1905" t="s">
        <v>959</v>
      </c>
      <c r="D1262" s="1909"/>
      <c r="E1262" s="1910"/>
      <c r="F1262" s="1906"/>
      <c r="G1262" s="1906"/>
      <c r="H1262" s="1906"/>
      <c r="I1262" s="1906"/>
      <c r="J1262" s="1906"/>
      <c r="K1262" s="1978"/>
      <c r="L1262" s="1976"/>
      <c r="M1262" s="1902"/>
    </row>
    <row r="1263" spans="1:14" s="1862" customFormat="1" ht="48">
      <c r="A1263" s="1911"/>
      <c r="B1263" s="1912" t="s">
        <v>107</v>
      </c>
      <c r="C1263" s="1990" t="s">
        <v>1915</v>
      </c>
      <c r="D1263" s="1991">
        <v>24.8</v>
      </c>
      <c r="E1263" s="1911" t="s">
        <v>86</v>
      </c>
      <c r="F1263" s="1922">
        <v>606</v>
      </c>
      <c r="G1263" s="1922">
        <v>222</v>
      </c>
      <c r="H1263" s="1916">
        <f t="shared" ref="H1263:H1269" si="182">+F1263*D1263</f>
        <v>15028.800000000001</v>
      </c>
      <c r="I1263" s="1916">
        <f t="shared" ref="I1263:I1269" si="183">+G1263*D1263</f>
        <v>5505.6</v>
      </c>
      <c r="J1263" s="1916">
        <f t="shared" ref="J1263:J1269" si="184">+H1263+I1263</f>
        <v>20534.400000000001</v>
      </c>
      <c r="K1263" s="1917"/>
      <c r="L1263" s="2048"/>
      <c r="M1263" s="1992" t="s">
        <v>1879</v>
      </c>
      <c r="N1263" s="1852"/>
    </row>
    <row r="1264" spans="1:14" s="1872" customFormat="1">
      <c r="A1264" s="1972"/>
      <c r="B1264" s="2001" t="s">
        <v>107</v>
      </c>
      <c r="C1264" s="1974" t="s">
        <v>948</v>
      </c>
      <c r="D1264" s="1930">
        <v>24.8</v>
      </c>
      <c r="E1264" s="1909" t="s">
        <v>84</v>
      </c>
      <c r="F1264" s="1968">
        <v>0</v>
      </c>
      <c r="G1264" s="1975">
        <v>200</v>
      </c>
      <c r="H1264" s="1975">
        <f t="shared" si="182"/>
        <v>0</v>
      </c>
      <c r="I1264" s="1975">
        <f t="shared" si="183"/>
        <v>4960</v>
      </c>
      <c r="J1264" s="1975">
        <f t="shared" si="184"/>
        <v>4960</v>
      </c>
      <c r="K1264" s="1977"/>
      <c r="L1264" s="1907"/>
      <c r="M1264" s="1885" t="s">
        <v>1016</v>
      </c>
    </row>
    <row r="1265" spans="1:13" s="1872" customFormat="1">
      <c r="A1265" s="1972"/>
      <c r="B1265" s="2001" t="s">
        <v>107</v>
      </c>
      <c r="C1265" s="1974" t="s">
        <v>1087</v>
      </c>
      <c r="D1265" s="1930">
        <v>45.5</v>
      </c>
      <c r="E1265" s="1909" t="s">
        <v>87</v>
      </c>
      <c r="F1265" s="1968">
        <v>28.9</v>
      </c>
      <c r="G1265" s="1975">
        <v>10</v>
      </c>
      <c r="H1265" s="1975">
        <f t="shared" si="182"/>
        <v>1314.95</v>
      </c>
      <c r="I1265" s="1975">
        <f t="shared" si="183"/>
        <v>455</v>
      </c>
      <c r="J1265" s="1975">
        <f t="shared" si="184"/>
        <v>1769.95</v>
      </c>
      <c r="K1265" s="1977"/>
      <c r="L1265" s="1907"/>
      <c r="M1265" s="1885" t="s">
        <v>1021</v>
      </c>
    </row>
    <row r="1266" spans="1:13">
      <c r="A1266" s="1965"/>
      <c r="B1266" s="1997" t="s">
        <v>107</v>
      </c>
      <c r="C1266" s="1993" t="s">
        <v>1082</v>
      </c>
      <c r="D1266" s="1998">
        <v>330.3</v>
      </c>
      <c r="E1266" s="1999" t="s">
        <v>87</v>
      </c>
      <c r="F1266" s="1975">
        <v>28.9</v>
      </c>
      <c r="G1266" s="1975">
        <v>10</v>
      </c>
      <c r="H1266" s="1906">
        <f t="shared" si="182"/>
        <v>9545.67</v>
      </c>
      <c r="I1266" s="1906">
        <f t="shared" si="183"/>
        <v>3303</v>
      </c>
      <c r="J1266" s="1906">
        <f t="shared" si="184"/>
        <v>12848.67</v>
      </c>
      <c r="K1266" s="1907"/>
      <c r="M1266" s="1885" t="s">
        <v>1021</v>
      </c>
    </row>
    <row r="1267" spans="1:13">
      <c r="A1267" s="1965"/>
      <c r="B1267" s="1997" t="s">
        <v>107</v>
      </c>
      <c r="C1267" s="1993" t="s">
        <v>1088</v>
      </c>
      <c r="D1267" s="1998">
        <v>45.15</v>
      </c>
      <c r="E1267" s="1999" t="s">
        <v>87</v>
      </c>
      <c r="F1267" s="1975">
        <v>31</v>
      </c>
      <c r="G1267" s="1975">
        <v>10</v>
      </c>
      <c r="H1267" s="1906">
        <f t="shared" si="182"/>
        <v>1399.6499999999999</v>
      </c>
      <c r="I1267" s="1906">
        <f t="shared" si="183"/>
        <v>451.5</v>
      </c>
      <c r="J1267" s="1906">
        <f t="shared" si="184"/>
        <v>1851.1499999999999</v>
      </c>
      <c r="K1267" s="1907"/>
      <c r="M1267" s="1885" t="s">
        <v>1016</v>
      </c>
    </row>
    <row r="1268" spans="1:13">
      <c r="A1268" s="1965"/>
      <c r="B1268" s="1997" t="s">
        <v>107</v>
      </c>
      <c r="C1268" s="1993" t="s">
        <v>956</v>
      </c>
      <c r="D1268" s="1998">
        <v>18</v>
      </c>
      <c r="E1268" s="1999" t="s">
        <v>109</v>
      </c>
      <c r="F1268" s="1975">
        <v>108</v>
      </c>
      <c r="G1268" s="1975">
        <v>18</v>
      </c>
      <c r="H1268" s="1906">
        <f t="shared" si="182"/>
        <v>1944</v>
      </c>
      <c r="I1268" s="1906">
        <f t="shared" si="183"/>
        <v>324</v>
      </c>
      <c r="J1268" s="1906">
        <f t="shared" si="184"/>
        <v>2268</v>
      </c>
      <c r="K1268" s="1907"/>
      <c r="M1268" s="1885" t="s">
        <v>1021</v>
      </c>
    </row>
    <row r="1269" spans="1:13">
      <c r="A1269" s="2000"/>
      <c r="B1269" s="2026" t="s">
        <v>107</v>
      </c>
      <c r="C1269" s="2027" t="s">
        <v>1059</v>
      </c>
      <c r="D1269" s="2028">
        <v>72</v>
      </c>
      <c r="E1269" s="2029" t="s">
        <v>27</v>
      </c>
      <c r="F1269" s="2024">
        <v>131.32</v>
      </c>
      <c r="G1269" s="2024">
        <v>0</v>
      </c>
      <c r="H1269" s="2007">
        <f t="shared" si="182"/>
        <v>9455.0399999999991</v>
      </c>
      <c r="I1269" s="2007">
        <f t="shared" si="183"/>
        <v>0</v>
      </c>
      <c r="J1269" s="2007">
        <f t="shared" si="184"/>
        <v>9455.0399999999991</v>
      </c>
      <c r="K1269" s="1908"/>
      <c r="M1269" s="1885" t="s">
        <v>654</v>
      </c>
    </row>
    <row r="1270" spans="1:13">
      <c r="A1270" s="1903"/>
      <c r="B1270" s="1904" t="s">
        <v>953</v>
      </c>
      <c r="C1270" s="1905" t="s">
        <v>959</v>
      </c>
      <c r="D1270" s="1909"/>
      <c r="E1270" s="1910"/>
      <c r="F1270" s="1906"/>
      <c r="G1270" s="1906"/>
      <c r="H1270" s="1906"/>
      <c r="I1270" s="1906"/>
      <c r="J1270" s="1906"/>
      <c r="K1270" s="1907"/>
    </row>
    <row r="1271" spans="1:13">
      <c r="A1271" s="1903"/>
      <c r="B1271" s="1904" t="s">
        <v>107</v>
      </c>
      <c r="C1271" s="1993" t="s">
        <v>952</v>
      </c>
      <c r="D1271" s="1981">
        <v>13.5</v>
      </c>
      <c r="E1271" s="1903" t="s">
        <v>86</v>
      </c>
      <c r="F1271" s="1906">
        <v>119</v>
      </c>
      <c r="G1271" s="1906">
        <v>82</v>
      </c>
      <c r="H1271" s="1906">
        <f>+F1271*D1271</f>
        <v>1606.5</v>
      </c>
      <c r="I1271" s="1906">
        <f>+G1271*D1271</f>
        <v>1107</v>
      </c>
      <c r="J1271" s="1906">
        <f>+H1271+I1271</f>
        <v>2713.5</v>
      </c>
      <c r="K1271" s="1907"/>
      <c r="M1271" s="1885" t="s">
        <v>1076</v>
      </c>
    </row>
    <row r="1272" spans="1:13">
      <c r="A1272" s="1903"/>
      <c r="B1272" s="1904" t="s">
        <v>107</v>
      </c>
      <c r="C1272" s="1993" t="s">
        <v>957</v>
      </c>
      <c r="D1272" s="1981">
        <v>20.399999999999999</v>
      </c>
      <c r="E1272" s="1994" t="s">
        <v>84</v>
      </c>
      <c r="F1272" s="1995">
        <v>200</v>
      </c>
      <c r="G1272" s="1996">
        <v>40</v>
      </c>
      <c r="H1272" s="1906">
        <f>+F1272*D1272</f>
        <v>4079.9999999999995</v>
      </c>
      <c r="I1272" s="1906">
        <f>+G1272*D1272</f>
        <v>816</v>
      </c>
      <c r="J1272" s="1906">
        <f>+H1272+I1272</f>
        <v>4896</v>
      </c>
      <c r="K1272" s="1907"/>
      <c r="M1272" s="1885" t="s">
        <v>1016</v>
      </c>
    </row>
    <row r="1273" spans="1:13">
      <c r="A1273" s="1863"/>
      <c r="B1273" s="1864"/>
      <c r="C1273" s="1865"/>
      <c r="D1273" s="1866"/>
      <c r="E1273" s="1867"/>
      <c r="F1273" s="1868"/>
      <c r="G1273" s="1868"/>
      <c r="H1273" s="1868"/>
      <c r="I1273" s="1868"/>
      <c r="J1273" s="1868"/>
      <c r="K1273" s="1869"/>
      <c r="M1273" s="1885"/>
    </row>
    <row r="1274" spans="1:13">
      <c r="B1274" s="1860"/>
      <c r="C1274" s="2133" t="s">
        <v>133</v>
      </c>
      <c r="D1274" s="2134"/>
      <c r="E1274" s="2135"/>
      <c r="F1274" s="2136"/>
      <c r="G1274" s="2137"/>
      <c r="H1274" s="2137"/>
      <c r="I1274" s="2137"/>
      <c r="J1274" s="2137"/>
      <c r="K1274" s="2137"/>
      <c r="M1274" s="1885"/>
    </row>
    <row r="1275" spans="1:13">
      <c r="B1275" s="2138"/>
      <c r="C1275" s="2139" t="s">
        <v>1769</v>
      </c>
      <c r="D1275" s="2140"/>
      <c r="E1275" s="1861"/>
      <c r="F1275" s="2135"/>
      <c r="G1275" s="2139" t="s">
        <v>134</v>
      </c>
      <c r="H1275" s="2138"/>
      <c r="I1275" s="2138"/>
      <c r="J1275" s="2138"/>
      <c r="K1275" s="2138"/>
      <c r="M1275" s="1885"/>
    </row>
    <row r="1276" spans="1:13">
      <c r="B1276" s="1871"/>
      <c r="C1276" s="2141" t="s">
        <v>1970</v>
      </c>
      <c r="D1276" s="2140"/>
      <c r="E1276" s="2142"/>
      <c r="F1276" s="2143"/>
      <c r="G1276" s="2144" t="s">
        <v>1971</v>
      </c>
      <c r="H1276" s="2145"/>
      <c r="I1276" s="2145"/>
      <c r="J1276" s="2145"/>
      <c r="K1276" s="2145"/>
      <c r="M1276" s="1885"/>
    </row>
    <row r="1277" spans="1:13">
      <c r="A1277" s="1837"/>
      <c r="B1277" s="2138"/>
      <c r="C1277" s="2139" t="s">
        <v>2031</v>
      </c>
      <c r="D1277" s="2140"/>
      <c r="E1277" s="1837"/>
      <c r="F1277" s="2146"/>
      <c r="G1277" s="2139" t="s">
        <v>2031</v>
      </c>
      <c r="H1277" s="1837"/>
      <c r="I1277" s="1837"/>
      <c r="J1277" s="1837"/>
      <c r="K1277" s="1837"/>
      <c r="M1277" s="1885"/>
    </row>
    <row r="1278" spans="1:13">
      <c r="A1278" s="1952"/>
      <c r="B1278" s="1871"/>
      <c r="C1278" s="2147" t="s">
        <v>1984</v>
      </c>
      <c r="D1278" s="2140"/>
      <c r="E1278" s="1837"/>
      <c r="F1278" s="2135"/>
      <c r="G1278" s="2147" t="s">
        <v>1985</v>
      </c>
      <c r="H1278" s="1952"/>
      <c r="I1278" s="1952"/>
      <c r="J1278" s="1952"/>
      <c r="K1278" s="1952"/>
      <c r="M1278" s="1885"/>
    </row>
    <row r="1279" spans="1:13">
      <c r="A1279" s="1952"/>
      <c r="B1279" s="1952"/>
      <c r="C1279" s="2139" t="s">
        <v>670</v>
      </c>
      <c r="D1279" s="2139"/>
      <c r="E1279" s="2143"/>
      <c r="F1279" s="2143"/>
      <c r="G1279" s="1952"/>
      <c r="H1279" s="1952"/>
      <c r="I1279" s="1952"/>
      <c r="J1279" s="1952"/>
      <c r="K1279" s="1952"/>
      <c r="M1279" s="1885"/>
    </row>
    <row r="1280" spans="1:13">
      <c r="C1280" s="2147" t="s">
        <v>1972</v>
      </c>
      <c r="D1280" s="2147"/>
      <c r="E1280" s="2146"/>
      <c r="F1280" s="2146"/>
      <c r="M1280" s="1885"/>
    </row>
    <row r="1281" spans="1:13">
      <c r="A1281" s="1972"/>
      <c r="B1281" s="2047" t="s">
        <v>107</v>
      </c>
      <c r="C1281" s="2002" t="s">
        <v>1237</v>
      </c>
      <c r="D1281" s="1930">
        <v>6.4</v>
      </c>
      <c r="E1281" s="1909" t="s">
        <v>84</v>
      </c>
      <c r="F1281" s="1909">
        <v>2100</v>
      </c>
      <c r="G1281" s="1930">
        <v>250</v>
      </c>
      <c r="H1281" s="1930">
        <f>F1281*D1281</f>
        <v>13440</v>
      </c>
      <c r="I1281" s="1930">
        <f>G1281*D1281</f>
        <v>1600</v>
      </c>
      <c r="J1281" s="1930">
        <f>H1281+I1281</f>
        <v>15040</v>
      </c>
      <c r="K1281" s="2003"/>
      <c r="L1281" s="1875"/>
      <c r="M1281" s="1875"/>
    </row>
    <row r="1282" spans="1:13">
      <c r="A1282" s="1960"/>
      <c r="B1282" s="2059" t="s">
        <v>107</v>
      </c>
      <c r="C1282" s="2046" t="s">
        <v>955</v>
      </c>
      <c r="D1282" s="1950">
        <v>10</v>
      </c>
      <c r="E1282" s="1898" t="s">
        <v>109</v>
      </c>
      <c r="F1282" s="1898">
        <v>45</v>
      </c>
      <c r="G1282" s="1950">
        <v>7.5</v>
      </c>
      <c r="H1282" s="1950">
        <f>F1282*D1282</f>
        <v>450</v>
      </c>
      <c r="I1282" s="1950">
        <f>G1282*D1282</f>
        <v>75</v>
      </c>
      <c r="J1282" s="1950">
        <f>H1282+I1282</f>
        <v>525</v>
      </c>
      <c r="K1282" s="2031"/>
      <c r="L1282" s="1875"/>
      <c r="M1282" s="1875"/>
    </row>
    <row r="1283" spans="1:13" s="1875" customFormat="1">
      <c r="A1283" s="1972"/>
      <c r="B1283" s="2001" t="s">
        <v>107</v>
      </c>
      <c r="C1283" s="2002" t="s">
        <v>1060</v>
      </c>
      <c r="D1283" s="1930">
        <v>40</v>
      </c>
      <c r="E1283" s="1909" t="s">
        <v>27</v>
      </c>
      <c r="F1283" s="1975">
        <v>99.84</v>
      </c>
      <c r="G1283" s="1975">
        <v>0</v>
      </c>
      <c r="H1283" s="1930">
        <f>F1283*D1283</f>
        <v>3993.6000000000004</v>
      </c>
      <c r="I1283" s="1930">
        <f>G1283*D1283</f>
        <v>0</v>
      </c>
      <c r="J1283" s="1930">
        <f>H1283+I1283</f>
        <v>3993.6000000000004</v>
      </c>
      <c r="K1283" s="2003"/>
    </row>
    <row r="1284" spans="1:13" s="1875" customFormat="1">
      <c r="A1284" s="1903"/>
      <c r="B1284" s="1904" t="s">
        <v>954</v>
      </c>
      <c r="C1284" s="1905" t="s">
        <v>959</v>
      </c>
      <c r="D1284" s="1909"/>
      <c r="E1284" s="1910"/>
      <c r="F1284" s="1906"/>
      <c r="G1284" s="1906"/>
      <c r="H1284" s="1906"/>
      <c r="I1284" s="1906"/>
      <c r="J1284" s="1906"/>
      <c r="K1284" s="1907"/>
      <c r="L1284" s="1871"/>
      <c r="M1284" s="1902"/>
    </row>
    <row r="1285" spans="1:13" s="1875" customFormat="1">
      <c r="A1285" s="1903"/>
      <c r="B1285" s="1904" t="s">
        <v>107</v>
      </c>
      <c r="C1285" s="1993" t="s">
        <v>952</v>
      </c>
      <c r="D1285" s="1991">
        <v>14.3</v>
      </c>
      <c r="E1285" s="1903" t="s">
        <v>86</v>
      </c>
      <c r="F1285" s="1900">
        <v>119</v>
      </c>
      <c r="G1285" s="1900">
        <v>82</v>
      </c>
      <c r="H1285" s="1906">
        <f>+F1285*D1285</f>
        <v>1701.7</v>
      </c>
      <c r="I1285" s="1906">
        <f>+G1285*D1285</f>
        <v>1172.6000000000001</v>
      </c>
      <c r="J1285" s="1906">
        <f>+H1285+I1285</f>
        <v>2874.3</v>
      </c>
      <c r="K1285" s="1907"/>
      <c r="L1285" s="1871"/>
      <c r="M1285" s="1885" t="s">
        <v>1076</v>
      </c>
    </row>
    <row r="1286" spans="1:13">
      <c r="A1286" s="1903"/>
      <c r="B1286" s="1904" t="s">
        <v>107</v>
      </c>
      <c r="C1286" s="1993" t="s">
        <v>957</v>
      </c>
      <c r="D1286" s="1981">
        <v>24.2</v>
      </c>
      <c r="E1286" s="1994" t="s">
        <v>84</v>
      </c>
      <c r="F1286" s="1995">
        <v>200</v>
      </c>
      <c r="G1286" s="1996">
        <v>40</v>
      </c>
      <c r="H1286" s="1906">
        <f>+F1286*D1286</f>
        <v>4840</v>
      </c>
      <c r="I1286" s="1906">
        <f>+G1286*D1286</f>
        <v>968</v>
      </c>
      <c r="J1286" s="1906">
        <f>+H1286+I1286</f>
        <v>5808</v>
      </c>
      <c r="K1286" s="1907"/>
      <c r="M1286" s="1885" t="s">
        <v>1016</v>
      </c>
    </row>
    <row r="1287" spans="1:13">
      <c r="A1287" s="1972"/>
      <c r="B1287" s="2047" t="s">
        <v>107</v>
      </c>
      <c r="C1287" s="2002" t="s">
        <v>1085</v>
      </c>
      <c r="D1287" s="1930">
        <v>25.7</v>
      </c>
      <c r="E1287" s="1909" t="s">
        <v>87</v>
      </c>
      <c r="F1287" s="1909">
        <v>32.1</v>
      </c>
      <c r="G1287" s="1930">
        <v>10</v>
      </c>
      <c r="H1287" s="1930">
        <f>F1287*D1287</f>
        <v>824.97</v>
      </c>
      <c r="I1287" s="1930">
        <f>G1287*D1287</f>
        <v>257</v>
      </c>
      <c r="J1287" s="1930">
        <f>H1287+I1287</f>
        <v>1081.97</v>
      </c>
      <c r="K1287" s="2003"/>
      <c r="L1287" s="1875"/>
      <c r="M1287" s="1875"/>
    </row>
    <row r="1288" spans="1:13" s="1875" customFormat="1">
      <c r="A1288" s="2060"/>
      <c r="B1288" s="2386" t="s">
        <v>392</v>
      </c>
      <c r="C1288" s="2386"/>
      <c r="D1288" s="1909"/>
      <c r="E1288" s="1910"/>
      <c r="F1288" s="1906"/>
      <c r="G1288" s="1906"/>
      <c r="H1288" s="1906"/>
      <c r="I1288" s="1906"/>
      <c r="J1288" s="1906"/>
      <c r="K1288" s="1907"/>
      <c r="L1288" s="1871"/>
      <c r="M1288" s="1902"/>
    </row>
    <row r="1289" spans="1:13">
      <c r="A1289" s="1965"/>
      <c r="B1289" s="1997" t="s">
        <v>107</v>
      </c>
      <c r="C1289" s="1993" t="s">
        <v>1087</v>
      </c>
      <c r="D1289" s="1998">
        <v>259.3</v>
      </c>
      <c r="E1289" s="1999" t="s">
        <v>87</v>
      </c>
      <c r="F1289" s="1975">
        <v>28.9</v>
      </c>
      <c r="G1289" s="1975">
        <v>10</v>
      </c>
      <c r="H1289" s="1906">
        <f>+F1289*D1289</f>
        <v>7493.7699999999995</v>
      </c>
      <c r="I1289" s="1906">
        <f>+G1289*D1289</f>
        <v>2593</v>
      </c>
      <c r="J1289" s="1906">
        <f>+H1289+I1289</f>
        <v>10086.77</v>
      </c>
      <c r="K1289" s="1907"/>
      <c r="M1289" s="1885" t="s">
        <v>1021</v>
      </c>
    </row>
    <row r="1290" spans="1:13">
      <c r="A1290" s="1965"/>
      <c r="B1290" s="1997" t="s">
        <v>107</v>
      </c>
      <c r="C1290" s="1993" t="s">
        <v>1082</v>
      </c>
      <c r="D1290" s="1998">
        <v>816.9</v>
      </c>
      <c r="E1290" s="1999" t="s">
        <v>87</v>
      </c>
      <c r="F1290" s="1975">
        <v>28.9</v>
      </c>
      <c r="G1290" s="1975">
        <v>10</v>
      </c>
      <c r="H1290" s="1906">
        <f>+F1290*D1290</f>
        <v>23608.41</v>
      </c>
      <c r="I1290" s="1906">
        <f>+G1290*D1290</f>
        <v>8169</v>
      </c>
      <c r="J1290" s="1906">
        <f>+H1290+I1290</f>
        <v>31777.41</v>
      </c>
      <c r="K1290" s="1907"/>
      <c r="M1290" s="1885" t="s">
        <v>1021</v>
      </c>
    </row>
    <row r="1291" spans="1:13">
      <c r="A1291" s="1965"/>
      <c r="B1291" s="1997" t="s">
        <v>107</v>
      </c>
      <c r="C1291" s="1993" t="s">
        <v>1083</v>
      </c>
      <c r="D1291" s="1998">
        <v>151.4</v>
      </c>
      <c r="E1291" s="1999" t="s">
        <v>87</v>
      </c>
      <c r="F1291" s="1975">
        <v>31</v>
      </c>
      <c r="G1291" s="1975">
        <v>10</v>
      </c>
      <c r="H1291" s="1906">
        <f>+F1291*D1291</f>
        <v>4693.4000000000005</v>
      </c>
      <c r="I1291" s="1906">
        <f>+G1291*D1291</f>
        <v>1514</v>
      </c>
      <c r="J1291" s="1906">
        <f>+H1291+I1291</f>
        <v>6207.4000000000005</v>
      </c>
      <c r="K1291" s="1907"/>
      <c r="M1291" s="1885" t="s">
        <v>1016</v>
      </c>
    </row>
    <row r="1292" spans="1:13">
      <c r="A1292" s="1965"/>
      <c r="B1292" s="1997" t="s">
        <v>107</v>
      </c>
      <c r="C1292" s="1993" t="s">
        <v>956</v>
      </c>
      <c r="D1292" s="1998">
        <v>41</v>
      </c>
      <c r="E1292" s="1999" t="s">
        <v>109</v>
      </c>
      <c r="F1292" s="1975">
        <v>108</v>
      </c>
      <c r="G1292" s="1975">
        <v>18</v>
      </c>
      <c r="H1292" s="1906">
        <f>+F1292*D1292</f>
        <v>4428</v>
      </c>
      <c r="I1292" s="1906">
        <f>+G1292*D1292</f>
        <v>738</v>
      </c>
      <c r="J1292" s="1906">
        <f>+H1292+I1292</f>
        <v>5166</v>
      </c>
      <c r="K1292" s="1907"/>
      <c r="M1292" s="1885" t="s">
        <v>1021</v>
      </c>
    </row>
    <row r="1293" spans="1:13">
      <c r="A1293" s="2000"/>
      <c r="B1293" s="1997" t="s">
        <v>107</v>
      </c>
      <c r="C1293" s="1993" t="s">
        <v>1059</v>
      </c>
      <c r="D1293" s="1998">
        <f>D1292*4</f>
        <v>164</v>
      </c>
      <c r="E1293" s="1999" t="s">
        <v>27</v>
      </c>
      <c r="F1293" s="1975">
        <v>131.32</v>
      </c>
      <c r="G1293" s="1975">
        <v>0</v>
      </c>
      <c r="H1293" s="1906">
        <f>+F1293*D1293</f>
        <v>21536.48</v>
      </c>
      <c r="I1293" s="1906">
        <f>+G1293*D1293</f>
        <v>0</v>
      </c>
      <c r="J1293" s="1906">
        <f>+H1293+I1293</f>
        <v>21536.48</v>
      </c>
      <c r="K1293" s="1907"/>
      <c r="M1293" s="1885" t="s">
        <v>654</v>
      </c>
    </row>
    <row r="1294" spans="1:13">
      <c r="A1294" s="1903"/>
      <c r="B1294" s="2386" t="s">
        <v>384</v>
      </c>
      <c r="C1294" s="2386"/>
      <c r="D1294" s="1909"/>
      <c r="E1294" s="1910"/>
      <c r="F1294" s="1906"/>
      <c r="G1294" s="1906"/>
      <c r="H1294" s="1906"/>
      <c r="I1294" s="1906"/>
      <c r="J1294" s="1906"/>
      <c r="K1294" s="1907"/>
    </row>
    <row r="1295" spans="1:13">
      <c r="A1295" s="1903"/>
      <c r="B1295" s="1997" t="s">
        <v>107</v>
      </c>
      <c r="C1295" s="1980" t="s">
        <v>1026</v>
      </c>
      <c r="D1295" s="1998">
        <v>848</v>
      </c>
      <c r="E1295" s="1999" t="s">
        <v>1027</v>
      </c>
      <c r="F1295" s="1975">
        <v>48</v>
      </c>
      <c r="G1295" s="1975">
        <v>19</v>
      </c>
      <c r="H1295" s="1906">
        <f>+F1295*D1295</f>
        <v>40704</v>
      </c>
      <c r="I1295" s="1906">
        <f>+G1295*D1295</f>
        <v>16112</v>
      </c>
      <c r="J1295" s="1906">
        <f>+H1295+I1295</f>
        <v>56816</v>
      </c>
      <c r="K1295" s="1907"/>
      <c r="L1295" s="1907" t="s">
        <v>1967</v>
      </c>
      <c r="M1295" s="1885" t="s">
        <v>622</v>
      </c>
    </row>
    <row r="1296" spans="1:13">
      <c r="A1296" s="1903"/>
      <c r="B1296" s="1997" t="s">
        <v>107</v>
      </c>
      <c r="C1296" s="1980" t="s">
        <v>1807</v>
      </c>
      <c r="D1296" s="1998">
        <v>64</v>
      </c>
      <c r="E1296" s="1999" t="s">
        <v>109</v>
      </c>
      <c r="F1296" s="1975">
        <v>7500</v>
      </c>
      <c r="G1296" s="1975">
        <v>500</v>
      </c>
      <c r="H1296" s="1906">
        <f>+F1296*D1296</f>
        <v>480000</v>
      </c>
      <c r="I1296" s="1906">
        <f>+G1296*D1296</f>
        <v>32000</v>
      </c>
      <c r="J1296" s="1906">
        <f>+H1296+I1296</f>
        <v>512000</v>
      </c>
      <c r="K1296" s="1907"/>
      <c r="L1296" s="1907" t="s">
        <v>1900</v>
      </c>
      <c r="M1296" s="1885" t="s">
        <v>622</v>
      </c>
    </row>
    <row r="1297" spans="1:14">
      <c r="A1297" s="1897"/>
      <c r="B1297" s="2061" t="s">
        <v>107</v>
      </c>
      <c r="C1297" s="2009" t="s">
        <v>1810</v>
      </c>
      <c r="D1297" s="2062">
        <v>56</v>
      </c>
      <c r="E1297" s="2063" t="s">
        <v>962</v>
      </c>
      <c r="F1297" s="1975">
        <v>3428.58</v>
      </c>
      <c r="G1297" s="1975">
        <f>F1297*0.3</f>
        <v>1028.5739999999998</v>
      </c>
      <c r="H1297" s="1900">
        <f>+F1297*D1297</f>
        <v>192000.47999999998</v>
      </c>
      <c r="I1297" s="1900">
        <f>+G1297*D1297</f>
        <v>57600.143999999993</v>
      </c>
      <c r="J1297" s="1900">
        <f>+H1297+I1297</f>
        <v>249600.62399999998</v>
      </c>
      <c r="K1297" s="1907"/>
      <c r="L1297" s="1901" t="s">
        <v>1910</v>
      </c>
      <c r="M1297" s="1902" t="s">
        <v>622</v>
      </c>
    </row>
    <row r="1298" spans="1:14">
      <c r="A1298" s="2032"/>
      <c r="B1298" s="1878"/>
      <c r="C1298" s="2033"/>
      <c r="D1298" s="1880"/>
      <c r="E1298" s="1881"/>
      <c r="F1298" s="1882"/>
      <c r="G1298" s="1882"/>
      <c r="H1298" s="2017"/>
      <c r="I1298" s="2017"/>
      <c r="J1298" s="2017"/>
      <c r="K1298" s="1884"/>
    </row>
    <row r="1299" spans="1:14" ht="24.75" thickBot="1">
      <c r="A1299" s="2034"/>
      <c r="B1299" s="2035"/>
      <c r="C1299" s="2053" t="str">
        <f>"รวมราคา "&amp;B1119</f>
        <v>รวมราคา งานสถาปัตยกรรม ชั้น 7</v>
      </c>
      <c r="D1299" s="1889"/>
      <c r="E1299" s="1890"/>
      <c r="F1299" s="1891"/>
      <c r="G1299" s="1891"/>
      <c r="H1299" s="1891">
        <f>SUM(H1120:H1297)</f>
        <v>4836664.82</v>
      </c>
      <c r="I1299" s="1891">
        <f>SUM(I1120:I1297)</f>
        <v>1470382.5440000002</v>
      </c>
      <c r="J1299" s="1891">
        <f>SUM(J1120:J1297)</f>
        <v>6307047.364000001</v>
      </c>
      <c r="K1299" s="1891"/>
      <c r="L1299" s="1870"/>
      <c r="M1299" s="1892"/>
    </row>
    <row r="1300" spans="1:14" ht="24.75" thickTop="1">
      <c r="A1300" s="2037">
        <v>2.8</v>
      </c>
      <c r="B1300" s="2387" t="s">
        <v>729</v>
      </c>
      <c r="C1300" s="2387"/>
      <c r="D1300" s="2038"/>
      <c r="E1300" s="2037"/>
      <c r="F1300" s="2039"/>
      <c r="G1300" s="2039"/>
      <c r="H1300" s="2039"/>
      <c r="I1300" s="2039"/>
      <c r="J1300" s="2039"/>
      <c r="K1300" s="2039"/>
      <c r="L1300" s="2175"/>
      <c r="M1300" s="1892"/>
    </row>
    <row r="1301" spans="1:14" s="1860" customFormat="1">
      <c r="A1301" s="1897"/>
      <c r="B1301" s="2388" t="s">
        <v>201</v>
      </c>
      <c r="C1301" s="2388"/>
      <c r="D1301" s="1898"/>
      <c r="E1301" s="1899"/>
      <c r="F1301" s="1900"/>
      <c r="G1301" s="1900"/>
      <c r="H1301" s="1900"/>
      <c r="I1301" s="1900"/>
      <c r="J1301" s="1900"/>
      <c r="K1301" s="1901"/>
      <c r="L1301" s="1871"/>
      <c r="M1301" s="1902"/>
    </row>
    <row r="1302" spans="1:14" s="1860" customFormat="1">
      <c r="A1302" s="1903"/>
      <c r="B1302" s="1904" t="s">
        <v>3</v>
      </c>
      <c r="C1302" s="1905" t="s">
        <v>723</v>
      </c>
      <c r="D1302" s="1898">
        <v>216.7</v>
      </c>
      <c r="E1302" s="1899" t="s">
        <v>86</v>
      </c>
      <c r="F1302" s="1900">
        <v>606</v>
      </c>
      <c r="G1302" s="1900">
        <v>222</v>
      </c>
      <c r="H1302" s="1906">
        <f t="shared" ref="H1302:H1317" si="185">+F1302*D1302</f>
        <v>131320.19999999998</v>
      </c>
      <c r="I1302" s="1906">
        <f t="shared" ref="I1302:I1317" si="186">+G1302*D1302</f>
        <v>48107.399999999994</v>
      </c>
      <c r="J1302" s="1906">
        <f t="shared" ref="J1302:J1317" si="187">+H1302+I1302</f>
        <v>179427.59999999998</v>
      </c>
      <c r="K1302" s="1907"/>
      <c r="L1302" s="1871"/>
      <c r="M1302" s="1885" t="s">
        <v>1879</v>
      </c>
    </row>
    <row r="1303" spans="1:14">
      <c r="A1303" s="1903"/>
      <c r="B1303" s="1904" t="s">
        <v>137</v>
      </c>
      <c r="C1303" s="1905" t="s">
        <v>724</v>
      </c>
      <c r="D1303" s="1898">
        <v>58.5</v>
      </c>
      <c r="E1303" s="1899" t="s">
        <v>86</v>
      </c>
      <c r="F1303" s="1900">
        <v>606</v>
      </c>
      <c r="G1303" s="1900">
        <v>222</v>
      </c>
      <c r="H1303" s="1906">
        <f t="shared" si="185"/>
        <v>35451</v>
      </c>
      <c r="I1303" s="1906">
        <f t="shared" si="186"/>
        <v>12987</v>
      </c>
      <c r="J1303" s="1906">
        <f t="shared" si="187"/>
        <v>48438</v>
      </c>
      <c r="K1303" s="1907"/>
      <c r="M1303" s="1885" t="s">
        <v>1879</v>
      </c>
      <c r="N1303" s="1861"/>
    </row>
    <row r="1304" spans="1:14" s="1862" customFormat="1">
      <c r="A1304" s="1903"/>
      <c r="B1304" s="1904" t="s">
        <v>4</v>
      </c>
      <c r="C1304" s="1905" t="s">
        <v>149</v>
      </c>
      <c r="D1304" s="1898">
        <v>41.9</v>
      </c>
      <c r="E1304" s="1899" t="s">
        <v>86</v>
      </c>
      <c r="F1304" s="1900">
        <v>113</v>
      </c>
      <c r="G1304" s="1900">
        <v>82</v>
      </c>
      <c r="H1304" s="1906">
        <f t="shared" si="185"/>
        <v>4734.7</v>
      </c>
      <c r="I1304" s="1906">
        <f t="shared" si="186"/>
        <v>3435.7999999999997</v>
      </c>
      <c r="J1304" s="1906">
        <f t="shared" si="187"/>
        <v>8170.5</v>
      </c>
      <c r="K1304" s="1907"/>
      <c r="L1304" s="1871"/>
      <c r="M1304" s="1885" t="s">
        <v>1879</v>
      </c>
    </row>
    <row r="1305" spans="1:14" s="1862" customFormat="1">
      <c r="A1305" s="1903"/>
      <c r="B1305" s="1904" t="s">
        <v>368</v>
      </c>
      <c r="C1305" s="1905" t="s">
        <v>939</v>
      </c>
      <c r="D1305" s="1898">
        <v>559.4</v>
      </c>
      <c r="E1305" s="1899" t="s">
        <v>86</v>
      </c>
      <c r="F1305" s="1900">
        <v>465</v>
      </c>
      <c r="G1305" s="1900">
        <v>100</v>
      </c>
      <c r="H1305" s="1906">
        <f t="shared" si="185"/>
        <v>260121</v>
      </c>
      <c r="I1305" s="1906">
        <f t="shared" si="186"/>
        <v>55940</v>
      </c>
      <c r="J1305" s="1906">
        <f t="shared" si="187"/>
        <v>316061</v>
      </c>
      <c r="K1305" s="1907"/>
      <c r="L1305" s="1907" t="s">
        <v>1925</v>
      </c>
      <c r="M1305" s="1885" t="s">
        <v>1927</v>
      </c>
    </row>
    <row r="1306" spans="1:14" s="1862" customFormat="1">
      <c r="A1306" s="1903"/>
      <c r="B1306" s="1904"/>
      <c r="C1306" s="1905" t="s">
        <v>1025</v>
      </c>
      <c r="D1306" s="1898">
        <v>232.9</v>
      </c>
      <c r="E1306" s="1899" t="s">
        <v>84</v>
      </c>
      <c r="F1306" s="1900">
        <v>95</v>
      </c>
      <c r="G1306" s="1900">
        <v>40</v>
      </c>
      <c r="H1306" s="1906">
        <f t="shared" si="185"/>
        <v>22125.5</v>
      </c>
      <c r="I1306" s="1906">
        <f t="shared" si="186"/>
        <v>9316</v>
      </c>
      <c r="J1306" s="1906">
        <f t="shared" si="187"/>
        <v>31441.5</v>
      </c>
      <c r="K1306" s="1907"/>
      <c r="L1306" s="1907"/>
      <c r="M1306" s="1885" t="s">
        <v>1928</v>
      </c>
    </row>
    <row r="1307" spans="1:14" s="1862" customFormat="1">
      <c r="A1307" s="1863"/>
      <c r="B1307" s="1864"/>
      <c r="C1307" s="1865"/>
      <c r="D1307" s="1866"/>
      <c r="E1307" s="1867"/>
      <c r="F1307" s="1868"/>
      <c r="G1307" s="1868"/>
      <c r="H1307" s="1868"/>
      <c r="I1307" s="1868"/>
      <c r="J1307" s="1868"/>
      <c r="K1307" s="1869"/>
      <c r="L1307" s="1907"/>
      <c r="M1307" s="1885"/>
    </row>
    <row r="1308" spans="1:14" s="1862" customFormat="1">
      <c r="A1308" s="1840"/>
      <c r="B1308" s="1860"/>
      <c r="C1308" s="2133" t="s">
        <v>133</v>
      </c>
      <c r="D1308" s="2134"/>
      <c r="E1308" s="2135"/>
      <c r="F1308" s="2136"/>
      <c r="G1308" s="2137"/>
      <c r="H1308" s="2137"/>
      <c r="I1308" s="2137"/>
      <c r="J1308" s="2137"/>
      <c r="K1308" s="2137"/>
      <c r="L1308" s="1907"/>
      <c r="M1308" s="1885"/>
    </row>
    <row r="1309" spans="1:14" s="1862" customFormat="1">
      <c r="A1309" s="1840"/>
      <c r="B1309" s="2138"/>
      <c r="C1309" s="2139" t="s">
        <v>1769</v>
      </c>
      <c r="D1309" s="2140"/>
      <c r="E1309" s="1861"/>
      <c r="F1309" s="2135"/>
      <c r="G1309" s="2139" t="s">
        <v>134</v>
      </c>
      <c r="H1309" s="2138"/>
      <c r="I1309" s="2138"/>
      <c r="J1309" s="2138"/>
      <c r="K1309" s="2138"/>
      <c r="L1309" s="1907"/>
      <c r="M1309" s="1885"/>
    </row>
    <row r="1310" spans="1:14" s="1862" customFormat="1">
      <c r="A1310" s="1840"/>
      <c r="B1310" s="1871"/>
      <c r="C1310" s="2141" t="s">
        <v>1970</v>
      </c>
      <c r="D1310" s="2140"/>
      <c r="E1310" s="2142"/>
      <c r="F1310" s="2143"/>
      <c r="G1310" s="2144" t="s">
        <v>1971</v>
      </c>
      <c r="H1310" s="2145"/>
      <c r="I1310" s="2145"/>
      <c r="J1310" s="2145"/>
      <c r="K1310" s="2145"/>
      <c r="L1310" s="1907"/>
      <c r="M1310" s="1885"/>
    </row>
    <row r="1311" spans="1:14" s="1862" customFormat="1">
      <c r="A1311" s="1837"/>
      <c r="B1311" s="2138"/>
      <c r="C1311" s="2139" t="s">
        <v>2031</v>
      </c>
      <c r="D1311" s="2140"/>
      <c r="E1311" s="1837"/>
      <c r="F1311" s="2146"/>
      <c r="G1311" s="2139" t="s">
        <v>2031</v>
      </c>
      <c r="H1311" s="1837"/>
      <c r="I1311" s="1837"/>
      <c r="J1311" s="1837"/>
      <c r="K1311" s="1837"/>
      <c r="L1311" s="1907"/>
      <c r="M1311" s="1885"/>
    </row>
    <row r="1312" spans="1:14" s="1862" customFormat="1">
      <c r="A1312" s="1952"/>
      <c r="B1312" s="1871"/>
      <c r="C1312" s="2147" t="s">
        <v>1984</v>
      </c>
      <c r="D1312" s="2140"/>
      <c r="E1312" s="1837"/>
      <c r="F1312" s="2135"/>
      <c r="G1312" s="2147" t="s">
        <v>1985</v>
      </c>
      <c r="H1312" s="1952"/>
      <c r="I1312" s="1952"/>
      <c r="J1312" s="1952"/>
      <c r="K1312" s="1952"/>
      <c r="L1312" s="1907"/>
      <c r="M1312" s="1885"/>
    </row>
    <row r="1313" spans="1:14" s="1862" customFormat="1">
      <c r="A1313" s="1952"/>
      <c r="B1313" s="1952"/>
      <c r="C1313" s="2139" t="s">
        <v>670</v>
      </c>
      <c r="D1313" s="2139"/>
      <c r="E1313" s="2143"/>
      <c r="F1313" s="2143"/>
      <c r="G1313" s="1952"/>
      <c r="H1313" s="1952"/>
      <c r="I1313" s="1952"/>
      <c r="J1313" s="1952"/>
      <c r="K1313" s="1952"/>
      <c r="L1313" s="1907"/>
      <c r="M1313" s="1885"/>
    </row>
    <row r="1314" spans="1:14" s="1862" customFormat="1">
      <c r="A1314" s="1840"/>
      <c r="B1314" s="1840"/>
      <c r="C1314" s="2147" t="s">
        <v>1972</v>
      </c>
      <c r="D1314" s="2147"/>
      <c r="E1314" s="2146"/>
      <c r="F1314" s="2146"/>
      <c r="G1314" s="1870"/>
      <c r="H1314" s="1870"/>
      <c r="I1314" s="1870"/>
      <c r="J1314" s="1870"/>
      <c r="K1314" s="1871"/>
      <c r="L1314" s="1907"/>
      <c r="M1314" s="1885"/>
    </row>
    <row r="1315" spans="1:14">
      <c r="A1315" s="1903"/>
      <c r="B1315" s="1904" t="s">
        <v>108</v>
      </c>
      <c r="C1315" s="1905" t="s">
        <v>725</v>
      </c>
      <c r="D1315" s="1898">
        <v>60</v>
      </c>
      <c r="E1315" s="1899" t="s">
        <v>86</v>
      </c>
      <c r="F1315" s="1900">
        <v>123</v>
      </c>
      <c r="G1315" s="1900">
        <v>82</v>
      </c>
      <c r="H1315" s="1906">
        <f t="shared" si="185"/>
        <v>7380</v>
      </c>
      <c r="I1315" s="1906">
        <f t="shared" si="186"/>
        <v>4920</v>
      </c>
      <c r="J1315" s="1906">
        <f t="shared" si="187"/>
        <v>12300</v>
      </c>
      <c r="K1315" s="1907"/>
      <c r="L1315" s="1907"/>
      <c r="M1315" s="1885" t="s">
        <v>1875</v>
      </c>
      <c r="N1315" s="1861"/>
    </row>
    <row r="1316" spans="1:14">
      <c r="A1316" s="1903"/>
      <c r="B1316" s="1904"/>
      <c r="C1316" s="1905" t="s">
        <v>727</v>
      </c>
      <c r="D1316" s="1898">
        <f>D1302+D1303</f>
        <v>275.2</v>
      </c>
      <c r="E1316" s="1899" t="s">
        <v>86</v>
      </c>
      <c r="F1316" s="1900">
        <v>109</v>
      </c>
      <c r="G1316" s="1900">
        <v>64</v>
      </c>
      <c r="H1316" s="1906">
        <f t="shared" si="185"/>
        <v>29996.799999999999</v>
      </c>
      <c r="I1316" s="1906">
        <f t="shared" si="186"/>
        <v>17612.8</v>
      </c>
      <c r="J1316" s="1906">
        <f t="shared" si="187"/>
        <v>47609.599999999999</v>
      </c>
      <c r="K1316" s="1907"/>
      <c r="L1316" s="1907"/>
      <c r="M1316" s="1885" t="s">
        <v>1878</v>
      </c>
      <c r="N1316" s="1861"/>
    </row>
    <row r="1317" spans="1:14" s="1862" customFormat="1">
      <c r="A1317" s="1903"/>
      <c r="B1317" s="1904"/>
      <c r="C1317" s="1905" t="s">
        <v>728</v>
      </c>
      <c r="D1317" s="1898">
        <f>D1305</f>
        <v>559.4</v>
      </c>
      <c r="E1317" s="1899" t="s">
        <v>86</v>
      </c>
      <c r="F1317" s="1900">
        <v>175</v>
      </c>
      <c r="G1317" s="1900">
        <v>40</v>
      </c>
      <c r="H1317" s="1906">
        <f t="shared" si="185"/>
        <v>97895</v>
      </c>
      <c r="I1317" s="1906">
        <f t="shared" si="186"/>
        <v>22376</v>
      </c>
      <c r="J1317" s="1906">
        <f t="shared" si="187"/>
        <v>120271</v>
      </c>
      <c r="K1317" s="1907"/>
      <c r="L1317" s="1907"/>
      <c r="M1317" s="1885" t="s">
        <v>1076</v>
      </c>
    </row>
    <row r="1318" spans="1:14">
      <c r="A1318" s="1903"/>
      <c r="B1318" s="2386" t="s">
        <v>366</v>
      </c>
      <c r="C1318" s="2386"/>
      <c r="D1318" s="1898"/>
      <c r="E1318" s="1899"/>
      <c r="F1318" s="1900"/>
      <c r="G1318" s="1900"/>
      <c r="H1318" s="1906"/>
      <c r="I1318" s="1906"/>
      <c r="J1318" s="1906"/>
      <c r="K1318" s="1907"/>
      <c r="L1318" s="1907"/>
    </row>
    <row r="1319" spans="1:14">
      <c r="A1319" s="1903"/>
      <c r="B1319" s="1904" t="s">
        <v>733</v>
      </c>
      <c r="C1319" s="1905" t="s">
        <v>1241</v>
      </c>
      <c r="D1319" s="1898">
        <v>721.2</v>
      </c>
      <c r="E1319" s="1899" t="s">
        <v>86</v>
      </c>
      <c r="F1319" s="1900">
        <v>273</v>
      </c>
      <c r="G1319" s="1900">
        <v>53</v>
      </c>
      <c r="H1319" s="1906">
        <f>+F1319*D1319</f>
        <v>196887.6</v>
      </c>
      <c r="I1319" s="1906">
        <f>+G1319*D1319</f>
        <v>38223.600000000006</v>
      </c>
      <c r="J1319" s="1906">
        <f>+H1319+I1319</f>
        <v>235111.2</v>
      </c>
      <c r="K1319" s="1907"/>
      <c r="L1319" s="1907"/>
      <c r="M1319" s="1885" t="s">
        <v>1879</v>
      </c>
      <c r="N1319" s="1861"/>
    </row>
    <row r="1320" spans="1:14">
      <c r="A1320" s="1903"/>
      <c r="B1320" s="1904" t="s">
        <v>734</v>
      </c>
      <c r="C1320" s="1905" t="s">
        <v>653</v>
      </c>
      <c r="D1320" s="1898">
        <v>9</v>
      </c>
      <c r="E1320" s="1899" t="s">
        <v>5</v>
      </c>
      <c r="F1320" s="1900">
        <v>14500</v>
      </c>
      <c r="G1320" s="1900">
        <v>800</v>
      </c>
      <c r="H1320" s="1906">
        <f>+F1320*D1320</f>
        <v>130500</v>
      </c>
      <c r="I1320" s="1906">
        <f>+G1320*D1320</f>
        <v>7200</v>
      </c>
      <c r="J1320" s="1906">
        <f>+H1320+I1320</f>
        <v>137700</v>
      </c>
      <c r="K1320" s="1907"/>
      <c r="L1320" s="1908" t="s">
        <v>1885</v>
      </c>
      <c r="M1320" s="1885" t="s">
        <v>622</v>
      </c>
    </row>
    <row r="1321" spans="1:14">
      <c r="A1321" s="1903"/>
      <c r="B1321" s="1904" t="s">
        <v>735</v>
      </c>
      <c r="C1321" s="1905" t="s">
        <v>1768</v>
      </c>
      <c r="D1321" s="1898">
        <v>152.1</v>
      </c>
      <c r="E1321" s="1899" t="s">
        <v>86</v>
      </c>
      <c r="F1321" s="1900">
        <v>754</v>
      </c>
      <c r="G1321" s="1900">
        <v>75</v>
      </c>
      <c r="H1321" s="1906">
        <f>+F1321*D1321</f>
        <v>114683.4</v>
      </c>
      <c r="I1321" s="1906">
        <f>+G1321*D1321</f>
        <v>11407.5</v>
      </c>
      <c r="J1321" s="1906">
        <f>+H1321+I1321</f>
        <v>126090.9</v>
      </c>
      <c r="K1321" s="1907"/>
      <c r="L1321" s="1907"/>
      <c r="M1321" s="1885" t="s">
        <v>1879</v>
      </c>
      <c r="N1321" s="1861"/>
    </row>
    <row r="1322" spans="1:14">
      <c r="A1322" s="1897"/>
      <c r="B1322" s="2388" t="s">
        <v>365</v>
      </c>
      <c r="C1322" s="2388"/>
      <c r="D1322" s="1898"/>
      <c r="E1322" s="1899"/>
      <c r="F1322" s="1900"/>
      <c r="G1322" s="1900"/>
      <c r="H1322" s="1900"/>
      <c r="I1322" s="1900"/>
      <c r="J1322" s="1900"/>
      <c r="K1322" s="1907"/>
      <c r="L1322" s="1901"/>
    </row>
    <row r="1323" spans="1:14" s="1862" customFormat="1" ht="48">
      <c r="A1323" s="1911"/>
      <c r="B1323" s="1912">
        <v>1</v>
      </c>
      <c r="C1323" s="1913" t="s">
        <v>736</v>
      </c>
      <c r="D1323" s="1920">
        <v>484.5</v>
      </c>
      <c r="E1323" s="1921" t="s">
        <v>86</v>
      </c>
      <c r="F1323" s="1922">
        <v>165</v>
      </c>
      <c r="G1323" s="1922">
        <v>240</v>
      </c>
      <c r="H1323" s="1916">
        <f t="shared" ref="H1323:H1335" si="188">+F1323*D1323</f>
        <v>79942.5</v>
      </c>
      <c r="I1323" s="1916">
        <f t="shared" ref="I1323:I1335" si="189">+G1323*D1323</f>
        <v>116280</v>
      </c>
      <c r="J1323" s="1916">
        <f t="shared" ref="J1323:J1335" si="190">+H1323+I1323</f>
        <v>196222.5</v>
      </c>
      <c r="K1323" s="1917"/>
      <c r="L1323" s="1917"/>
      <c r="M1323" s="1918" t="s">
        <v>1076</v>
      </c>
    </row>
    <row r="1324" spans="1:14" s="1862" customFormat="1">
      <c r="A1324" s="1911"/>
      <c r="B1324" s="1912">
        <v>2</v>
      </c>
      <c r="C1324" s="1913" t="s">
        <v>738</v>
      </c>
      <c r="D1324" s="1920">
        <v>73</v>
      </c>
      <c r="E1324" s="1921" t="s">
        <v>86</v>
      </c>
      <c r="F1324" s="1922">
        <v>155</v>
      </c>
      <c r="G1324" s="1922">
        <v>155</v>
      </c>
      <c r="H1324" s="1916">
        <f t="shared" si="188"/>
        <v>11315</v>
      </c>
      <c r="I1324" s="1916">
        <f t="shared" si="189"/>
        <v>11315</v>
      </c>
      <c r="J1324" s="1916">
        <f t="shared" si="190"/>
        <v>22630</v>
      </c>
      <c r="K1324" s="1917"/>
      <c r="L1324" s="1917"/>
      <c r="M1324" s="1918" t="s">
        <v>1076</v>
      </c>
    </row>
    <row r="1325" spans="1:14" s="1862" customFormat="1">
      <c r="A1325" s="1911"/>
      <c r="B1325" s="1912">
        <v>3</v>
      </c>
      <c r="C1325" s="1913" t="s">
        <v>737</v>
      </c>
      <c r="D1325" s="1920">
        <v>14.1</v>
      </c>
      <c r="E1325" s="1921" t="s">
        <v>86</v>
      </c>
      <c r="F1325" s="1922">
        <v>135</v>
      </c>
      <c r="G1325" s="1922">
        <v>155</v>
      </c>
      <c r="H1325" s="1916">
        <f t="shared" si="188"/>
        <v>1903.5</v>
      </c>
      <c r="I1325" s="1916">
        <f t="shared" si="189"/>
        <v>2185.5</v>
      </c>
      <c r="J1325" s="1916">
        <f t="shared" si="190"/>
        <v>4089</v>
      </c>
      <c r="K1325" s="1917"/>
      <c r="L1325" s="1917"/>
      <c r="M1325" s="1918" t="s">
        <v>1076</v>
      </c>
    </row>
    <row r="1326" spans="1:14" s="1862" customFormat="1" ht="48">
      <c r="A1326" s="1911"/>
      <c r="B1326" s="1912">
        <v>4</v>
      </c>
      <c r="C1326" s="1913" t="s">
        <v>1767</v>
      </c>
      <c r="D1326" s="1920">
        <v>162.6</v>
      </c>
      <c r="E1326" s="1921" t="s">
        <v>86</v>
      </c>
      <c r="F1326" s="1922">
        <v>540</v>
      </c>
      <c r="G1326" s="1922">
        <v>271</v>
      </c>
      <c r="H1326" s="1916">
        <f t="shared" si="188"/>
        <v>87804</v>
      </c>
      <c r="I1326" s="1916">
        <f t="shared" si="189"/>
        <v>44064.6</v>
      </c>
      <c r="J1326" s="1916">
        <f t="shared" si="190"/>
        <v>131868.6</v>
      </c>
      <c r="K1326" s="1917"/>
      <c r="L1326" s="1917" t="s">
        <v>1939</v>
      </c>
      <c r="M1326" s="1918" t="s">
        <v>1076</v>
      </c>
    </row>
    <row r="1327" spans="1:14" s="1862" customFormat="1" ht="48">
      <c r="A1327" s="1911"/>
      <c r="B1327" s="1912">
        <v>5</v>
      </c>
      <c r="C1327" s="1913" t="s">
        <v>739</v>
      </c>
      <c r="D1327" s="1920">
        <v>228.8</v>
      </c>
      <c r="E1327" s="1921" t="s">
        <v>86</v>
      </c>
      <c r="F1327" s="1922">
        <v>165</v>
      </c>
      <c r="G1327" s="1922">
        <v>240</v>
      </c>
      <c r="H1327" s="1916">
        <f t="shared" si="188"/>
        <v>37752</v>
      </c>
      <c r="I1327" s="1916">
        <f t="shared" si="189"/>
        <v>54912</v>
      </c>
      <c r="J1327" s="1916">
        <f t="shared" si="190"/>
        <v>92664</v>
      </c>
      <c r="K1327" s="1917"/>
      <c r="L1327" s="1917"/>
      <c r="M1327" s="1918" t="s">
        <v>1076</v>
      </c>
    </row>
    <row r="1328" spans="1:14" s="1862" customFormat="1" ht="48">
      <c r="A1328" s="1911"/>
      <c r="B1328" s="1912">
        <v>6</v>
      </c>
      <c r="C1328" s="1913" t="s">
        <v>740</v>
      </c>
      <c r="D1328" s="1920">
        <v>75.599999999999994</v>
      </c>
      <c r="E1328" s="1921" t="s">
        <v>86</v>
      </c>
      <c r="F1328" s="1922">
        <v>285</v>
      </c>
      <c r="G1328" s="1922">
        <v>240</v>
      </c>
      <c r="H1328" s="1916">
        <f t="shared" si="188"/>
        <v>21546</v>
      </c>
      <c r="I1328" s="1916">
        <f t="shared" si="189"/>
        <v>18144</v>
      </c>
      <c r="J1328" s="1916">
        <f t="shared" si="190"/>
        <v>39690</v>
      </c>
      <c r="K1328" s="1917"/>
      <c r="L1328" s="1917"/>
      <c r="M1328" s="1918" t="s">
        <v>1076</v>
      </c>
    </row>
    <row r="1329" spans="1:14" s="1862" customFormat="1">
      <c r="A1329" s="1903"/>
      <c r="B1329" s="1904">
        <v>7</v>
      </c>
      <c r="C1329" s="1905" t="s">
        <v>372</v>
      </c>
      <c r="D1329" s="1898">
        <v>17.7</v>
      </c>
      <c r="E1329" s="1899" t="s">
        <v>86</v>
      </c>
      <c r="F1329" s="1900">
        <v>151</v>
      </c>
      <c r="G1329" s="1900">
        <v>92</v>
      </c>
      <c r="H1329" s="1906">
        <f t="shared" si="188"/>
        <v>2672.7</v>
      </c>
      <c r="I1329" s="1906">
        <f t="shared" si="189"/>
        <v>1628.3999999999999</v>
      </c>
      <c r="J1329" s="1906">
        <f t="shared" si="190"/>
        <v>4301.0999999999995</v>
      </c>
      <c r="K1329" s="1907"/>
      <c r="L1329" s="1907"/>
      <c r="M1329" s="1885" t="s">
        <v>1879</v>
      </c>
    </row>
    <row r="1330" spans="1:14" s="1862" customFormat="1">
      <c r="A1330" s="1903"/>
      <c r="B1330" s="1904">
        <v>10</v>
      </c>
      <c r="C1330" s="1905" t="s">
        <v>1748</v>
      </c>
      <c r="D1330" s="1898">
        <v>884.6</v>
      </c>
      <c r="E1330" s="1899" t="s">
        <v>86</v>
      </c>
      <c r="F1330" s="1900">
        <v>75</v>
      </c>
      <c r="G1330" s="1900">
        <v>87</v>
      </c>
      <c r="H1330" s="1906">
        <f t="shared" si="188"/>
        <v>66345</v>
      </c>
      <c r="I1330" s="1906">
        <f t="shared" si="189"/>
        <v>76960.2</v>
      </c>
      <c r="J1330" s="1906">
        <f t="shared" si="190"/>
        <v>143305.20000000001</v>
      </c>
      <c r="K1330" s="1907"/>
      <c r="L1330" s="1907"/>
      <c r="M1330" s="1885" t="s">
        <v>1879</v>
      </c>
    </row>
    <row r="1331" spans="1:14">
      <c r="A1331" s="1903"/>
      <c r="B1331" s="1904">
        <v>11</v>
      </c>
      <c r="C1331" s="1905" t="s">
        <v>1747</v>
      </c>
      <c r="D1331" s="1898">
        <v>185.5</v>
      </c>
      <c r="E1331" s="1899" t="s">
        <v>86</v>
      </c>
      <c r="F1331" s="1900">
        <v>75</v>
      </c>
      <c r="G1331" s="1900">
        <v>87</v>
      </c>
      <c r="H1331" s="1906">
        <f t="shared" si="188"/>
        <v>13912.5</v>
      </c>
      <c r="I1331" s="1906">
        <f t="shared" si="189"/>
        <v>16138.5</v>
      </c>
      <c r="J1331" s="1906">
        <f t="shared" si="190"/>
        <v>30051</v>
      </c>
      <c r="K1331" s="1907"/>
      <c r="M1331" s="1885" t="s">
        <v>1879</v>
      </c>
      <c r="N1331" s="1861"/>
    </row>
    <row r="1332" spans="1:14">
      <c r="A1332" s="1903"/>
      <c r="B1332" s="1904" t="s">
        <v>620</v>
      </c>
      <c r="C1332" s="1905" t="s">
        <v>1008</v>
      </c>
      <c r="D1332" s="1909">
        <v>930.6</v>
      </c>
      <c r="E1332" s="1910" t="s">
        <v>84</v>
      </c>
      <c r="F1332" s="1906">
        <v>79</v>
      </c>
      <c r="G1332" s="1906">
        <v>46</v>
      </c>
      <c r="H1332" s="1906">
        <f t="shared" si="188"/>
        <v>73517.400000000009</v>
      </c>
      <c r="I1332" s="1906">
        <f t="shared" si="189"/>
        <v>42807.6</v>
      </c>
      <c r="J1332" s="1906">
        <f t="shared" si="190"/>
        <v>116325</v>
      </c>
      <c r="K1332" s="1907"/>
      <c r="M1332" s="1885" t="s">
        <v>1879</v>
      </c>
      <c r="N1332" s="1861"/>
    </row>
    <row r="1333" spans="1:14">
      <c r="A1333" s="1903"/>
      <c r="B1333" s="1904" t="s">
        <v>621</v>
      </c>
      <c r="C1333" s="1905" t="s">
        <v>1009</v>
      </c>
      <c r="D1333" s="1909">
        <v>261.10000000000002</v>
      </c>
      <c r="E1333" s="1910" t="s">
        <v>84</v>
      </c>
      <c r="F1333" s="1906">
        <v>120</v>
      </c>
      <c r="G1333" s="1906">
        <v>64</v>
      </c>
      <c r="H1333" s="1906">
        <f t="shared" si="188"/>
        <v>31332.000000000004</v>
      </c>
      <c r="I1333" s="1906">
        <f t="shared" si="189"/>
        <v>16710.400000000001</v>
      </c>
      <c r="J1333" s="1906">
        <f t="shared" si="190"/>
        <v>48042.400000000009</v>
      </c>
      <c r="K1333" s="1907"/>
      <c r="M1333" s="1885" t="s">
        <v>1879</v>
      </c>
      <c r="N1333" s="1861"/>
    </row>
    <row r="1334" spans="1:14">
      <c r="A1334" s="1903"/>
      <c r="B1334" s="1904" t="s">
        <v>1007</v>
      </c>
      <c r="C1334" s="1905" t="s">
        <v>1010</v>
      </c>
      <c r="D1334" s="1909">
        <v>27</v>
      </c>
      <c r="E1334" s="1910" t="s">
        <v>84</v>
      </c>
      <c r="F1334" s="1906">
        <v>120</v>
      </c>
      <c r="G1334" s="1906">
        <v>81</v>
      </c>
      <c r="H1334" s="1906">
        <f t="shared" si="188"/>
        <v>3240</v>
      </c>
      <c r="I1334" s="1906">
        <f t="shared" si="189"/>
        <v>2187</v>
      </c>
      <c r="J1334" s="1906">
        <f t="shared" si="190"/>
        <v>5427</v>
      </c>
      <c r="K1334" s="1907"/>
      <c r="M1334" s="1885" t="s">
        <v>1879</v>
      </c>
      <c r="N1334" s="1861"/>
    </row>
    <row r="1335" spans="1:14">
      <c r="A1335" s="1903"/>
      <c r="B1335" s="1904"/>
      <c r="C1335" s="1905" t="s">
        <v>1078</v>
      </c>
      <c r="D1335" s="1898">
        <v>238</v>
      </c>
      <c r="E1335" s="1910" t="s">
        <v>113</v>
      </c>
      <c r="F1335" s="1900">
        <v>0</v>
      </c>
      <c r="G1335" s="1900">
        <v>15</v>
      </c>
      <c r="H1335" s="1906">
        <f t="shared" si="188"/>
        <v>0</v>
      </c>
      <c r="I1335" s="1906">
        <f t="shared" si="189"/>
        <v>3570</v>
      </c>
      <c r="J1335" s="1906">
        <f t="shared" si="190"/>
        <v>3570</v>
      </c>
      <c r="K1335" s="1907"/>
      <c r="M1335" s="1885" t="s">
        <v>1015</v>
      </c>
      <c r="N1335" s="1861"/>
    </row>
    <row r="1336" spans="1:14">
      <c r="A1336" s="1903"/>
      <c r="B1336" s="2052" t="s">
        <v>205</v>
      </c>
      <c r="C1336" s="1905"/>
      <c r="D1336" s="1909"/>
      <c r="E1336" s="1910"/>
      <c r="F1336" s="1906"/>
      <c r="G1336" s="1906"/>
      <c r="H1336" s="1906"/>
      <c r="I1336" s="1906"/>
      <c r="J1336" s="1906"/>
      <c r="K1336" s="1907"/>
    </row>
    <row r="1337" spans="1:14">
      <c r="A1337" s="1926"/>
      <c r="B1337" s="1927" t="s">
        <v>941</v>
      </c>
      <c r="C1337" s="1928" t="s">
        <v>1066</v>
      </c>
      <c r="D1337" s="1929">
        <f>D1330</f>
        <v>884.6</v>
      </c>
      <c r="E1337" s="1926" t="s">
        <v>86</v>
      </c>
      <c r="F1337" s="1930">
        <v>35</v>
      </c>
      <c r="G1337" s="1930">
        <v>30</v>
      </c>
      <c r="H1337" s="1930">
        <f t="shared" ref="H1337:H1351" si="191">F1337*D1337</f>
        <v>30961</v>
      </c>
      <c r="I1337" s="1930">
        <f t="shared" ref="I1337:I1351" si="192">G1337*D1337</f>
        <v>26538</v>
      </c>
      <c r="J1337" s="1931">
        <f t="shared" ref="J1337:J1351" si="193">H1337+I1337</f>
        <v>57499</v>
      </c>
      <c r="K1337" s="1931"/>
      <c r="L1337" s="2155"/>
      <c r="M1337" s="1885" t="s">
        <v>1879</v>
      </c>
      <c r="N1337" s="1861"/>
    </row>
    <row r="1338" spans="1:14">
      <c r="A1338" s="1863"/>
      <c r="B1338" s="1864"/>
      <c r="C1338" s="1865"/>
      <c r="D1338" s="1866"/>
      <c r="E1338" s="1867"/>
      <c r="F1338" s="1868"/>
      <c r="G1338" s="1868"/>
      <c r="H1338" s="1868"/>
      <c r="I1338" s="1868"/>
      <c r="J1338" s="1868"/>
      <c r="K1338" s="1869"/>
      <c r="L1338" s="2155"/>
      <c r="M1338" s="1885"/>
      <c r="N1338" s="1861"/>
    </row>
    <row r="1339" spans="1:14">
      <c r="B1339" s="1860"/>
      <c r="C1339" s="2133" t="s">
        <v>133</v>
      </c>
      <c r="D1339" s="2134"/>
      <c r="E1339" s="2135"/>
      <c r="F1339" s="2136"/>
      <c r="G1339" s="2137"/>
      <c r="H1339" s="2137"/>
      <c r="I1339" s="2137"/>
      <c r="J1339" s="2137"/>
      <c r="K1339" s="2137"/>
      <c r="L1339" s="2155"/>
      <c r="M1339" s="1885"/>
      <c r="N1339" s="1861"/>
    </row>
    <row r="1340" spans="1:14">
      <c r="B1340" s="2138"/>
      <c r="C1340" s="2139" t="s">
        <v>1769</v>
      </c>
      <c r="D1340" s="2140"/>
      <c r="E1340" s="1861"/>
      <c r="F1340" s="2135"/>
      <c r="G1340" s="2139" t="s">
        <v>134</v>
      </c>
      <c r="H1340" s="2138"/>
      <c r="I1340" s="2138"/>
      <c r="J1340" s="2138"/>
      <c r="K1340" s="2138"/>
      <c r="L1340" s="2155"/>
      <c r="M1340" s="1885"/>
      <c r="N1340" s="1861"/>
    </row>
    <row r="1341" spans="1:14">
      <c r="B1341" s="1871"/>
      <c r="C1341" s="2141" t="s">
        <v>1970</v>
      </c>
      <c r="D1341" s="2140"/>
      <c r="E1341" s="2142"/>
      <c r="F1341" s="2143"/>
      <c r="G1341" s="2144" t="s">
        <v>1971</v>
      </c>
      <c r="H1341" s="2145"/>
      <c r="I1341" s="2145"/>
      <c r="J1341" s="2145"/>
      <c r="K1341" s="2145"/>
      <c r="L1341" s="2155"/>
      <c r="M1341" s="1885"/>
      <c r="N1341" s="1861"/>
    </row>
    <row r="1342" spans="1:14">
      <c r="A1342" s="1837"/>
      <c r="B1342" s="2138"/>
      <c r="C1342" s="2139" t="s">
        <v>2031</v>
      </c>
      <c r="D1342" s="2140"/>
      <c r="E1342" s="1837"/>
      <c r="F1342" s="2146"/>
      <c r="G1342" s="2139" t="s">
        <v>2031</v>
      </c>
      <c r="H1342" s="1837"/>
      <c r="I1342" s="1837"/>
      <c r="J1342" s="1837"/>
      <c r="K1342" s="1837"/>
      <c r="L1342" s="2155"/>
      <c r="M1342" s="1885"/>
      <c r="N1342" s="1861"/>
    </row>
    <row r="1343" spans="1:14">
      <c r="A1343" s="1952"/>
      <c r="B1343" s="1871"/>
      <c r="C1343" s="2147" t="s">
        <v>1984</v>
      </c>
      <c r="D1343" s="2140"/>
      <c r="E1343" s="1837"/>
      <c r="F1343" s="2135"/>
      <c r="G1343" s="2147" t="s">
        <v>1985</v>
      </c>
      <c r="H1343" s="1952"/>
      <c r="I1343" s="1952"/>
      <c r="J1343" s="1952"/>
      <c r="K1343" s="1952"/>
      <c r="L1343" s="2155"/>
      <c r="M1343" s="1885"/>
      <c r="N1343" s="1861"/>
    </row>
    <row r="1344" spans="1:14">
      <c r="A1344" s="1952"/>
      <c r="B1344" s="1952"/>
      <c r="C1344" s="2139" t="s">
        <v>670</v>
      </c>
      <c r="D1344" s="2139"/>
      <c r="E1344" s="2143"/>
      <c r="F1344" s="2143"/>
      <c r="G1344" s="1952"/>
      <c r="H1344" s="1952"/>
      <c r="I1344" s="1952"/>
      <c r="J1344" s="1952"/>
      <c r="K1344" s="1952"/>
      <c r="L1344" s="2155"/>
      <c r="M1344" s="1885"/>
      <c r="N1344" s="1861"/>
    </row>
    <row r="1345" spans="1:14">
      <c r="C1345" s="2147" t="s">
        <v>1972</v>
      </c>
      <c r="D1345" s="2147"/>
      <c r="E1345" s="2146"/>
      <c r="F1345" s="2146"/>
      <c r="L1345" s="2155"/>
      <c r="M1345" s="1885"/>
      <c r="N1345" s="1861"/>
    </row>
    <row r="1346" spans="1:14">
      <c r="A1346" s="1926"/>
      <c r="B1346" s="1927" t="s">
        <v>942</v>
      </c>
      <c r="C1346" s="1928" t="s">
        <v>1067</v>
      </c>
      <c r="D1346" s="1929">
        <f>D1331</f>
        <v>185.5</v>
      </c>
      <c r="E1346" s="1926" t="s">
        <v>86</v>
      </c>
      <c r="F1346" s="1930">
        <v>44</v>
      </c>
      <c r="G1346" s="1930">
        <v>34</v>
      </c>
      <c r="H1346" s="1930">
        <f t="shared" si="191"/>
        <v>8162</v>
      </c>
      <c r="I1346" s="1930">
        <f t="shared" si="192"/>
        <v>6307</v>
      </c>
      <c r="J1346" s="1931">
        <f t="shared" si="193"/>
        <v>14469</v>
      </c>
      <c r="K1346" s="1931"/>
      <c r="L1346" s="2155"/>
      <c r="M1346" s="1885" t="s">
        <v>1879</v>
      </c>
      <c r="N1346" s="1861"/>
    </row>
    <row r="1347" spans="1:14" s="1873" customFormat="1" ht="48">
      <c r="A1347" s="1944"/>
      <c r="B1347" s="1939" t="s">
        <v>943</v>
      </c>
      <c r="C1347" s="1946" t="s">
        <v>1068</v>
      </c>
      <c r="D1347" s="1947">
        <f>D1355</f>
        <v>71</v>
      </c>
      <c r="E1347" s="1944" t="s">
        <v>86</v>
      </c>
      <c r="F1347" s="1948">
        <v>33</v>
      </c>
      <c r="G1347" s="1948">
        <v>30</v>
      </c>
      <c r="H1347" s="1948">
        <f t="shared" si="191"/>
        <v>2343</v>
      </c>
      <c r="I1347" s="1948">
        <f t="shared" si="192"/>
        <v>2130</v>
      </c>
      <c r="J1347" s="1949">
        <f t="shared" si="193"/>
        <v>4473</v>
      </c>
      <c r="K1347" s="1949"/>
      <c r="L1347" s="2156"/>
      <c r="M1347" s="1918" t="s">
        <v>1879</v>
      </c>
    </row>
    <row r="1348" spans="1:14" s="1873" customFormat="1" ht="48">
      <c r="A1348" s="1944"/>
      <c r="B1348" s="1939" t="s">
        <v>944</v>
      </c>
      <c r="C1348" s="1946" t="s">
        <v>1069</v>
      </c>
      <c r="D1348" s="1947">
        <f>D1356</f>
        <v>112</v>
      </c>
      <c r="E1348" s="1944" t="s">
        <v>86</v>
      </c>
      <c r="F1348" s="1948">
        <v>33</v>
      </c>
      <c r="G1348" s="1942">
        <v>30</v>
      </c>
      <c r="H1348" s="1948">
        <f t="shared" si="191"/>
        <v>3696</v>
      </c>
      <c r="I1348" s="1948">
        <f t="shared" si="192"/>
        <v>3360</v>
      </c>
      <c r="J1348" s="1949">
        <f t="shared" si="193"/>
        <v>7056</v>
      </c>
      <c r="K1348" s="1949"/>
      <c r="L1348" s="2156"/>
      <c r="M1348" s="1918" t="s">
        <v>1879</v>
      </c>
    </row>
    <row r="1349" spans="1:14" s="1873" customFormat="1" ht="48">
      <c r="A1349" s="1938"/>
      <c r="B1349" s="1939" t="s">
        <v>945</v>
      </c>
      <c r="C1349" s="1940" t="s">
        <v>1070</v>
      </c>
      <c r="D1349" s="1941">
        <f>D1354</f>
        <v>518.6</v>
      </c>
      <c r="E1349" s="1938" t="s">
        <v>86</v>
      </c>
      <c r="F1349" s="1948">
        <v>33</v>
      </c>
      <c r="G1349" s="1948">
        <v>30</v>
      </c>
      <c r="H1349" s="1942">
        <f t="shared" si="191"/>
        <v>17113.8</v>
      </c>
      <c r="I1349" s="1942">
        <f t="shared" si="192"/>
        <v>15558</v>
      </c>
      <c r="J1349" s="1943">
        <f t="shared" si="193"/>
        <v>32671.8</v>
      </c>
      <c r="K1349" s="1943"/>
      <c r="L1349" s="2156"/>
      <c r="M1349" s="1918" t="s">
        <v>1879</v>
      </c>
    </row>
    <row r="1350" spans="1:14" s="1872" customFormat="1">
      <c r="A1350" s="1926"/>
      <c r="B1350" s="1927" t="s">
        <v>946</v>
      </c>
      <c r="C1350" s="1928" t="s">
        <v>1071</v>
      </c>
      <c r="D1350" s="1929">
        <v>98</v>
      </c>
      <c r="E1350" s="1926" t="s">
        <v>86</v>
      </c>
      <c r="F1350" s="1950">
        <v>58</v>
      </c>
      <c r="G1350" s="1950">
        <v>35</v>
      </c>
      <c r="H1350" s="1930">
        <f t="shared" si="191"/>
        <v>5684</v>
      </c>
      <c r="I1350" s="1930">
        <f t="shared" si="192"/>
        <v>3430</v>
      </c>
      <c r="J1350" s="1931">
        <f t="shared" si="193"/>
        <v>9114</v>
      </c>
      <c r="K1350" s="1931"/>
      <c r="L1350" s="2155"/>
      <c r="M1350" s="1885" t="s">
        <v>1879</v>
      </c>
    </row>
    <row r="1351" spans="1:14" s="1872" customFormat="1">
      <c r="A1351" s="1926"/>
      <c r="B1351" s="1927" t="s">
        <v>1102</v>
      </c>
      <c r="C1351" s="1928" t="s">
        <v>1103</v>
      </c>
      <c r="D1351" s="1929">
        <v>15.1</v>
      </c>
      <c r="E1351" s="1926" t="s">
        <v>86</v>
      </c>
      <c r="F1351" s="1950">
        <v>471</v>
      </c>
      <c r="G1351" s="1950">
        <v>30</v>
      </c>
      <c r="H1351" s="1930">
        <f t="shared" si="191"/>
        <v>7112.0999999999995</v>
      </c>
      <c r="I1351" s="1930">
        <f t="shared" si="192"/>
        <v>453</v>
      </c>
      <c r="J1351" s="1931">
        <f t="shared" si="193"/>
        <v>7565.0999999999995</v>
      </c>
      <c r="K1351" s="1931"/>
      <c r="L1351" s="2155"/>
      <c r="M1351" s="1885" t="s">
        <v>1879</v>
      </c>
    </row>
    <row r="1352" spans="1:14" s="1872" customFormat="1">
      <c r="A1352" s="1903"/>
      <c r="B1352" s="2064" t="s">
        <v>204</v>
      </c>
      <c r="C1352" s="1905"/>
      <c r="D1352" s="1909"/>
      <c r="E1352" s="1910"/>
      <c r="F1352" s="1906"/>
      <c r="G1352" s="1906"/>
      <c r="H1352" s="1906"/>
      <c r="I1352" s="1906"/>
      <c r="J1352" s="1906"/>
      <c r="K1352" s="1907"/>
      <c r="L1352" s="1871"/>
      <c r="M1352" s="1951"/>
    </row>
    <row r="1353" spans="1:14" s="1872" customFormat="1">
      <c r="A1353" s="1903"/>
      <c r="B1353" s="1904" t="s">
        <v>197</v>
      </c>
      <c r="C1353" s="1905" t="s">
        <v>937</v>
      </c>
      <c r="D1353" s="1909">
        <v>381.9</v>
      </c>
      <c r="E1353" s="1910" t="s">
        <v>86</v>
      </c>
      <c r="F1353" s="1906">
        <v>177</v>
      </c>
      <c r="G1353" s="1906">
        <v>134</v>
      </c>
      <c r="H1353" s="1906">
        <f>+F1353*D1353</f>
        <v>67596.3</v>
      </c>
      <c r="I1353" s="1906">
        <f>+G1353*D1353</f>
        <v>51174.6</v>
      </c>
      <c r="J1353" s="1906">
        <f>+H1353+I1353</f>
        <v>118770.9</v>
      </c>
      <c r="K1353" s="1907"/>
      <c r="L1353" s="1871"/>
      <c r="M1353" s="1885" t="s">
        <v>1879</v>
      </c>
    </row>
    <row r="1354" spans="1:14" s="1853" customFormat="1">
      <c r="A1354" s="1903"/>
      <c r="B1354" s="1904" t="s">
        <v>373</v>
      </c>
      <c r="C1354" s="1905" t="s">
        <v>938</v>
      </c>
      <c r="D1354" s="1909">
        <v>518.6</v>
      </c>
      <c r="E1354" s="1910" t="s">
        <v>86</v>
      </c>
      <c r="F1354" s="1906">
        <v>100</v>
      </c>
      <c r="G1354" s="1906">
        <v>82</v>
      </c>
      <c r="H1354" s="1906">
        <f>+F1354*D1354</f>
        <v>51860</v>
      </c>
      <c r="I1354" s="1906">
        <f>+G1354*D1354</f>
        <v>42525.200000000004</v>
      </c>
      <c r="J1354" s="1906">
        <f>+H1354+I1354</f>
        <v>94385.200000000012</v>
      </c>
      <c r="K1354" s="1907"/>
      <c r="L1354" s="1871"/>
      <c r="M1354" s="1885" t="s">
        <v>1879</v>
      </c>
    </row>
    <row r="1355" spans="1:14" s="1853" customFormat="1">
      <c r="A1355" s="1903"/>
      <c r="B1355" s="1904" t="s">
        <v>374</v>
      </c>
      <c r="C1355" s="1905" t="s">
        <v>1236</v>
      </c>
      <c r="D1355" s="1909">
        <v>71</v>
      </c>
      <c r="E1355" s="1910" t="s">
        <v>86</v>
      </c>
      <c r="F1355" s="1906">
        <v>298</v>
      </c>
      <c r="G1355" s="1906">
        <v>75</v>
      </c>
      <c r="H1355" s="1906">
        <f>+F1355*D1355</f>
        <v>21158</v>
      </c>
      <c r="I1355" s="1906">
        <f>+G1355*D1355</f>
        <v>5325</v>
      </c>
      <c r="J1355" s="1906">
        <f>+H1355+I1355</f>
        <v>26483</v>
      </c>
      <c r="K1355" s="1907"/>
      <c r="L1355" s="1871"/>
      <c r="M1355" s="1885" t="s">
        <v>1879</v>
      </c>
    </row>
    <row r="1356" spans="1:14" s="1853" customFormat="1">
      <c r="A1356" s="1903"/>
      <c r="B1356" s="1904" t="s">
        <v>375</v>
      </c>
      <c r="C1356" s="1905" t="s">
        <v>1235</v>
      </c>
      <c r="D1356" s="1909">
        <v>112</v>
      </c>
      <c r="E1356" s="1910" t="s">
        <v>86</v>
      </c>
      <c r="F1356" s="1906">
        <v>343</v>
      </c>
      <c r="G1356" s="1906">
        <v>75</v>
      </c>
      <c r="H1356" s="1906">
        <f>+F1356*D1356</f>
        <v>38416</v>
      </c>
      <c r="I1356" s="1906">
        <f>+G1356*D1356</f>
        <v>8400</v>
      </c>
      <c r="J1356" s="1906">
        <f>+H1356+I1356</f>
        <v>46816</v>
      </c>
      <c r="K1356" s="1907"/>
      <c r="L1356" s="1871"/>
      <c r="M1356" s="1885" t="s">
        <v>1879</v>
      </c>
    </row>
    <row r="1357" spans="1:14" s="1853" customFormat="1">
      <c r="A1357" s="1903"/>
      <c r="B1357" s="1904"/>
      <c r="C1357" s="1905" t="s">
        <v>1199</v>
      </c>
      <c r="D1357" s="1909">
        <v>3</v>
      </c>
      <c r="E1357" s="1910" t="s">
        <v>5</v>
      </c>
      <c r="F1357" s="1906">
        <v>500</v>
      </c>
      <c r="G1357" s="1906">
        <v>100</v>
      </c>
      <c r="H1357" s="1906">
        <f>+F1357*D1357</f>
        <v>1500</v>
      </c>
      <c r="I1357" s="1906">
        <f>+G1357*D1357</f>
        <v>300</v>
      </c>
      <c r="J1357" s="1906">
        <f>+H1357+I1357</f>
        <v>1800</v>
      </c>
      <c r="K1357" s="1907"/>
      <c r="L1357" s="1871"/>
      <c r="M1357" s="1885" t="s">
        <v>1879</v>
      </c>
    </row>
    <row r="1358" spans="1:14" s="1853" customFormat="1">
      <c r="A1358" s="1903"/>
      <c r="B1358" s="2393" t="s">
        <v>202</v>
      </c>
      <c r="C1358" s="2393"/>
      <c r="D1358" s="1909"/>
      <c r="E1358" s="1910"/>
      <c r="F1358" s="1906"/>
      <c r="G1358" s="1906"/>
      <c r="H1358" s="1906"/>
      <c r="I1358" s="1906"/>
      <c r="J1358" s="1906"/>
      <c r="K1358" s="1907"/>
      <c r="L1358" s="1871"/>
      <c r="M1358" s="1902"/>
    </row>
    <row r="1359" spans="1:14" s="1853" customFormat="1">
      <c r="A1359" s="1903"/>
      <c r="B1359" s="2386" t="s">
        <v>110</v>
      </c>
      <c r="C1359" s="2386"/>
      <c r="D1359" s="1909"/>
      <c r="E1359" s="1910"/>
      <c r="F1359" s="1906"/>
      <c r="G1359" s="1906"/>
      <c r="H1359" s="1906"/>
      <c r="I1359" s="1906"/>
      <c r="J1359" s="1906"/>
      <c r="K1359" s="1907"/>
      <c r="L1359" s="1871"/>
      <c r="M1359" s="1902"/>
    </row>
    <row r="1360" spans="1:14">
      <c r="A1360" s="1903"/>
      <c r="B1360" s="1904" t="s">
        <v>612</v>
      </c>
      <c r="C1360" s="1905" t="s">
        <v>893</v>
      </c>
      <c r="D1360" s="1909">
        <v>2</v>
      </c>
      <c r="E1360" s="1910" t="s">
        <v>5</v>
      </c>
      <c r="F1360" s="1900">
        <v>12306</v>
      </c>
      <c r="G1360" s="1900">
        <v>450</v>
      </c>
      <c r="H1360" s="1906">
        <f>+F1360*D1360</f>
        <v>24612</v>
      </c>
      <c r="I1360" s="1906">
        <f>+G1360*D1360</f>
        <v>900</v>
      </c>
      <c r="J1360" s="1906">
        <f>+H1360+I1360</f>
        <v>25512</v>
      </c>
      <c r="K1360" s="1907"/>
      <c r="M1360" s="1952" t="s">
        <v>1926</v>
      </c>
    </row>
    <row r="1361" spans="1:13">
      <c r="A1361" s="2000"/>
      <c r="B1361" s="2004" t="s">
        <v>604</v>
      </c>
      <c r="C1361" s="2005" t="s">
        <v>990</v>
      </c>
      <c r="D1361" s="1956">
        <v>3</v>
      </c>
      <c r="E1361" s="2006" t="s">
        <v>5</v>
      </c>
      <c r="F1361" s="2017">
        <v>22000</v>
      </c>
      <c r="G1361" s="2017">
        <f>F1361*0.3</f>
        <v>6600</v>
      </c>
      <c r="H1361" s="2007">
        <f>+F1361*D1361</f>
        <v>66000</v>
      </c>
      <c r="I1361" s="2007">
        <f>+G1361*D1361</f>
        <v>19800</v>
      </c>
      <c r="J1361" s="2007">
        <f>+H1361+I1361</f>
        <v>85800</v>
      </c>
      <c r="L1361" s="1907" t="s">
        <v>1968</v>
      </c>
      <c r="M1361" s="1952" t="s">
        <v>622</v>
      </c>
    </row>
    <row r="1362" spans="1:13">
      <c r="A1362" s="1903"/>
      <c r="B1362" s="1904" t="s">
        <v>890</v>
      </c>
      <c r="C1362" s="1905" t="s">
        <v>896</v>
      </c>
      <c r="D1362" s="1909">
        <v>1</v>
      </c>
      <c r="E1362" s="1910" t="s">
        <v>5</v>
      </c>
      <c r="F1362" s="1900">
        <v>21100</v>
      </c>
      <c r="G1362" s="1900">
        <v>1450</v>
      </c>
      <c r="H1362" s="1906">
        <f t="shared" ref="H1362:H1368" si="194">+F1362*D1362</f>
        <v>21100</v>
      </c>
      <c r="I1362" s="1906">
        <f t="shared" ref="I1362:I1368" si="195">+G1362*D1362</f>
        <v>1450</v>
      </c>
      <c r="J1362" s="1906">
        <f t="shared" ref="J1362:J1368" si="196">+H1362+I1362</f>
        <v>22550</v>
      </c>
      <c r="K1362" s="1907"/>
      <c r="L1362" s="1871" t="s">
        <v>1941</v>
      </c>
      <c r="M1362" s="1952" t="s">
        <v>1942</v>
      </c>
    </row>
    <row r="1363" spans="1:13">
      <c r="A1363" s="1903"/>
      <c r="B1363" s="1904" t="s">
        <v>609</v>
      </c>
      <c r="C1363" s="1905" t="s">
        <v>895</v>
      </c>
      <c r="D1363" s="1909">
        <v>2</v>
      </c>
      <c r="E1363" s="1910" t="s">
        <v>5</v>
      </c>
      <c r="F1363" s="1900">
        <v>8713</v>
      </c>
      <c r="G1363" s="1900">
        <v>450</v>
      </c>
      <c r="H1363" s="1906">
        <f t="shared" si="194"/>
        <v>17426</v>
      </c>
      <c r="I1363" s="1906">
        <f t="shared" si="195"/>
        <v>900</v>
      </c>
      <c r="J1363" s="1906">
        <f t="shared" si="196"/>
        <v>18326</v>
      </c>
      <c r="K1363" s="1907"/>
      <c r="M1363" s="1952" t="s">
        <v>1926</v>
      </c>
    </row>
    <row r="1364" spans="1:13">
      <c r="A1364" s="1903"/>
      <c r="B1364" s="1904" t="s">
        <v>902</v>
      </c>
      <c r="C1364" s="1905" t="s">
        <v>906</v>
      </c>
      <c r="D1364" s="1909">
        <v>9</v>
      </c>
      <c r="E1364" s="1910" t="s">
        <v>5</v>
      </c>
      <c r="F1364" s="1900">
        <v>19000</v>
      </c>
      <c r="G1364" s="1900">
        <v>1500</v>
      </c>
      <c r="H1364" s="1906">
        <f t="shared" si="194"/>
        <v>171000</v>
      </c>
      <c r="I1364" s="1906">
        <f t="shared" si="195"/>
        <v>13500</v>
      </c>
      <c r="J1364" s="1906">
        <f t="shared" si="196"/>
        <v>184500</v>
      </c>
      <c r="K1364" s="1907"/>
      <c r="L1364" s="1871" t="s">
        <v>1919</v>
      </c>
      <c r="M1364" s="1952" t="s">
        <v>622</v>
      </c>
    </row>
    <row r="1365" spans="1:13">
      <c r="A1365" s="1903"/>
      <c r="B1365" s="1904" t="s">
        <v>607</v>
      </c>
      <c r="C1365" s="1905" t="s">
        <v>920</v>
      </c>
      <c r="D1365" s="1909">
        <v>2</v>
      </c>
      <c r="E1365" s="1910" t="s">
        <v>5</v>
      </c>
      <c r="F1365" s="1900">
        <v>74500</v>
      </c>
      <c r="G1365" s="1900">
        <v>4500</v>
      </c>
      <c r="H1365" s="1906">
        <f t="shared" si="194"/>
        <v>149000</v>
      </c>
      <c r="I1365" s="1906">
        <f t="shared" si="195"/>
        <v>9000</v>
      </c>
      <c r="J1365" s="1906">
        <f t="shared" si="196"/>
        <v>158000</v>
      </c>
      <c r="K1365" s="1907"/>
      <c r="L1365" s="1871" t="s">
        <v>1919</v>
      </c>
      <c r="M1365" s="1952"/>
    </row>
    <row r="1366" spans="1:13">
      <c r="A1366" s="1903"/>
      <c r="B1366" s="1904" t="s">
        <v>919</v>
      </c>
      <c r="C1366" s="1905" t="s">
        <v>921</v>
      </c>
      <c r="D1366" s="1909">
        <v>1</v>
      </c>
      <c r="E1366" s="1910" t="s">
        <v>5</v>
      </c>
      <c r="F1366" s="1900">
        <v>242200</v>
      </c>
      <c r="G1366" s="1900">
        <v>14100</v>
      </c>
      <c r="H1366" s="1906">
        <f t="shared" si="194"/>
        <v>242200</v>
      </c>
      <c r="I1366" s="1906">
        <f t="shared" si="195"/>
        <v>14100</v>
      </c>
      <c r="J1366" s="1906">
        <f t="shared" si="196"/>
        <v>256300</v>
      </c>
      <c r="K1366" s="1907"/>
      <c r="L1366" s="1871" t="s">
        <v>1919</v>
      </c>
      <c r="M1366" s="1952" t="s">
        <v>622</v>
      </c>
    </row>
    <row r="1367" spans="1:13">
      <c r="A1367" s="1903"/>
      <c r="B1367" s="1904" t="s">
        <v>613</v>
      </c>
      <c r="C1367" s="1905" t="s">
        <v>1944</v>
      </c>
      <c r="D1367" s="1909">
        <v>1</v>
      </c>
      <c r="E1367" s="1910" t="s">
        <v>5</v>
      </c>
      <c r="F1367" s="1900">
        <v>180000</v>
      </c>
      <c r="G1367" s="1900">
        <v>25000</v>
      </c>
      <c r="H1367" s="1906">
        <f t="shared" si="194"/>
        <v>180000</v>
      </c>
      <c r="I1367" s="1906">
        <f t="shared" si="195"/>
        <v>25000</v>
      </c>
      <c r="J1367" s="1906">
        <f t="shared" si="196"/>
        <v>205000</v>
      </c>
      <c r="K1367" s="1907"/>
      <c r="L1367" s="1871" t="s">
        <v>1943</v>
      </c>
      <c r="M1367" s="1952" t="s">
        <v>622</v>
      </c>
    </row>
    <row r="1368" spans="1:13">
      <c r="A1368" s="1903"/>
      <c r="B1368" s="1904" t="s">
        <v>1046</v>
      </c>
      <c r="C1368" s="1905" t="s">
        <v>1047</v>
      </c>
      <c r="D1368" s="1909">
        <v>1</v>
      </c>
      <c r="E1368" s="1910" t="s">
        <v>5</v>
      </c>
      <c r="F1368" s="1900">
        <v>5975</v>
      </c>
      <c r="G1368" s="1900">
        <v>450</v>
      </c>
      <c r="H1368" s="1906">
        <f t="shared" si="194"/>
        <v>5975</v>
      </c>
      <c r="I1368" s="1906">
        <f t="shared" si="195"/>
        <v>450</v>
      </c>
      <c r="J1368" s="1906">
        <f t="shared" si="196"/>
        <v>6425</v>
      </c>
      <c r="K1368" s="1907"/>
      <c r="M1368" s="1952" t="s">
        <v>1926</v>
      </c>
    </row>
    <row r="1369" spans="1:13" s="1853" customFormat="1">
      <c r="A1369" s="1903"/>
      <c r="B1369" s="2386" t="s">
        <v>111</v>
      </c>
      <c r="C1369" s="2386"/>
      <c r="D1369" s="1898"/>
      <c r="E1369" s="1899"/>
      <c r="F1369" s="1900"/>
      <c r="G1369" s="1900"/>
      <c r="H1369" s="1906"/>
      <c r="I1369" s="1906"/>
      <c r="J1369" s="1906"/>
      <c r="L1369" s="1907"/>
      <c r="M1369" s="1902"/>
    </row>
    <row r="1370" spans="1:13">
      <c r="A1370" s="1903"/>
      <c r="B1370" s="1904" t="s">
        <v>908</v>
      </c>
      <c r="C1370" s="1905" t="s">
        <v>899</v>
      </c>
      <c r="D1370" s="1909">
        <v>1</v>
      </c>
      <c r="E1370" s="1910" t="s">
        <v>5</v>
      </c>
      <c r="F1370" s="1900">
        <v>28900</v>
      </c>
      <c r="G1370" s="1900">
        <f t="shared" ref="G1370:G1392" si="197">F1370*0.3</f>
        <v>8670</v>
      </c>
      <c r="H1370" s="1906">
        <f t="shared" ref="H1370:H1393" si="198">+F1370*D1370</f>
        <v>28900</v>
      </c>
      <c r="I1370" s="1906">
        <f t="shared" ref="I1370:I1393" si="199">+G1370*D1370</f>
        <v>8670</v>
      </c>
      <c r="J1370" s="1906">
        <f t="shared" ref="J1370:J1393" si="200">+H1370+I1370</f>
        <v>37570</v>
      </c>
      <c r="K1370" s="1907"/>
      <c r="L1370" s="1871" t="s">
        <v>1935</v>
      </c>
      <c r="M1370" s="1952" t="s">
        <v>622</v>
      </c>
    </row>
    <row r="1371" spans="1:13">
      <c r="A1371" s="1903"/>
      <c r="B1371" s="1904" t="s">
        <v>897</v>
      </c>
      <c r="C1371" s="1905" t="s">
        <v>901</v>
      </c>
      <c r="D1371" s="1909">
        <v>2</v>
      </c>
      <c r="E1371" s="1910" t="s">
        <v>5</v>
      </c>
      <c r="F1371" s="1900">
        <v>5715</v>
      </c>
      <c r="G1371" s="1900">
        <f t="shared" si="197"/>
        <v>1714.5</v>
      </c>
      <c r="H1371" s="1906">
        <f t="shared" si="198"/>
        <v>11430</v>
      </c>
      <c r="I1371" s="1906">
        <f t="shared" si="199"/>
        <v>3429</v>
      </c>
      <c r="J1371" s="1906">
        <f t="shared" si="200"/>
        <v>14859</v>
      </c>
      <c r="K1371" s="1907"/>
      <c r="M1371" s="1952" t="s">
        <v>622</v>
      </c>
    </row>
    <row r="1372" spans="1:13">
      <c r="A1372" s="1903"/>
      <c r="B1372" s="1904" t="s">
        <v>370</v>
      </c>
      <c r="C1372" s="1905" t="s">
        <v>913</v>
      </c>
      <c r="D1372" s="1909">
        <v>1</v>
      </c>
      <c r="E1372" s="1910" t="s">
        <v>5</v>
      </c>
      <c r="F1372" s="1900">
        <v>11100</v>
      </c>
      <c r="G1372" s="1900">
        <f t="shared" si="197"/>
        <v>3330</v>
      </c>
      <c r="H1372" s="1906">
        <f t="shared" si="198"/>
        <v>11100</v>
      </c>
      <c r="I1372" s="1906">
        <f t="shared" si="199"/>
        <v>3330</v>
      </c>
      <c r="J1372" s="1906">
        <f t="shared" si="200"/>
        <v>14430</v>
      </c>
      <c r="K1372" s="1907"/>
      <c r="L1372" s="1871" t="s">
        <v>1935</v>
      </c>
      <c r="M1372" s="1952" t="s">
        <v>622</v>
      </c>
    </row>
    <row r="1373" spans="1:13">
      <c r="A1373" s="1903"/>
      <c r="B1373" s="1904" t="s">
        <v>371</v>
      </c>
      <c r="C1373" s="1905" t="s">
        <v>914</v>
      </c>
      <c r="D1373" s="1909">
        <v>4</v>
      </c>
      <c r="E1373" s="1910" t="s">
        <v>5</v>
      </c>
      <c r="F1373" s="1900">
        <v>46000</v>
      </c>
      <c r="G1373" s="1900">
        <f t="shared" si="197"/>
        <v>13800</v>
      </c>
      <c r="H1373" s="1906">
        <f t="shared" si="198"/>
        <v>184000</v>
      </c>
      <c r="I1373" s="1906">
        <f t="shared" si="199"/>
        <v>55200</v>
      </c>
      <c r="J1373" s="1906">
        <f t="shared" si="200"/>
        <v>239200</v>
      </c>
      <c r="K1373" s="1907"/>
      <c r="L1373" s="1871" t="s">
        <v>1935</v>
      </c>
      <c r="M1373" s="1952" t="s">
        <v>622</v>
      </c>
    </row>
    <row r="1374" spans="1:13">
      <c r="A1374" s="1863"/>
      <c r="B1374" s="1864"/>
      <c r="C1374" s="1865"/>
      <c r="D1374" s="1866"/>
      <c r="E1374" s="1867"/>
      <c r="F1374" s="1868"/>
      <c r="G1374" s="1868"/>
      <c r="H1374" s="1868"/>
      <c r="I1374" s="1868"/>
      <c r="J1374" s="1868"/>
      <c r="K1374" s="1869"/>
      <c r="M1374" s="1952"/>
    </row>
    <row r="1375" spans="1:13">
      <c r="B1375" s="1860"/>
      <c r="C1375" s="2133" t="s">
        <v>133</v>
      </c>
      <c r="D1375" s="2134"/>
      <c r="E1375" s="2135"/>
      <c r="F1375" s="2136"/>
      <c r="G1375" s="2137"/>
      <c r="H1375" s="2137"/>
      <c r="I1375" s="2137"/>
      <c r="J1375" s="2137"/>
      <c r="K1375" s="2137"/>
      <c r="M1375" s="1952"/>
    </row>
    <row r="1376" spans="1:13">
      <c r="B1376" s="2138"/>
      <c r="C1376" s="2139" t="s">
        <v>1769</v>
      </c>
      <c r="D1376" s="2140"/>
      <c r="E1376" s="1861"/>
      <c r="F1376" s="2135"/>
      <c r="G1376" s="2139" t="s">
        <v>134</v>
      </c>
      <c r="H1376" s="2138"/>
      <c r="I1376" s="2138"/>
      <c r="J1376" s="2138"/>
      <c r="K1376" s="2138"/>
      <c r="M1376" s="1952"/>
    </row>
    <row r="1377" spans="1:13">
      <c r="B1377" s="1871"/>
      <c r="C1377" s="2141" t="s">
        <v>1970</v>
      </c>
      <c r="D1377" s="2140"/>
      <c r="E1377" s="2142"/>
      <c r="F1377" s="2143"/>
      <c r="G1377" s="2144" t="s">
        <v>1971</v>
      </c>
      <c r="H1377" s="2145"/>
      <c r="I1377" s="2145"/>
      <c r="J1377" s="2145"/>
      <c r="K1377" s="2145"/>
      <c r="M1377" s="1952"/>
    </row>
    <row r="1378" spans="1:13">
      <c r="A1378" s="1837"/>
      <c r="B1378" s="2138"/>
      <c r="C1378" s="2139" t="s">
        <v>2031</v>
      </c>
      <c r="D1378" s="2140"/>
      <c r="E1378" s="1837"/>
      <c r="F1378" s="2146"/>
      <c r="G1378" s="2139" t="s">
        <v>2031</v>
      </c>
      <c r="H1378" s="1837"/>
      <c r="I1378" s="1837"/>
      <c r="J1378" s="1837"/>
      <c r="K1378" s="1837"/>
      <c r="M1378" s="1952"/>
    </row>
    <row r="1379" spans="1:13">
      <c r="A1379" s="1952"/>
      <c r="B1379" s="1871"/>
      <c r="C1379" s="2147" t="s">
        <v>1984</v>
      </c>
      <c r="D1379" s="2140"/>
      <c r="E1379" s="1837"/>
      <c r="F1379" s="2135"/>
      <c r="G1379" s="2147" t="s">
        <v>1985</v>
      </c>
      <c r="H1379" s="1952"/>
      <c r="I1379" s="1952"/>
      <c r="J1379" s="1952"/>
      <c r="K1379" s="1952"/>
      <c r="M1379" s="1952"/>
    </row>
    <row r="1380" spans="1:13">
      <c r="A1380" s="1952"/>
      <c r="B1380" s="1952"/>
      <c r="C1380" s="2139" t="s">
        <v>670</v>
      </c>
      <c r="D1380" s="2139"/>
      <c r="E1380" s="2143"/>
      <c r="F1380" s="2143"/>
      <c r="G1380" s="1952"/>
      <c r="H1380" s="1952"/>
      <c r="I1380" s="1952"/>
      <c r="J1380" s="1952"/>
      <c r="K1380" s="1952"/>
      <c r="M1380" s="1952"/>
    </row>
    <row r="1381" spans="1:13">
      <c r="C1381" s="2147" t="s">
        <v>1972</v>
      </c>
      <c r="D1381" s="2147"/>
      <c r="E1381" s="2146"/>
      <c r="F1381" s="2146"/>
      <c r="M1381" s="1952"/>
    </row>
    <row r="1382" spans="1:13">
      <c r="A1382" s="1903"/>
      <c r="B1382" s="1904" t="s">
        <v>8</v>
      </c>
      <c r="C1382" s="1905" t="s">
        <v>914</v>
      </c>
      <c r="D1382" s="1909">
        <v>4</v>
      </c>
      <c r="E1382" s="1910" t="s">
        <v>5</v>
      </c>
      <c r="F1382" s="1900">
        <v>52100</v>
      </c>
      <c r="G1382" s="1900">
        <f t="shared" si="197"/>
        <v>15630</v>
      </c>
      <c r="H1382" s="1906">
        <f t="shared" si="198"/>
        <v>208400</v>
      </c>
      <c r="I1382" s="1906">
        <f t="shared" si="199"/>
        <v>62520</v>
      </c>
      <c r="J1382" s="1906">
        <f t="shared" si="200"/>
        <v>270920</v>
      </c>
      <c r="K1382" s="1907"/>
      <c r="L1382" s="1871" t="s">
        <v>1935</v>
      </c>
      <c r="M1382" s="1952" t="s">
        <v>622</v>
      </c>
    </row>
    <row r="1383" spans="1:13">
      <c r="A1383" s="1903"/>
      <c r="B1383" s="1904" t="s">
        <v>909</v>
      </c>
      <c r="C1383" s="1905" t="s">
        <v>915</v>
      </c>
      <c r="D1383" s="1909">
        <v>1</v>
      </c>
      <c r="E1383" s="1910" t="s">
        <v>5</v>
      </c>
      <c r="F1383" s="1900">
        <v>18300</v>
      </c>
      <c r="G1383" s="1900">
        <f t="shared" si="197"/>
        <v>5490</v>
      </c>
      <c r="H1383" s="1906">
        <f t="shared" si="198"/>
        <v>18300</v>
      </c>
      <c r="I1383" s="1906">
        <f t="shared" si="199"/>
        <v>5490</v>
      </c>
      <c r="J1383" s="1906">
        <f t="shared" si="200"/>
        <v>23790</v>
      </c>
      <c r="K1383" s="1907"/>
      <c r="L1383" s="1871" t="s">
        <v>1935</v>
      </c>
      <c r="M1383" s="1952" t="s">
        <v>622</v>
      </c>
    </row>
    <row r="1384" spans="1:13">
      <c r="A1384" s="1903"/>
      <c r="B1384" s="1904" t="s">
        <v>911</v>
      </c>
      <c r="C1384" s="1905" t="s">
        <v>900</v>
      </c>
      <c r="D1384" s="1909">
        <v>4</v>
      </c>
      <c r="E1384" s="1910" t="s">
        <v>5</v>
      </c>
      <c r="F1384" s="1900">
        <v>10400</v>
      </c>
      <c r="G1384" s="1900">
        <f t="shared" si="197"/>
        <v>3120</v>
      </c>
      <c r="H1384" s="1906">
        <f t="shared" si="198"/>
        <v>41600</v>
      </c>
      <c r="I1384" s="1906">
        <f t="shared" si="199"/>
        <v>12480</v>
      </c>
      <c r="J1384" s="1906">
        <f t="shared" si="200"/>
        <v>54080</v>
      </c>
      <c r="K1384" s="1907"/>
      <c r="L1384" s="1871" t="s">
        <v>1935</v>
      </c>
      <c r="M1384" s="1952" t="s">
        <v>622</v>
      </c>
    </row>
    <row r="1385" spans="1:13">
      <c r="A1385" s="1903"/>
      <c r="B1385" s="1904" t="s">
        <v>912</v>
      </c>
      <c r="C1385" s="1905" t="s">
        <v>914</v>
      </c>
      <c r="D1385" s="1909">
        <v>1</v>
      </c>
      <c r="E1385" s="1910" t="s">
        <v>5</v>
      </c>
      <c r="F1385" s="1900">
        <v>73400</v>
      </c>
      <c r="G1385" s="1900">
        <f t="shared" si="197"/>
        <v>22020</v>
      </c>
      <c r="H1385" s="1906">
        <f t="shared" si="198"/>
        <v>73400</v>
      </c>
      <c r="I1385" s="1906">
        <f t="shared" si="199"/>
        <v>22020</v>
      </c>
      <c r="J1385" s="1906">
        <f t="shared" si="200"/>
        <v>95420</v>
      </c>
      <c r="K1385" s="1907"/>
      <c r="L1385" s="1871" t="s">
        <v>1935</v>
      </c>
      <c r="M1385" s="1952" t="s">
        <v>622</v>
      </c>
    </row>
    <row r="1386" spans="1:13">
      <c r="A1386" s="1903"/>
      <c r="B1386" s="1904" t="s">
        <v>916</v>
      </c>
      <c r="C1386" s="1905" t="s">
        <v>923</v>
      </c>
      <c r="D1386" s="1909">
        <v>8</v>
      </c>
      <c r="E1386" s="1910" t="s">
        <v>5</v>
      </c>
      <c r="F1386" s="1900">
        <v>11300</v>
      </c>
      <c r="G1386" s="1900">
        <f t="shared" si="197"/>
        <v>3390</v>
      </c>
      <c r="H1386" s="1906">
        <f t="shared" si="198"/>
        <v>90400</v>
      </c>
      <c r="I1386" s="1906">
        <f t="shared" si="199"/>
        <v>27120</v>
      </c>
      <c r="J1386" s="1906">
        <f t="shared" si="200"/>
        <v>117520</v>
      </c>
      <c r="K1386" s="1907"/>
      <c r="L1386" s="1871" t="s">
        <v>1935</v>
      </c>
      <c r="M1386" s="1952" t="s">
        <v>622</v>
      </c>
    </row>
    <row r="1387" spans="1:13">
      <c r="A1387" s="1903"/>
      <c r="B1387" s="1904" t="s">
        <v>917</v>
      </c>
      <c r="C1387" s="1905" t="s">
        <v>898</v>
      </c>
      <c r="D1387" s="1909">
        <v>1</v>
      </c>
      <c r="E1387" s="1910" t="s">
        <v>5</v>
      </c>
      <c r="F1387" s="1900">
        <v>158000</v>
      </c>
      <c r="G1387" s="1900">
        <f t="shared" si="197"/>
        <v>47400</v>
      </c>
      <c r="H1387" s="1906">
        <f t="shared" si="198"/>
        <v>158000</v>
      </c>
      <c r="I1387" s="1906">
        <f t="shared" si="199"/>
        <v>47400</v>
      </c>
      <c r="J1387" s="1906">
        <f t="shared" si="200"/>
        <v>205400</v>
      </c>
      <c r="K1387" s="1907"/>
      <c r="L1387" s="1871" t="s">
        <v>1935</v>
      </c>
      <c r="M1387" s="1952" t="s">
        <v>622</v>
      </c>
    </row>
    <row r="1388" spans="1:13">
      <c r="A1388" s="1903"/>
      <c r="B1388" s="1904" t="s">
        <v>922</v>
      </c>
      <c r="C1388" s="1905" t="s">
        <v>923</v>
      </c>
      <c r="D1388" s="1909">
        <v>2</v>
      </c>
      <c r="E1388" s="1910" t="s">
        <v>5</v>
      </c>
      <c r="F1388" s="1900">
        <v>32000</v>
      </c>
      <c r="G1388" s="1900">
        <f t="shared" si="197"/>
        <v>9600</v>
      </c>
      <c r="H1388" s="1906">
        <f t="shared" si="198"/>
        <v>64000</v>
      </c>
      <c r="I1388" s="1906">
        <f t="shared" si="199"/>
        <v>19200</v>
      </c>
      <c r="J1388" s="1906">
        <f t="shared" si="200"/>
        <v>83200</v>
      </c>
      <c r="K1388" s="1907"/>
      <c r="L1388" s="1871" t="s">
        <v>1935</v>
      </c>
      <c r="M1388" s="1952" t="s">
        <v>622</v>
      </c>
    </row>
    <row r="1389" spans="1:13">
      <c r="A1389" s="1903"/>
      <c r="B1389" s="1904" t="s">
        <v>617</v>
      </c>
      <c r="C1389" s="1905" t="s">
        <v>923</v>
      </c>
      <c r="D1389" s="1909">
        <v>2</v>
      </c>
      <c r="E1389" s="1910" t="s">
        <v>5</v>
      </c>
      <c r="F1389" s="1900">
        <v>21700</v>
      </c>
      <c r="G1389" s="1900">
        <f t="shared" si="197"/>
        <v>6510</v>
      </c>
      <c r="H1389" s="1906">
        <f t="shared" si="198"/>
        <v>43400</v>
      </c>
      <c r="I1389" s="1906">
        <f t="shared" si="199"/>
        <v>13020</v>
      </c>
      <c r="J1389" s="1906">
        <f t="shared" si="200"/>
        <v>56420</v>
      </c>
      <c r="K1389" s="1907"/>
      <c r="L1389" s="1871" t="s">
        <v>1935</v>
      </c>
      <c r="M1389" s="1952" t="s">
        <v>622</v>
      </c>
    </row>
    <row r="1390" spans="1:13">
      <c r="A1390" s="1903"/>
      <c r="B1390" s="1904" t="s">
        <v>614</v>
      </c>
      <c r="C1390" s="1905" t="s">
        <v>914</v>
      </c>
      <c r="D1390" s="1909">
        <v>1</v>
      </c>
      <c r="E1390" s="1910" t="s">
        <v>5</v>
      </c>
      <c r="F1390" s="1900">
        <v>29800</v>
      </c>
      <c r="G1390" s="1900">
        <f t="shared" si="197"/>
        <v>8940</v>
      </c>
      <c r="H1390" s="1906">
        <f t="shared" si="198"/>
        <v>29800</v>
      </c>
      <c r="I1390" s="1906">
        <f t="shared" si="199"/>
        <v>8940</v>
      </c>
      <c r="J1390" s="1906">
        <f t="shared" si="200"/>
        <v>38740</v>
      </c>
      <c r="K1390" s="1907"/>
      <c r="L1390" s="1871" t="s">
        <v>1935</v>
      </c>
      <c r="M1390" s="1952" t="s">
        <v>622</v>
      </c>
    </row>
    <row r="1391" spans="1:13">
      <c r="A1391" s="1903"/>
      <c r="B1391" s="1904" t="s">
        <v>615</v>
      </c>
      <c r="C1391" s="1905" t="s">
        <v>914</v>
      </c>
      <c r="D1391" s="1909">
        <v>1</v>
      </c>
      <c r="E1391" s="1910" t="s">
        <v>5</v>
      </c>
      <c r="F1391" s="1900">
        <v>52700</v>
      </c>
      <c r="G1391" s="1900">
        <f t="shared" si="197"/>
        <v>15810</v>
      </c>
      <c r="H1391" s="1906">
        <f t="shared" si="198"/>
        <v>52700</v>
      </c>
      <c r="I1391" s="1906">
        <f t="shared" si="199"/>
        <v>15810</v>
      </c>
      <c r="J1391" s="1906">
        <f t="shared" si="200"/>
        <v>68510</v>
      </c>
      <c r="K1391" s="1907"/>
      <c r="L1391" s="1871" t="s">
        <v>1935</v>
      </c>
      <c r="M1391" s="1952" t="s">
        <v>622</v>
      </c>
    </row>
    <row r="1392" spans="1:13">
      <c r="A1392" s="1903"/>
      <c r="B1392" s="1904" t="s">
        <v>926</v>
      </c>
      <c r="C1392" s="1905" t="s">
        <v>923</v>
      </c>
      <c r="D1392" s="1909">
        <v>1</v>
      </c>
      <c r="E1392" s="1910" t="s">
        <v>5</v>
      </c>
      <c r="F1392" s="1900">
        <v>12700</v>
      </c>
      <c r="G1392" s="1900">
        <f t="shared" si="197"/>
        <v>3810</v>
      </c>
      <c r="H1392" s="1906">
        <f t="shared" si="198"/>
        <v>12700</v>
      </c>
      <c r="I1392" s="1906">
        <f t="shared" si="199"/>
        <v>3810</v>
      </c>
      <c r="J1392" s="1906">
        <f t="shared" si="200"/>
        <v>16510</v>
      </c>
      <c r="K1392" s="1907"/>
      <c r="L1392" s="1871" t="s">
        <v>1935</v>
      </c>
      <c r="M1392" s="1952" t="s">
        <v>622</v>
      </c>
    </row>
    <row r="1393" spans="1:13">
      <c r="A1393" s="1903"/>
      <c r="B1393" s="2386" t="s">
        <v>203</v>
      </c>
      <c r="C1393" s="2386"/>
      <c r="D1393" s="1909"/>
      <c r="E1393" s="1910"/>
      <c r="F1393" s="1906"/>
      <c r="G1393" s="1906"/>
      <c r="H1393" s="1906">
        <f t="shared" si="198"/>
        <v>0</v>
      </c>
      <c r="I1393" s="1906">
        <f t="shared" si="199"/>
        <v>0</v>
      </c>
      <c r="J1393" s="1906">
        <f t="shared" si="200"/>
        <v>0</v>
      </c>
      <c r="K1393" s="1907"/>
    </row>
    <row r="1394" spans="1:13" s="1872" customFormat="1">
      <c r="A1394" s="1972"/>
      <c r="B1394" s="1973"/>
      <c r="C1394" s="1974" t="s">
        <v>865</v>
      </c>
      <c r="D1394" s="1930">
        <v>9</v>
      </c>
      <c r="E1394" s="1909" t="s">
        <v>5</v>
      </c>
      <c r="F1394" s="1968">
        <v>4850</v>
      </c>
      <c r="G1394" s="1975">
        <v>450</v>
      </c>
      <c r="H1394" s="1975">
        <f t="shared" ref="H1394:H1420" si="201">F1394*D1394</f>
        <v>43650</v>
      </c>
      <c r="I1394" s="1975">
        <f t="shared" ref="I1394:I1420" si="202">G1394*D1394</f>
        <v>4050</v>
      </c>
      <c r="J1394" s="1975">
        <f t="shared" ref="J1394:J1420" si="203">SUM(H1394:I1394)</f>
        <v>47700</v>
      </c>
      <c r="K1394" s="1907"/>
      <c r="L1394" s="1976"/>
      <c r="M1394" s="1885" t="s">
        <v>1879</v>
      </c>
    </row>
    <row r="1395" spans="1:13" s="1872" customFormat="1">
      <c r="A1395" s="1972"/>
      <c r="B1395" s="1973"/>
      <c r="C1395" s="1974" t="s">
        <v>866</v>
      </c>
      <c r="D1395" s="1930">
        <f>D1394</f>
        <v>9</v>
      </c>
      <c r="E1395" s="1909" t="s">
        <v>5</v>
      </c>
      <c r="F1395" s="1968">
        <v>120</v>
      </c>
      <c r="G1395" s="1975">
        <v>0</v>
      </c>
      <c r="H1395" s="1975">
        <f t="shared" si="201"/>
        <v>1080</v>
      </c>
      <c r="I1395" s="1975">
        <f t="shared" si="202"/>
        <v>0</v>
      </c>
      <c r="J1395" s="1975">
        <f t="shared" si="203"/>
        <v>1080</v>
      </c>
      <c r="K1395" s="1907"/>
      <c r="L1395" s="1976"/>
      <c r="M1395" s="1885" t="s">
        <v>1879</v>
      </c>
    </row>
    <row r="1396" spans="1:13" s="1872" customFormat="1">
      <c r="A1396" s="1972"/>
      <c r="B1396" s="1973"/>
      <c r="C1396" s="1974" t="s">
        <v>867</v>
      </c>
      <c r="D1396" s="1930">
        <f>D1394</f>
        <v>9</v>
      </c>
      <c r="E1396" s="1909" t="s">
        <v>5</v>
      </c>
      <c r="F1396" s="1968">
        <v>80</v>
      </c>
      <c r="G1396" s="1975">
        <v>35</v>
      </c>
      <c r="H1396" s="1975">
        <f t="shared" si="201"/>
        <v>720</v>
      </c>
      <c r="I1396" s="1975">
        <f t="shared" si="202"/>
        <v>315</v>
      </c>
      <c r="J1396" s="1975">
        <f t="shared" si="203"/>
        <v>1035</v>
      </c>
      <c r="K1396" s="1907"/>
      <c r="L1396" s="1976"/>
      <c r="M1396" s="1885" t="s">
        <v>1879</v>
      </c>
    </row>
    <row r="1397" spans="1:13" s="1872" customFormat="1">
      <c r="A1397" s="1965"/>
      <c r="B1397" s="1966"/>
      <c r="C1397" s="1967" t="s">
        <v>879</v>
      </c>
      <c r="D1397" s="1909">
        <v>1</v>
      </c>
      <c r="E1397" s="1968" t="s">
        <v>5</v>
      </c>
      <c r="F1397" s="1969">
        <v>7690</v>
      </c>
      <c r="G1397" s="1970">
        <v>450</v>
      </c>
      <c r="H1397" s="1969">
        <f t="shared" si="201"/>
        <v>7690</v>
      </c>
      <c r="I1397" s="1969">
        <f t="shared" si="202"/>
        <v>450</v>
      </c>
      <c r="J1397" s="1969">
        <f t="shared" si="203"/>
        <v>8140</v>
      </c>
      <c r="K1397" s="1907"/>
      <c r="L1397" s="1971" t="s">
        <v>1899</v>
      </c>
      <c r="M1397" s="1952" t="s">
        <v>1907</v>
      </c>
    </row>
    <row r="1398" spans="1:13" s="1872" customFormat="1">
      <c r="A1398" s="1972"/>
      <c r="B1398" s="1973"/>
      <c r="C1398" s="1974" t="s">
        <v>866</v>
      </c>
      <c r="D1398" s="1930">
        <f>D1397</f>
        <v>1</v>
      </c>
      <c r="E1398" s="1909" t="s">
        <v>5</v>
      </c>
      <c r="F1398" s="1968">
        <v>120</v>
      </c>
      <c r="G1398" s="1975">
        <v>0</v>
      </c>
      <c r="H1398" s="1975">
        <f t="shared" si="201"/>
        <v>120</v>
      </c>
      <c r="I1398" s="1975">
        <f t="shared" si="202"/>
        <v>0</v>
      </c>
      <c r="J1398" s="1975">
        <f t="shared" si="203"/>
        <v>120</v>
      </c>
      <c r="K1398" s="1907"/>
      <c r="L1398" s="1976"/>
      <c r="M1398" s="1885" t="s">
        <v>1879</v>
      </c>
    </row>
    <row r="1399" spans="1:13" s="1872" customFormat="1">
      <c r="A1399" s="1972"/>
      <c r="B1399" s="1973"/>
      <c r="C1399" s="1974" t="s">
        <v>867</v>
      </c>
      <c r="D1399" s="1930">
        <f>D1397</f>
        <v>1</v>
      </c>
      <c r="E1399" s="1909" t="s">
        <v>5</v>
      </c>
      <c r="F1399" s="1968">
        <v>80</v>
      </c>
      <c r="G1399" s="1975">
        <v>35</v>
      </c>
      <c r="H1399" s="1975">
        <f t="shared" si="201"/>
        <v>80</v>
      </c>
      <c r="I1399" s="1975">
        <f t="shared" si="202"/>
        <v>35</v>
      </c>
      <c r="J1399" s="1975">
        <f t="shared" si="203"/>
        <v>115</v>
      </c>
      <c r="K1399" s="1907"/>
      <c r="L1399" s="1976"/>
      <c r="M1399" s="1885" t="s">
        <v>1879</v>
      </c>
    </row>
    <row r="1400" spans="1:13" s="1872" customFormat="1">
      <c r="A1400" s="1972"/>
      <c r="B1400" s="1973"/>
      <c r="C1400" s="1974" t="s">
        <v>868</v>
      </c>
      <c r="D1400" s="1930">
        <v>5</v>
      </c>
      <c r="E1400" s="1909" t="s">
        <v>5</v>
      </c>
      <c r="F1400" s="1968">
        <v>5500</v>
      </c>
      <c r="G1400" s="1975">
        <v>450</v>
      </c>
      <c r="H1400" s="1975">
        <f t="shared" si="201"/>
        <v>27500</v>
      </c>
      <c r="I1400" s="1975">
        <f t="shared" si="202"/>
        <v>2250</v>
      </c>
      <c r="J1400" s="1975">
        <f t="shared" si="203"/>
        <v>29750</v>
      </c>
      <c r="K1400" s="1978"/>
      <c r="L1400" s="1976"/>
      <c r="M1400" s="1885" t="s">
        <v>1879</v>
      </c>
    </row>
    <row r="1401" spans="1:13" s="1976" customFormat="1">
      <c r="A1401" s="2020"/>
      <c r="B1401" s="2021"/>
      <c r="C1401" s="2022" t="s">
        <v>869</v>
      </c>
      <c r="D1401" s="2023">
        <v>9</v>
      </c>
      <c r="E1401" s="1956" t="s">
        <v>5</v>
      </c>
      <c r="F1401" s="1968">
        <v>3500</v>
      </c>
      <c r="G1401" s="1975">
        <v>450</v>
      </c>
      <c r="H1401" s="2024">
        <f t="shared" si="201"/>
        <v>31500</v>
      </c>
      <c r="I1401" s="2024">
        <f t="shared" si="202"/>
        <v>4050</v>
      </c>
      <c r="J1401" s="2024">
        <f t="shared" si="203"/>
        <v>35550</v>
      </c>
      <c r="K1401" s="2065"/>
      <c r="M1401" s="1885" t="s">
        <v>1879</v>
      </c>
    </row>
    <row r="1402" spans="1:13" s="1872" customFormat="1">
      <c r="A1402" s="1972"/>
      <c r="B1402" s="1973"/>
      <c r="C1402" s="1974" t="s">
        <v>870</v>
      </c>
      <c r="D1402" s="1930">
        <f>D1401</f>
        <v>9</v>
      </c>
      <c r="E1402" s="1909" t="s">
        <v>5</v>
      </c>
      <c r="F1402" s="1968">
        <v>900</v>
      </c>
      <c r="G1402" s="1975">
        <v>150</v>
      </c>
      <c r="H1402" s="1975">
        <f t="shared" si="201"/>
        <v>8100</v>
      </c>
      <c r="I1402" s="1975">
        <f t="shared" si="202"/>
        <v>1350</v>
      </c>
      <c r="J1402" s="1975">
        <f t="shared" si="203"/>
        <v>9450</v>
      </c>
      <c r="K1402" s="1978"/>
      <c r="L1402" s="1976"/>
      <c r="M1402" s="1885" t="s">
        <v>1879</v>
      </c>
    </row>
    <row r="1403" spans="1:13" s="1872" customFormat="1">
      <c r="A1403" s="1972"/>
      <c r="B1403" s="1973"/>
      <c r="C1403" s="1974" t="s">
        <v>871</v>
      </c>
      <c r="D1403" s="1930">
        <f>D1401</f>
        <v>9</v>
      </c>
      <c r="E1403" s="1909" t="s">
        <v>5</v>
      </c>
      <c r="F1403" s="1963">
        <v>210</v>
      </c>
      <c r="G1403" s="1975">
        <v>0</v>
      </c>
      <c r="H1403" s="1975">
        <f t="shared" si="201"/>
        <v>1890</v>
      </c>
      <c r="I1403" s="1975">
        <f t="shared" si="202"/>
        <v>0</v>
      </c>
      <c r="J1403" s="1975">
        <f t="shared" si="203"/>
        <v>1890</v>
      </c>
      <c r="K1403" s="1978"/>
      <c r="L1403" s="1976"/>
      <c r="M1403" s="1885" t="s">
        <v>1879</v>
      </c>
    </row>
    <row r="1404" spans="1:13" s="1872" customFormat="1">
      <c r="A1404" s="1863"/>
      <c r="B1404" s="1864"/>
      <c r="C1404" s="1865"/>
      <c r="D1404" s="1866"/>
      <c r="E1404" s="1867"/>
      <c r="F1404" s="1868"/>
      <c r="G1404" s="1868"/>
      <c r="H1404" s="1868"/>
      <c r="I1404" s="1868"/>
      <c r="J1404" s="1868"/>
      <c r="K1404" s="1869"/>
      <c r="L1404" s="1976"/>
      <c r="M1404" s="1885"/>
    </row>
    <row r="1405" spans="1:13" s="1872" customFormat="1">
      <c r="A1405" s="1840"/>
      <c r="B1405" s="1860"/>
      <c r="C1405" s="2133" t="s">
        <v>133</v>
      </c>
      <c r="D1405" s="2134"/>
      <c r="E1405" s="2135"/>
      <c r="F1405" s="2136"/>
      <c r="G1405" s="2137"/>
      <c r="H1405" s="2137"/>
      <c r="I1405" s="2137"/>
      <c r="J1405" s="2137"/>
      <c r="K1405" s="2137"/>
      <c r="L1405" s="1976"/>
      <c r="M1405" s="1885"/>
    </row>
    <row r="1406" spans="1:13" s="1872" customFormat="1">
      <c r="A1406" s="1840"/>
      <c r="B1406" s="2138"/>
      <c r="C1406" s="2139" t="s">
        <v>1769</v>
      </c>
      <c r="D1406" s="2140"/>
      <c r="E1406" s="1861"/>
      <c r="F1406" s="2135"/>
      <c r="G1406" s="2139" t="s">
        <v>134</v>
      </c>
      <c r="H1406" s="2138"/>
      <c r="I1406" s="2138"/>
      <c r="J1406" s="2138"/>
      <c r="K1406" s="2138"/>
      <c r="L1406" s="1976"/>
      <c r="M1406" s="1885"/>
    </row>
    <row r="1407" spans="1:13" s="1872" customFormat="1">
      <c r="A1407" s="1840"/>
      <c r="B1407" s="1871"/>
      <c r="C1407" s="2141" t="s">
        <v>1970</v>
      </c>
      <c r="D1407" s="2140"/>
      <c r="E1407" s="2142"/>
      <c r="F1407" s="2143"/>
      <c r="G1407" s="2144" t="s">
        <v>1971</v>
      </c>
      <c r="H1407" s="2145"/>
      <c r="I1407" s="2145"/>
      <c r="J1407" s="2145"/>
      <c r="K1407" s="2145"/>
      <c r="L1407" s="1976"/>
      <c r="M1407" s="1885"/>
    </row>
    <row r="1408" spans="1:13" s="1872" customFormat="1">
      <c r="A1408" s="1837"/>
      <c r="B1408" s="2138"/>
      <c r="C1408" s="2139" t="s">
        <v>2031</v>
      </c>
      <c r="D1408" s="2140"/>
      <c r="E1408" s="1837"/>
      <c r="F1408" s="2146"/>
      <c r="G1408" s="2139" t="s">
        <v>2031</v>
      </c>
      <c r="H1408" s="1837"/>
      <c r="I1408" s="1837"/>
      <c r="J1408" s="1837"/>
      <c r="K1408" s="1837"/>
      <c r="L1408" s="1976"/>
      <c r="M1408" s="1885"/>
    </row>
    <row r="1409" spans="1:14" s="1872" customFormat="1">
      <c r="A1409" s="1952"/>
      <c r="B1409" s="1871"/>
      <c r="C1409" s="2147" t="s">
        <v>1984</v>
      </c>
      <c r="D1409" s="2140"/>
      <c r="E1409" s="1837"/>
      <c r="F1409" s="2135"/>
      <c r="G1409" s="2147" t="s">
        <v>1985</v>
      </c>
      <c r="H1409" s="1952"/>
      <c r="I1409" s="1952"/>
      <c r="J1409" s="1952"/>
      <c r="K1409" s="1952"/>
      <c r="L1409" s="1976"/>
      <c r="M1409" s="1885"/>
    </row>
    <row r="1410" spans="1:14" s="1872" customFormat="1">
      <c r="A1410" s="1952"/>
      <c r="B1410" s="1952"/>
      <c r="C1410" s="2139" t="s">
        <v>670</v>
      </c>
      <c r="D1410" s="2139"/>
      <c r="E1410" s="2143"/>
      <c r="F1410" s="2143"/>
      <c r="G1410" s="1952"/>
      <c r="H1410" s="1952"/>
      <c r="I1410" s="1952"/>
      <c r="J1410" s="1952"/>
      <c r="K1410" s="1952"/>
      <c r="L1410" s="1976"/>
      <c r="M1410" s="1885"/>
    </row>
    <row r="1411" spans="1:14" s="1872" customFormat="1">
      <c r="A1411" s="1840"/>
      <c r="B1411" s="1840"/>
      <c r="C1411" s="2147" t="s">
        <v>1972</v>
      </c>
      <c r="D1411" s="2147"/>
      <c r="E1411" s="2146"/>
      <c r="F1411" s="2146"/>
      <c r="G1411" s="1870"/>
      <c r="H1411" s="1870"/>
      <c r="I1411" s="1870"/>
      <c r="J1411" s="1870"/>
      <c r="K1411" s="1871"/>
      <c r="L1411" s="1976"/>
      <c r="M1411" s="1885"/>
    </row>
    <row r="1412" spans="1:14" s="1872" customFormat="1">
      <c r="A1412" s="1972"/>
      <c r="B1412" s="1973"/>
      <c r="C1412" s="1974" t="s">
        <v>872</v>
      </c>
      <c r="D1412" s="1930">
        <f>D1401</f>
        <v>9</v>
      </c>
      <c r="E1412" s="1909" t="s">
        <v>5</v>
      </c>
      <c r="F1412" s="1968">
        <v>310</v>
      </c>
      <c r="G1412" s="1975">
        <v>0</v>
      </c>
      <c r="H1412" s="1975">
        <f t="shared" si="201"/>
        <v>2790</v>
      </c>
      <c r="I1412" s="1975">
        <f t="shared" si="202"/>
        <v>0</v>
      </c>
      <c r="J1412" s="1975">
        <f t="shared" si="203"/>
        <v>2790</v>
      </c>
      <c r="K1412" s="1978"/>
      <c r="L1412" s="1976"/>
    </row>
    <row r="1413" spans="1:14" s="1872" customFormat="1">
      <c r="A1413" s="1972"/>
      <c r="B1413" s="1973"/>
      <c r="C1413" s="1974" t="s">
        <v>873</v>
      </c>
      <c r="D1413" s="1930">
        <f>D1401</f>
        <v>9</v>
      </c>
      <c r="E1413" s="1909" t="s">
        <v>5</v>
      </c>
      <c r="F1413" s="1968">
        <v>120</v>
      </c>
      <c r="G1413" s="1975">
        <v>0</v>
      </c>
      <c r="H1413" s="1975">
        <f t="shared" si="201"/>
        <v>1080</v>
      </c>
      <c r="I1413" s="1975">
        <f t="shared" si="202"/>
        <v>0</v>
      </c>
      <c r="J1413" s="1975">
        <f t="shared" si="203"/>
        <v>1080</v>
      </c>
      <c r="K1413" s="1978"/>
      <c r="L1413" s="1976"/>
      <c r="M1413" s="1885" t="s">
        <v>1879</v>
      </c>
    </row>
    <row r="1414" spans="1:14" s="1872" customFormat="1">
      <c r="A1414" s="1972"/>
      <c r="B1414" s="1973"/>
      <c r="C1414" s="1974" t="s">
        <v>867</v>
      </c>
      <c r="D1414" s="1930">
        <f>D1401</f>
        <v>9</v>
      </c>
      <c r="E1414" s="1909" t="s">
        <v>5</v>
      </c>
      <c r="F1414" s="1968">
        <v>80</v>
      </c>
      <c r="G1414" s="1975">
        <v>35</v>
      </c>
      <c r="H1414" s="1975">
        <f t="shared" si="201"/>
        <v>720</v>
      </c>
      <c r="I1414" s="1975">
        <f t="shared" si="202"/>
        <v>315</v>
      </c>
      <c r="J1414" s="1975">
        <f t="shared" si="203"/>
        <v>1035</v>
      </c>
      <c r="K1414" s="1978"/>
      <c r="L1414" s="1976"/>
      <c r="M1414" s="1885" t="s">
        <v>1879</v>
      </c>
    </row>
    <row r="1415" spans="1:14" s="1872" customFormat="1">
      <c r="A1415" s="1972"/>
      <c r="B1415" s="1973"/>
      <c r="C1415" s="1974" t="s">
        <v>886</v>
      </c>
      <c r="D1415" s="1930">
        <v>1</v>
      </c>
      <c r="E1415" s="1909" t="s">
        <v>5</v>
      </c>
      <c r="F1415" s="1968">
        <v>3500</v>
      </c>
      <c r="G1415" s="1975">
        <v>450</v>
      </c>
      <c r="H1415" s="1975">
        <f t="shared" si="201"/>
        <v>3500</v>
      </c>
      <c r="I1415" s="1975">
        <f t="shared" si="202"/>
        <v>450</v>
      </c>
      <c r="J1415" s="1975">
        <f t="shared" si="203"/>
        <v>3950</v>
      </c>
      <c r="K1415" s="1978"/>
      <c r="L1415" s="1976"/>
      <c r="M1415" s="1885" t="s">
        <v>1879</v>
      </c>
    </row>
    <row r="1416" spans="1:14" s="1872" customFormat="1">
      <c r="A1416" s="1972"/>
      <c r="B1416" s="1973"/>
      <c r="C1416" s="1974" t="s">
        <v>880</v>
      </c>
      <c r="D1416" s="1930">
        <f>D1415</f>
        <v>1</v>
      </c>
      <c r="E1416" s="1909" t="s">
        <v>5</v>
      </c>
      <c r="F1416" s="1968">
        <v>900</v>
      </c>
      <c r="G1416" s="1975">
        <v>150</v>
      </c>
      <c r="H1416" s="1975">
        <f t="shared" si="201"/>
        <v>900</v>
      </c>
      <c r="I1416" s="1975">
        <f t="shared" si="202"/>
        <v>150</v>
      </c>
      <c r="J1416" s="1975">
        <f t="shared" si="203"/>
        <v>1050</v>
      </c>
      <c r="K1416" s="1978"/>
      <c r="L1416" s="1976"/>
      <c r="M1416" s="1885" t="s">
        <v>1879</v>
      </c>
    </row>
    <row r="1417" spans="1:14" s="1872" customFormat="1">
      <c r="A1417" s="1972"/>
      <c r="B1417" s="1973"/>
      <c r="C1417" s="1974" t="s">
        <v>881</v>
      </c>
      <c r="D1417" s="1930">
        <f>D1415</f>
        <v>1</v>
      </c>
      <c r="E1417" s="1909" t="s">
        <v>5</v>
      </c>
      <c r="F1417" s="1968">
        <v>210</v>
      </c>
      <c r="G1417" s="1975">
        <v>0</v>
      </c>
      <c r="H1417" s="1975">
        <f t="shared" si="201"/>
        <v>210</v>
      </c>
      <c r="I1417" s="1975">
        <f t="shared" si="202"/>
        <v>0</v>
      </c>
      <c r="J1417" s="1975">
        <f t="shared" si="203"/>
        <v>210</v>
      </c>
      <c r="K1417" s="1978"/>
      <c r="L1417" s="1976"/>
      <c r="M1417" s="1885" t="s">
        <v>1879</v>
      </c>
    </row>
    <row r="1418" spans="1:14" s="1872" customFormat="1">
      <c r="A1418" s="1972"/>
      <c r="B1418" s="1973"/>
      <c r="C1418" s="1974" t="s">
        <v>882</v>
      </c>
      <c r="D1418" s="1930">
        <f>D1415</f>
        <v>1</v>
      </c>
      <c r="E1418" s="1909" t="s">
        <v>5</v>
      </c>
      <c r="F1418" s="1968">
        <v>310</v>
      </c>
      <c r="G1418" s="1975">
        <v>0</v>
      </c>
      <c r="H1418" s="1975">
        <f t="shared" si="201"/>
        <v>310</v>
      </c>
      <c r="I1418" s="1975">
        <f t="shared" si="202"/>
        <v>0</v>
      </c>
      <c r="J1418" s="1975">
        <f t="shared" si="203"/>
        <v>310</v>
      </c>
      <c r="K1418" s="1978"/>
      <c r="L1418" s="1976"/>
      <c r="M1418" s="1885" t="s">
        <v>1879</v>
      </c>
    </row>
    <row r="1419" spans="1:14" s="1872" customFormat="1">
      <c r="A1419" s="1972"/>
      <c r="B1419" s="1973"/>
      <c r="C1419" s="1974" t="s">
        <v>873</v>
      </c>
      <c r="D1419" s="1930">
        <f>D1415</f>
        <v>1</v>
      </c>
      <c r="E1419" s="1909" t="s">
        <v>5</v>
      </c>
      <c r="F1419" s="1968">
        <v>120</v>
      </c>
      <c r="G1419" s="1975">
        <v>0</v>
      </c>
      <c r="H1419" s="1975">
        <f t="shared" si="201"/>
        <v>120</v>
      </c>
      <c r="I1419" s="1975">
        <f t="shared" si="202"/>
        <v>0</v>
      </c>
      <c r="J1419" s="1975">
        <f t="shared" si="203"/>
        <v>120</v>
      </c>
      <c r="K1419" s="1978"/>
      <c r="L1419" s="1976"/>
      <c r="M1419" s="1885" t="s">
        <v>1879</v>
      </c>
    </row>
    <row r="1420" spans="1:14" s="1872" customFormat="1">
      <c r="A1420" s="1972"/>
      <c r="B1420" s="1973"/>
      <c r="C1420" s="1974" t="s">
        <v>867</v>
      </c>
      <c r="D1420" s="1930">
        <f>D1415</f>
        <v>1</v>
      </c>
      <c r="E1420" s="1909" t="s">
        <v>5</v>
      </c>
      <c r="F1420" s="1968">
        <v>80</v>
      </c>
      <c r="G1420" s="1975">
        <v>35</v>
      </c>
      <c r="H1420" s="1975">
        <f t="shared" si="201"/>
        <v>80</v>
      </c>
      <c r="I1420" s="1975">
        <f t="shared" si="202"/>
        <v>35</v>
      </c>
      <c r="J1420" s="1975">
        <f t="shared" si="203"/>
        <v>115</v>
      </c>
      <c r="K1420" s="1978"/>
      <c r="L1420" s="1976"/>
      <c r="M1420" s="1885" t="s">
        <v>1879</v>
      </c>
    </row>
    <row r="1421" spans="1:14" s="1872" customFormat="1">
      <c r="A1421" s="1903"/>
      <c r="B1421" s="1904"/>
      <c r="C1421" s="1905" t="s">
        <v>883</v>
      </c>
      <c r="D1421" s="1898">
        <v>1</v>
      </c>
      <c r="E1421" s="1899" t="s">
        <v>5</v>
      </c>
      <c r="F1421" s="1900">
        <v>3400</v>
      </c>
      <c r="G1421" s="1900">
        <v>105</v>
      </c>
      <c r="H1421" s="1906">
        <f>+F1421*D1421</f>
        <v>3400</v>
      </c>
      <c r="I1421" s="1906">
        <f>+G1421*D1421</f>
        <v>105</v>
      </c>
      <c r="J1421" s="1906">
        <f>+H1421+I1421</f>
        <v>3505</v>
      </c>
      <c r="K1421" s="1978"/>
      <c r="L1421" s="1976"/>
      <c r="M1421" s="1885" t="s">
        <v>1879</v>
      </c>
    </row>
    <row r="1422" spans="1:14" s="1872" customFormat="1">
      <c r="A1422" s="1903"/>
      <c r="B1422" s="1904"/>
      <c r="C1422" s="1905" t="s">
        <v>884</v>
      </c>
      <c r="D1422" s="1898">
        <v>1</v>
      </c>
      <c r="E1422" s="1899" t="s">
        <v>5</v>
      </c>
      <c r="F1422" s="1900">
        <v>3400</v>
      </c>
      <c r="G1422" s="1900">
        <v>105</v>
      </c>
      <c r="H1422" s="1906">
        <f>+F1422*D1422</f>
        <v>3400</v>
      </c>
      <c r="I1422" s="1906">
        <f>+G1422*D1422</f>
        <v>105</v>
      </c>
      <c r="J1422" s="1906">
        <f>+H1422+I1422</f>
        <v>3505</v>
      </c>
      <c r="K1422" s="1978"/>
      <c r="L1422" s="1976"/>
      <c r="M1422" s="1885" t="s">
        <v>1879</v>
      </c>
    </row>
    <row r="1423" spans="1:14">
      <c r="A1423" s="1903"/>
      <c r="B1423" s="1904"/>
      <c r="C1423" s="1905" t="s">
        <v>885</v>
      </c>
      <c r="D1423" s="1898">
        <v>1</v>
      </c>
      <c r="E1423" s="1899" t="s">
        <v>5</v>
      </c>
      <c r="F1423" s="1900">
        <v>220</v>
      </c>
      <c r="G1423" s="1900">
        <v>70</v>
      </c>
      <c r="H1423" s="1906">
        <f>+F1423*D1423</f>
        <v>220</v>
      </c>
      <c r="I1423" s="1906">
        <f>+G1423*D1423</f>
        <v>70</v>
      </c>
      <c r="J1423" s="1906">
        <f>+H1423+I1423</f>
        <v>290</v>
      </c>
      <c r="K1423" s="1978"/>
      <c r="L1423" s="1976"/>
      <c r="M1423" s="1885" t="s">
        <v>1879</v>
      </c>
      <c r="N1423" s="1861"/>
    </row>
    <row r="1424" spans="1:14">
      <c r="A1424" s="1972"/>
      <c r="B1424" s="1973"/>
      <c r="C1424" s="1974" t="s">
        <v>874</v>
      </c>
      <c r="D1424" s="1930">
        <v>1</v>
      </c>
      <c r="E1424" s="1909" t="s">
        <v>5</v>
      </c>
      <c r="F1424" s="1968">
        <v>1142</v>
      </c>
      <c r="G1424" s="1975">
        <v>70</v>
      </c>
      <c r="H1424" s="1975">
        <f t="shared" ref="H1424:H1432" si="204">F1424*D1424</f>
        <v>1142</v>
      </c>
      <c r="I1424" s="1975">
        <f t="shared" ref="I1424:I1432" si="205">G1424*D1424</f>
        <v>70</v>
      </c>
      <c r="J1424" s="1975">
        <f t="shared" ref="J1424:J1432" si="206">SUM(H1424:I1424)</f>
        <v>1212</v>
      </c>
      <c r="K1424" s="1978"/>
      <c r="L1424" s="1979" t="s">
        <v>1899</v>
      </c>
      <c r="M1424" s="1872" t="s">
        <v>1907</v>
      </c>
    </row>
    <row r="1425" spans="1:14" s="1872" customFormat="1">
      <c r="A1425" s="1972"/>
      <c r="B1425" s="1973"/>
      <c r="C1425" s="1974" t="s">
        <v>1897</v>
      </c>
      <c r="D1425" s="1930">
        <v>1</v>
      </c>
      <c r="E1425" s="1909" t="s">
        <v>5</v>
      </c>
      <c r="F1425" s="1968">
        <v>3200</v>
      </c>
      <c r="G1425" s="1975">
        <v>400</v>
      </c>
      <c r="H1425" s="1975">
        <f>F1425*D1425</f>
        <v>3200</v>
      </c>
      <c r="I1425" s="1975">
        <f>G1425*D1425</f>
        <v>400</v>
      </c>
      <c r="J1425" s="1975">
        <f>SUM(H1425:I1425)</f>
        <v>3600</v>
      </c>
      <c r="K1425" s="1978"/>
      <c r="L1425" s="1979" t="s">
        <v>1906</v>
      </c>
      <c r="M1425" s="1952" t="s">
        <v>1908</v>
      </c>
    </row>
    <row r="1426" spans="1:14" s="1872" customFormat="1">
      <c r="A1426" s="1972"/>
      <c r="B1426" s="1973"/>
      <c r="C1426" s="1974" t="s">
        <v>1902</v>
      </c>
      <c r="D1426" s="1930">
        <v>1</v>
      </c>
      <c r="E1426" s="1909" t="s">
        <v>5</v>
      </c>
      <c r="F1426" s="1968">
        <v>4000</v>
      </c>
      <c r="G1426" s="1975">
        <v>400</v>
      </c>
      <c r="H1426" s="1975">
        <f>F1426*D1426</f>
        <v>4000</v>
      </c>
      <c r="I1426" s="1975">
        <f>G1426*D1426</f>
        <v>400</v>
      </c>
      <c r="J1426" s="1975">
        <f>SUM(H1426:I1426)</f>
        <v>4400</v>
      </c>
      <c r="K1426" s="1978"/>
      <c r="L1426" s="1979" t="s">
        <v>1906</v>
      </c>
      <c r="M1426" s="1952" t="s">
        <v>1908</v>
      </c>
    </row>
    <row r="1427" spans="1:14" s="1872" customFormat="1">
      <c r="A1427" s="1972"/>
      <c r="B1427" s="1973"/>
      <c r="C1427" s="1974" t="s">
        <v>377</v>
      </c>
      <c r="D1427" s="1930">
        <v>10</v>
      </c>
      <c r="E1427" s="1909" t="s">
        <v>5</v>
      </c>
      <c r="F1427" s="1968">
        <v>300</v>
      </c>
      <c r="G1427" s="1975">
        <v>70</v>
      </c>
      <c r="H1427" s="1975">
        <f t="shared" si="204"/>
        <v>3000</v>
      </c>
      <c r="I1427" s="1975">
        <f t="shared" si="205"/>
        <v>700</v>
      </c>
      <c r="J1427" s="1975">
        <f t="shared" si="206"/>
        <v>3700</v>
      </c>
      <c r="K1427" s="1978"/>
      <c r="L1427" s="1978"/>
      <c r="M1427" s="1885" t="s">
        <v>1879</v>
      </c>
    </row>
    <row r="1428" spans="1:14">
      <c r="A1428" s="1972"/>
      <c r="B1428" s="1973"/>
      <c r="C1428" s="1974" t="s">
        <v>867</v>
      </c>
      <c r="D1428" s="1930">
        <f>D1427</f>
        <v>10</v>
      </c>
      <c r="E1428" s="1909" t="s">
        <v>5</v>
      </c>
      <c r="F1428" s="1968">
        <v>80</v>
      </c>
      <c r="G1428" s="1975">
        <v>35</v>
      </c>
      <c r="H1428" s="1975">
        <f t="shared" si="204"/>
        <v>800</v>
      </c>
      <c r="I1428" s="1975">
        <f t="shared" si="205"/>
        <v>350</v>
      </c>
      <c r="J1428" s="1975">
        <f t="shared" si="206"/>
        <v>1150</v>
      </c>
      <c r="K1428" s="1978"/>
      <c r="L1428" s="1979"/>
      <c r="M1428" s="1872" t="s">
        <v>1879</v>
      </c>
    </row>
    <row r="1429" spans="1:14" s="1872" customFormat="1">
      <c r="A1429" s="1897"/>
      <c r="B1429" s="2008"/>
      <c r="C1429" s="2009" t="s">
        <v>376</v>
      </c>
      <c r="D1429" s="1991">
        <v>10</v>
      </c>
      <c r="E1429" s="1897" t="s">
        <v>5</v>
      </c>
      <c r="F1429" s="2012">
        <v>390</v>
      </c>
      <c r="G1429" s="2012">
        <v>120</v>
      </c>
      <c r="H1429" s="1964">
        <f t="shared" si="204"/>
        <v>3900</v>
      </c>
      <c r="I1429" s="1964">
        <f t="shared" si="205"/>
        <v>1200</v>
      </c>
      <c r="J1429" s="1964">
        <f t="shared" si="206"/>
        <v>5100</v>
      </c>
      <c r="K1429" s="1978"/>
      <c r="L1429" s="2066"/>
      <c r="M1429" s="1885" t="s">
        <v>1879</v>
      </c>
    </row>
    <row r="1430" spans="1:14" s="1872" customFormat="1">
      <c r="A1430" s="1972"/>
      <c r="B1430" s="1973"/>
      <c r="C1430" s="1974" t="s">
        <v>875</v>
      </c>
      <c r="D1430" s="1930">
        <v>3</v>
      </c>
      <c r="E1430" s="1909" t="s">
        <v>5</v>
      </c>
      <c r="F1430" s="1968">
        <v>125</v>
      </c>
      <c r="G1430" s="1975">
        <v>25</v>
      </c>
      <c r="H1430" s="1975">
        <f t="shared" si="204"/>
        <v>375</v>
      </c>
      <c r="I1430" s="1975">
        <f t="shared" si="205"/>
        <v>75</v>
      </c>
      <c r="J1430" s="1975">
        <f t="shared" si="206"/>
        <v>450</v>
      </c>
      <c r="K1430" s="1978"/>
      <c r="L1430" s="1978"/>
      <c r="M1430" s="1885" t="s">
        <v>1879</v>
      </c>
    </row>
    <row r="1431" spans="1:14">
      <c r="A1431" s="1972"/>
      <c r="B1431" s="1973"/>
      <c r="C1431" s="1974" t="s">
        <v>878</v>
      </c>
      <c r="D1431" s="1930">
        <v>12</v>
      </c>
      <c r="E1431" s="1909" t="s">
        <v>5</v>
      </c>
      <c r="F1431" s="1968">
        <v>150</v>
      </c>
      <c r="G1431" s="1975">
        <v>75</v>
      </c>
      <c r="H1431" s="1975">
        <f t="shared" si="204"/>
        <v>1800</v>
      </c>
      <c r="I1431" s="1975">
        <f t="shared" si="205"/>
        <v>900</v>
      </c>
      <c r="J1431" s="1975">
        <f t="shared" si="206"/>
        <v>2700</v>
      </c>
      <c r="K1431" s="1978"/>
      <c r="L1431" s="1978"/>
      <c r="M1431" s="1885" t="s">
        <v>1879</v>
      </c>
      <c r="N1431" s="1861"/>
    </row>
    <row r="1432" spans="1:14" s="1872" customFormat="1">
      <c r="A1432" s="1972"/>
      <c r="B1432" s="1973"/>
      <c r="C1432" s="1980" t="s">
        <v>876</v>
      </c>
      <c r="D1432" s="1981">
        <v>7.8</v>
      </c>
      <c r="E1432" s="1982" t="s">
        <v>86</v>
      </c>
      <c r="F1432" s="1983">
        <v>2850</v>
      </c>
      <c r="G1432" s="1984">
        <v>198</v>
      </c>
      <c r="H1432" s="1975">
        <f t="shared" si="204"/>
        <v>22230</v>
      </c>
      <c r="I1432" s="1975">
        <f t="shared" si="205"/>
        <v>1544.3999999999999</v>
      </c>
      <c r="J1432" s="1975">
        <f t="shared" si="206"/>
        <v>23774.400000000001</v>
      </c>
      <c r="K1432" s="1978"/>
      <c r="L1432" s="1971" t="s">
        <v>1922</v>
      </c>
      <c r="M1432" s="1872" t="s">
        <v>1898</v>
      </c>
    </row>
    <row r="1433" spans="1:14" s="1872" customFormat="1">
      <c r="A1433" s="1863"/>
      <c r="B1433" s="1864"/>
      <c r="C1433" s="1865"/>
      <c r="D1433" s="1866"/>
      <c r="E1433" s="1867"/>
      <c r="F1433" s="1868"/>
      <c r="G1433" s="1868"/>
      <c r="H1433" s="1868"/>
      <c r="I1433" s="1868"/>
      <c r="J1433" s="1868"/>
      <c r="K1433" s="1869"/>
      <c r="L1433" s="1971"/>
    </row>
    <row r="1434" spans="1:14" s="1872" customFormat="1">
      <c r="A1434" s="1840"/>
      <c r="B1434" s="1860"/>
      <c r="C1434" s="2133" t="s">
        <v>133</v>
      </c>
      <c r="D1434" s="2134"/>
      <c r="E1434" s="2135"/>
      <c r="F1434" s="2136"/>
      <c r="G1434" s="2137"/>
      <c r="H1434" s="2137"/>
      <c r="I1434" s="2137"/>
      <c r="J1434" s="2137"/>
      <c r="K1434" s="2137"/>
      <c r="L1434" s="1971"/>
    </row>
    <row r="1435" spans="1:14" s="1872" customFormat="1">
      <c r="A1435" s="1840"/>
      <c r="B1435" s="2138"/>
      <c r="C1435" s="2139" t="s">
        <v>1769</v>
      </c>
      <c r="D1435" s="2140"/>
      <c r="E1435" s="1861"/>
      <c r="F1435" s="2135"/>
      <c r="G1435" s="2139" t="s">
        <v>134</v>
      </c>
      <c r="H1435" s="2138"/>
      <c r="I1435" s="2138"/>
      <c r="J1435" s="2138"/>
      <c r="K1435" s="2138"/>
      <c r="L1435" s="1971"/>
    </row>
    <row r="1436" spans="1:14" s="1872" customFormat="1">
      <c r="A1436" s="1840"/>
      <c r="B1436" s="1871"/>
      <c r="C1436" s="2141" t="s">
        <v>1970</v>
      </c>
      <c r="D1436" s="2140"/>
      <c r="E1436" s="2142"/>
      <c r="F1436" s="2143"/>
      <c r="G1436" s="2144" t="s">
        <v>1971</v>
      </c>
      <c r="H1436" s="2145"/>
      <c r="I1436" s="2145"/>
      <c r="J1436" s="2145"/>
      <c r="K1436" s="2145"/>
      <c r="L1436" s="1971"/>
    </row>
    <row r="1437" spans="1:14" s="1872" customFormat="1">
      <c r="A1437" s="1837"/>
      <c r="B1437" s="2138"/>
      <c r="C1437" s="2139" t="s">
        <v>2031</v>
      </c>
      <c r="D1437" s="2140"/>
      <c r="E1437" s="1837"/>
      <c r="F1437" s="2146"/>
      <c r="G1437" s="2139" t="s">
        <v>2031</v>
      </c>
      <c r="H1437" s="1837"/>
      <c r="I1437" s="1837"/>
      <c r="J1437" s="1837"/>
      <c r="K1437" s="1837"/>
      <c r="L1437" s="1971"/>
    </row>
    <row r="1438" spans="1:14" s="1872" customFormat="1">
      <c r="A1438" s="1952"/>
      <c r="B1438" s="1871"/>
      <c r="C1438" s="2147" t="s">
        <v>1984</v>
      </c>
      <c r="D1438" s="2140"/>
      <c r="E1438" s="1837"/>
      <c r="F1438" s="2135"/>
      <c r="G1438" s="2147" t="s">
        <v>1985</v>
      </c>
      <c r="H1438" s="1952"/>
      <c r="I1438" s="1952"/>
      <c r="J1438" s="1952"/>
      <c r="K1438" s="1952"/>
      <c r="L1438" s="1971"/>
    </row>
    <row r="1439" spans="1:14" s="1872" customFormat="1">
      <c r="A1439" s="1952"/>
      <c r="B1439" s="1952"/>
      <c r="C1439" s="2139" t="s">
        <v>670</v>
      </c>
      <c r="D1439" s="2139"/>
      <c r="E1439" s="2143"/>
      <c r="F1439" s="2143"/>
      <c r="G1439" s="1952"/>
      <c r="H1439" s="1952"/>
      <c r="I1439" s="1952"/>
      <c r="J1439" s="1952"/>
      <c r="K1439" s="1952"/>
      <c r="L1439" s="1971"/>
    </row>
    <row r="1440" spans="1:14" s="1872" customFormat="1">
      <c r="A1440" s="1840"/>
      <c r="B1440" s="1840"/>
      <c r="C1440" s="2147" t="s">
        <v>1972</v>
      </c>
      <c r="D1440" s="2147"/>
      <c r="E1440" s="2146"/>
      <c r="F1440" s="2146"/>
      <c r="G1440" s="1870"/>
      <c r="H1440" s="1870"/>
      <c r="I1440" s="1870"/>
      <c r="J1440" s="1870"/>
      <c r="K1440" s="1871"/>
      <c r="L1440" s="1971"/>
    </row>
    <row r="1441" spans="1:14" s="1872" customFormat="1">
      <c r="A1441" s="1985"/>
      <c r="B1441" s="1986"/>
      <c r="C1441" s="1974" t="s">
        <v>877</v>
      </c>
      <c r="D1441" s="1930">
        <v>6.5</v>
      </c>
      <c r="E1441" s="1909" t="s">
        <v>86</v>
      </c>
      <c r="F1441" s="1968">
        <v>3028</v>
      </c>
      <c r="G1441" s="1975">
        <v>392</v>
      </c>
      <c r="H1441" s="1987">
        <f>ROUND(F1441*D1441,2)</f>
        <v>19682</v>
      </c>
      <c r="I1441" s="1987">
        <f>ROUND(G1441*D1441,2)</f>
        <v>2548</v>
      </c>
      <c r="J1441" s="1988">
        <f>+H1441+I1441</f>
        <v>22230</v>
      </c>
      <c r="K1441" s="1978"/>
      <c r="L1441" s="1978"/>
      <c r="M1441" s="1872" t="s">
        <v>1898</v>
      </c>
    </row>
    <row r="1442" spans="1:14" s="1872" customFormat="1">
      <c r="A1442" s="1985"/>
      <c r="B1442" s="1986"/>
      <c r="C1442" s="1974" t="s">
        <v>1075</v>
      </c>
      <c r="D1442" s="1930">
        <v>28.45</v>
      </c>
      <c r="E1442" s="1909" t="s">
        <v>86</v>
      </c>
      <c r="F1442" s="1968">
        <v>8500</v>
      </c>
      <c r="G1442" s="1975">
        <v>2200</v>
      </c>
      <c r="H1442" s="1987">
        <f>ROUND(F1442*D1442,2)</f>
        <v>241825</v>
      </c>
      <c r="I1442" s="1987">
        <f>ROUND(G1442*D1442,2)</f>
        <v>62590</v>
      </c>
      <c r="J1442" s="1988">
        <f>+H1442+I1442</f>
        <v>304415</v>
      </c>
      <c r="K1442" s="1978"/>
      <c r="L1442" s="1979" t="s">
        <v>1885</v>
      </c>
      <c r="M1442" s="1952" t="s">
        <v>622</v>
      </c>
    </row>
    <row r="1443" spans="1:14" s="1872" customFormat="1">
      <c r="A1443" s="1903"/>
      <c r="B1443" s="2052" t="s">
        <v>249</v>
      </c>
      <c r="C1443" s="1905"/>
      <c r="D1443" s="1909"/>
      <c r="E1443" s="1910"/>
      <c r="F1443" s="1906"/>
      <c r="G1443" s="1906"/>
      <c r="H1443" s="1906"/>
      <c r="I1443" s="1906"/>
      <c r="J1443" s="1906"/>
      <c r="K1443" s="1978"/>
      <c r="L1443" s="1976"/>
      <c r="M1443" s="1902"/>
    </row>
    <row r="1444" spans="1:14" s="1872" customFormat="1">
      <c r="A1444" s="1903"/>
      <c r="B1444" s="1904" t="s">
        <v>277</v>
      </c>
      <c r="C1444" s="1905" t="s">
        <v>960</v>
      </c>
      <c r="D1444" s="1909"/>
      <c r="E1444" s="1910"/>
      <c r="F1444" s="1906"/>
      <c r="G1444" s="1906"/>
      <c r="H1444" s="1906"/>
      <c r="I1444" s="1906"/>
      <c r="J1444" s="1906"/>
      <c r="K1444" s="1978"/>
      <c r="L1444" s="1976"/>
      <c r="M1444" s="1902"/>
    </row>
    <row r="1445" spans="1:14" s="1862" customFormat="1" ht="48">
      <c r="A1445" s="1911"/>
      <c r="B1445" s="1912" t="s">
        <v>107</v>
      </c>
      <c r="C1445" s="1990" t="s">
        <v>1915</v>
      </c>
      <c r="D1445" s="1991">
        <v>24.8</v>
      </c>
      <c r="E1445" s="1911" t="s">
        <v>86</v>
      </c>
      <c r="F1445" s="1922">
        <v>606</v>
      </c>
      <c r="G1445" s="1922">
        <v>222</v>
      </c>
      <c r="H1445" s="1916">
        <f t="shared" ref="H1445:H1451" si="207">+F1445*D1445</f>
        <v>15028.800000000001</v>
      </c>
      <c r="I1445" s="1916">
        <f t="shared" ref="I1445:I1451" si="208">+G1445*D1445</f>
        <v>5505.6</v>
      </c>
      <c r="J1445" s="1916">
        <f t="shared" ref="J1445:J1451" si="209">+H1445+I1445</f>
        <v>20534.400000000001</v>
      </c>
      <c r="K1445" s="1917"/>
      <c r="L1445" s="2048"/>
      <c r="M1445" s="1992" t="s">
        <v>1879</v>
      </c>
      <c r="N1445" s="1852"/>
    </row>
    <row r="1446" spans="1:14">
      <c r="A1446" s="1903"/>
      <c r="B1446" s="1904" t="s">
        <v>107</v>
      </c>
      <c r="C1446" s="1993" t="s">
        <v>948</v>
      </c>
      <c r="D1446" s="1981">
        <v>24.8</v>
      </c>
      <c r="E1446" s="1994" t="s">
        <v>84</v>
      </c>
      <c r="F1446" s="1995">
        <v>0</v>
      </c>
      <c r="G1446" s="1996">
        <v>200</v>
      </c>
      <c r="H1446" s="1906">
        <f t="shared" si="207"/>
        <v>0</v>
      </c>
      <c r="I1446" s="1906">
        <f t="shared" si="208"/>
        <v>4960</v>
      </c>
      <c r="J1446" s="1906">
        <f t="shared" si="209"/>
        <v>4960</v>
      </c>
      <c r="K1446" s="1907"/>
      <c r="M1446" s="1885" t="s">
        <v>1016</v>
      </c>
    </row>
    <row r="1447" spans="1:14">
      <c r="A1447" s="1965"/>
      <c r="B1447" s="1997" t="s">
        <v>107</v>
      </c>
      <c r="C1447" s="1993" t="s">
        <v>1087</v>
      </c>
      <c r="D1447" s="1998">
        <v>45.5</v>
      </c>
      <c r="E1447" s="1999" t="s">
        <v>87</v>
      </c>
      <c r="F1447" s="1975">
        <v>28.9</v>
      </c>
      <c r="G1447" s="1975">
        <v>10</v>
      </c>
      <c r="H1447" s="1906">
        <f t="shared" si="207"/>
        <v>1314.95</v>
      </c>
      <c r="I1447" s="1906">
        <f t="shared" si="208"/>
        <v>455</v>
      </c>
      <c r="J1447" s="1906">
        <f t="shared" si="209"/>
        <v>1769.95</v>
      </c>
      <c r="K1447" s="1907"/>
      <c r="M1447" s="1885" t="s">
        <v>1021</v>
      </c>
    </row>
    <row r="1448" spans="1:14">
      <c r="A1448" s="1965"/>
      <c r="B1448" s="1997" t="s">
        <v>107</v>
      </c>
      <c r="C1448" s="1993" t="s">
        <v>1084</v>
      </c>
      <c r="D1448" s="1998">
        <v>330.3</v>
      </c>
      <c r="E1448" s="1999" t="s">
        <v>87</v>
      </c>
      <c r="F1448" s="1975">
        <v>28.9</v>
      </c>
      <c r="G1448" s="1975">
        <v>10</v>
      </c>
      <c r="H1448" s="1906">
        <f t="shared" si="207"/>
        <v>9545.67</v>
      </c>
      <c r="I1448" s="1906">
        <f t="shared" si="208"/>
        <v>3303</v>
      </c>
      <c r="J1448" s="1906">
        <f t="shared" si="209"/>
        <v>12848.67</v>
      </c>
      <c r="K1448" s="1907"/>
      <c r="M1448" s="1885" t="s">
        <v>1021</v>
      </c>
    </row>
    <row r="1449" spans="1:14">
      <c r="A1449" s="1965"/>
      <c r="B1449" s="1997" t="s">
        <v>107</v>
      </c>
      <c r="C1449" s="1993" t="s">
        <v>1088</v>
      </c>
      <c r="D1449" s="1998">
        <v>45.15</v>
      </c>
      <c r="E1449" s="1999" t="s">
        <v>87</v>
      </c>
      <c r="F1449" s="1975">
        <v>31</v>
      </c>
      <c r="G1449" s="1975">
        <v>10</v>
      </c>
      <c r="H1449" s="1906">
        <f t="shared" si="207"/>
        <v>1399.6499999999999</v>
      </c>
      <c r="I1449" s="1906">
        <f t="shared" si="208"/>
        <v>451.5</v>
      </c>
      <c r="J1449" s="1906">
        <f t="shared" si="209"/>
        <v>1851.1499999999999</v>
      </c>
      <c r="K1449" s="1907"/>
      <c r="M1449" s="1885" t="s">
        <v>1016</v>
      </c>
    </row>
    <row r="1450" spans="1:14">
      <c r="A1450" s="1965"/>
      <c r="B1450" s="1997" t="s">
        <v>107</v>
      </c>
      <c r="C1450" s="1993" t="s">
        <v>956</v>
      </c>
      <c r="D1450" s="1998">
        <v>18</v>
      </c>
      <c r="E1450" s="1999" t="s">
        <v>109</v>
      </c>
      <c r="F1450" s="1975">
        <v>108</v>
      </c>
      <c r="G1450" s="1975">
        <v>18</v>
      </c>
      <c r="H1450" s="1906">
        <f t="shared" si="207"/>
        <v>1944</v>
      </c>
      <c r="I1450" s="1906">
        <f t="shared" si="208"/>
        <v>324</v>
      </c>
      <c r="J1450" s="1906">
        <f t="shared" si="209"/>
        <v>2268</v>
      </c>
      <c r="K1450" s="1907"/>
      <c r="M1450" s="1885" t="s">
        <v>1021</v>
      </c>
    </row>
    <row r="1451" spans="1:14">
      <c r="A1451" s="1965"/>
      <c r="B1451" s="1997" t="s">
        <v>107</v>
      </c>
      <c r="C1451" s="1993" t="s">
        <v>1059</v>
      </c>
      <c r="D1451" s="1998">
        <v>72</v>
      </c>
      <c r="E1451" s="1999" t="s">
        <v>27</v>
      </c>
      <c r="F1451" s="1975">
        <v>131.32</v>
      </c>
      <c r="G1451" s="1975">
        <v>0</v>
      </c>
      <c r="H1451" s="1906">
        <f t="shared" si="207"/>
        <v>9455.0399999999991</v>
      </c>
      <c r="I1451" s="1906">
        <f t="shared" si="208"/>
        <v>0</v>
      </c>
      <c r="J1451" s="1906">
        <f t="shared" si="209"/>
        <v>9455.0399999999991</v>
      </c>
      <c r="K1451" s="1907"/>
      <c r="M1451" s="1885" t="s">
        <v>654</v>
      </c>
    </row>
    <row r="1452" spans="1:14">
      <c r="A1452" s="1897"/>
      <c r="B1452" s="2008" t="s">
        <v>953</v>
      </c>
      <c r="C1452" s="2019" t="s">
        <v>960</v>
      </c>
      <c r="D1452" s="1898"/>
      <c r="E1452" s="1899"/>
      <c r="F1452" s="1900"/>
      <c r="G1452" s="1900"/>
      <c r="H1452" s="1900"/>
      <c r="I1452" s="1900"/>
      <c r="J1452" s="1900"/>
      <c r="K1452" s="1901"/>
    </row>
    <row r="1453" spans="1:14">
      <c r="A1453" s="1903"/>
      <c r="B1453" s="1904" t="s">
        <v>107</v>
      </c>
      <c r="C1453" s="1993" t="s">
        <v>952</v>
      </c>
      <c r="D1453" s="1991">
        <v>13.5</v>
      </c>
      <c r="E1453" s="1903" t="s">
        <v>86</v>
      </c>
      <c r="F1453" s="1900">
        <v>119</v>
      </c>
      <c r="G1453" s="1900">
        <v>82</v>
      </c>
      <c r="H1453" s="1906">
        <f>+F1453*D1453</f>
        <v>1606.5</v>
      </c>
      <c r="I1453" s="1906">
        <f>+G1453*D1453</f>
        <v>1107</v>
      </c>
      <c r="J1453" s="1906">
        <f>+H1453+I1453</f>
        <v>2713.5</v>
      </c>
      <c r="K1453" s="1907"/>
      <c r="M1453" s="1885" t="s">
        <v>1076</v>
      </c>
    </row>
    <row r="1454" spans="1:14">
      <c r="A1454" s="1903"/>
      <c r="B1454" s="1904" t="s">
        <v>107</v>
      </c>
      <c r="C1454" s="1993" t="s">
        <v>957</v>
      </c>
      <c r="D1454" s="1981">
        <v>20.399999999999999</v>
      </c>
      <c r="E1454" s="1994" t="s">
        <v>84</v>
      </c>
      <c r="F1454" s="1995">
        <v>200</v>
      </c>
      <c r="G1454" s="1996">
        <v>40</v>
      </c>
      <c r="H1454" s="1906">
        <f>+F1454*D1454</f>
        <v>4079.9999999999995</v>
      </c>
      <c r="I1454" s="1906">
        <f>+G1454*D1454</f>
        <v>816</v>
      </c>
      <c r="J1454" s="1906">
        <f>+H1454+I1454</f>
        <v>4896</v>
      </c>
      <c r="K1454" s="1907"/>
      <c r="M1454" s="1885" t="s">
        <v>1016</v>
      </c>
    </row>
    <row r="1455" spans="1:14">
      <c r="A1455" s="1972"/>
      <c r="B1455" s="2047" t="s">
        <v>107</v>
      </c>
      <c r="C1455" s="2002" t="s">
        <v>1239</v>
      </c>
      <c r="D1455" s="1930">
        <v>6.4</v>
      </c>
      <c r="E1455" s="1909" t="s">
        <v>84</v>
      </c>
      <c r="F1455" s="1909">
        <v>2100</v>
      </c>
      <c r="G1455" s="1930">
        <v>250</v>
      </c>
      <c r="H1455" s="1930">
        <f>F1455*D1455</f>
        <v>13440</v>
      </c>
      <c r="I1455" s="1930">
        <f>G1455*D1455</f>
        <v>1600</v>
      </c>
      <c r="J1455" s="1930">
        <f>H1455+I1455</f>
        <v>15040</v>
      </c>
      <c r="K1455" s="2003"/>
      <c r="L1455" s="1875"/>
      <c r="M1455" s="1875"/>
    </row>
    <row r="1456" spans="1:14">
      <c r="A1456" s="1972"/>
      <c r="B1456" s="2001" t="s">
        <v>107</v>
      </c>
      <c r="C1456" s="2002" t="s">
        <v>955</v>
      </c>
      <c r="D1456" s="1930">
        <v>10</v>
      </c>
      <c r="E1456" s="1909" t="s">
        <v>109</v>
      </c>
      <c r="F1456" s="1909">
        <v>45</v>
      </c>
      <c r="G1456" s="1930">
        <v>7.5</v>
      </c>
      <c r="H1456" s="1930">
        <f>F1456*D1456</f>
        <v>450</v>
      </c>
      <c r="I1456" s="1930">
        <f>G1456*D1456</f>
        <v>75</v>
      </c>
      <c r="J1456" s="1930">
        <f>H1456+I1456</f>
        <v>525</v>
      </c>
      <c r="K1456" s="2003"/>
      <c r="L1456" s="1875"/>
      <c r="M1456" s="1875"/>
    </row>
    <row r="1457" spans="1:13" s="1875" customFormat="1">
      <c r="A1457" s="1972"/>
      <c r="B1457" s="2001" t="s">
        <v>107</v>
      </c>
      <c r="C1457" s="2002" t="s">
        <v>1060</v>
      </c>
      <c r="D1457" s="1930">
        <v>40</v>
      </c>
      <c r="E1457" s="1909" t="s">
        <v>27</v>
      </c>
      <c r="F1457" s="1975">
        <v>99.84</v>
      </c>
      <c r="G1457" s="1975">
        <v>0</v>
      </c>
      <c r="H1457" s="1930">
        <f>F1457*D1457</f>
        <v>3993.6000000000004</v>
      </c>
      <c r="I1457" s="1930">
        <f>G1457*D1457</f>
        <v>0</v>
      </c>
      <c r="J1457" s="1930">
        <f>H1457+I1457</f>
        <v>3993.6000000000004</v>
      </c>
      <c r="K1457" s="2003"/>
    </row>
    <row r="1458" spans="1:13" s="1875" customFormat="1">
      <c r="A1458" s="1863"/>
      <c r="B1458" s="1864"/>
      <c r="C1458" s="1865"/>
      <c r="D1458" s="1866"/>
      <c r="E1458" s="1867"/>
      <c r="F1458" s="1868"/>
      <c r="G1458" s="1868"/>
      <c r="H1458" s="1868"/>
      <c r="I1458" s="1868"/>
      <c r="J1458" s="1868"/>
      <c r="K1458" s="1869"/>
    </row>
    <row r="1459" spans="1:13" s="1875" customFormat="1">
      <c r="A1459" s="1840"/>
      <c r="B1459" s="1860"/>
      <c r="C1459" s="2133" t="s">
        <v>133</v>
      </c>
      <c r="D1459" s="2134"/>
      <c r="E1459" s="2135"/>
      <c r="F1459" s="2136"/>
      <c r="G1459" s="2137"/>
      <c r="H1459" s="2137"/>
      <c r="I1459" s="2137"/>
      <c r="J1459" s="2137"/>
      <c r="K1459" s="2137"/>
    </row>
    <row r="1460" spans="1:13" s="1875" customFormat="1">
      <c r="A1460" s="1840"/>
      <c r="B1460" s="2138"/>
      <c r="C1460" s="2139" t="s">
        <v>1769</v>
      </c>
      <c r="D1460" s="2140"/>
      <c r="E1460" s="1861"/>
      <c r="F1460" s="2135"/>
      <c r="G1460" s="2139" t="s">
        <v>134</v>
      </c>
      <c r="H1460" s="2138"/>
      <c r="I1460" s="2138"/>
      <c r="J1460" s="2138"/>
      <c r="K1460" s="2138"/>
    </row>
    <row r="1461" spans="1:13" s="1875" customFormat="1">
      <c r="A1461" s="1840"/>
      <c r="B1461" s="1871"/>
      <c r="C1461" s="2141" t="s">
        <v>1970</v>
      </c>
      <c r="D1461" s="2140"/>
      <c r="E1461" s="2142"/>
      <c r="F1461" s="2143"/>
      <c r="G1461" s="2144" t="s">
        <v>1971</v>
      </c>
      <c r="H1461" s="2145"/>
      <c r="I1461" s="2145"/>
      <c r="J1461" s="2145"/>
      <c r="K1461" s="2145"/>
    </row>
    <row r="1462" spans="1:13" s="1875" customFormat="1">
      <c r="A1462" s="1837"/>
      <c r="B1462" s="2138"/>
      <c r="C1462" s="2139" t="s">
        <v>2031</v>
      </c>
      <c r="D1462" s="2140"/>
      <c r="E1462" s="1837"/>
      <c r="F1462" s="2146"/>
      <c r="G1462" s="2139" t="s">
        <v>2031</v>
      </c>
      <c r="H1462" s="1837"/>
      <c r="I1462" s="1837"/>
      <c r="J1462" s="1837"/>
      <c r="K1462" s="1837"/>
    </row>
    <row r="1463" spans="1:13" s="1875" customFormat="1">
      <c r="A1463" s="1952"/>
      <c r="B1463" s="1871"/>
      <c r="C1463" s="2147" t="s">
        <v>1984</v>
      </c>
      <c r="D1463" s="2140"/>
      <c r="E1463" s="1837"/>
      <c r="F1463" s="2135"/>
      <c r="G1463" s="2147" t="s">
        <v>1985</v>
      </c>
      <c r="H1463" s="1952"/>
      <c r="I1463" s="1952"/>
      <c r="J1463" s="1952"/>
      <c r="K1463" s="1952"/>
    </row>
    <row r="1464" spans="1:13" s="1875" customFormat="1">
      <c r="A1464" s="1952"/>
      <c r="B1464" s="1952"/>
      <c r="C1464" s="2139" t="s">
        <v>670</v>
      </c>
      <c r="D1464" s="2139"/>
      <c r="E1464" s="2143"/>
      <c r="F1464" s="2143"/>
      <c r="G1464" s="1952"/>
      <c r="H1464" s="1952"/>
      <c r="I1464" s="1952"/>
      <c r="J1464" s="1952"/>
      <c r="K1464" s="1952"/>
    </row>
    <row r="1465" spans="1:13" s="1875" customFormat="1">
      <c r="A1465" s="1840"/>
      <c r="B1465" s="1840"/>
      <c r="C1465" s="2147" t="s">
        <v>1972</v>
      </c>
      <c r="D1465" s="2147"/>
      <c r="E1465" s="2146"/>
      <c r="F1465" s="2146"/>
      <c r="G1465" s="1870"/>
      <c r="H1465" s="1870"/>
      <c r="I1465" s="1870"/>
      <c r="J1465" s="1870"/>
      <c r="K1465" s="1871"/>
    </row>
    <row r="1466" spans="1:13" s="1875" customFormat="1">
      <c r="A1466" s="1903"/>
      <c r="B1466" s="1904" t="s">
        <v>954</v>
      </c>
      <c r="C1466" s="1905" t="s">
        <v>960</v>
      </c>
      <c r="D1466" s="1909"/>
      <c r="E1466" s="1910"/>
      <c r="F1466" s="1906"/>
      <c r="G1466" s="1906"/>
      <c r="H1466" s="1906"/>
      <c r="I1466" s="1906"/>
      <c r="J1466" s="1906"/>
      <c r="K1466" s="1907"/>
      <c r="L1466" s="1871"/>
      <c r="M1466" s="1902"/>
    </row>
    <row r="1467" spans="1:13" s="1875" customFormat="1">
      <c r="A1467" s="1903"/>
      <c r="B1467" s="1904" t="s">
        <v>107</v>
      </c>
      <c r="C1467" s="1993" t="s">
        <v>952</v>
      </c>
      <c r="D1467" s="1991">
        <v>14.3</v>
      </c>
      <c r="E1467" s="1903" t="s">
        <v>86</v>
      </c>
      <c r="F1467" s="1900">
        <v>119</v>
      </c>
      <c r="G1467" s="1900">
        <v>82</v>
      </c>
      <c r="H1467" s="1906">
        <f>+F1467*D1467</f>
        <v>1701.7</v>
      </c>
      <c r="I1467" s="1906">
        <f>+G1467*D1467</f>
        <v>1172.6000000000001</v>
      </c>
      <c r="J1467" s="1906">
        <f>+H1467+I1467</f>
        <v>2874.3</v>
      </c>
      <c r="K1467" s="1907"/>
      <c r="L1467" s="1871"/>
      <c r="M1467" s="1885" t="s">
        <v>1076</v>
      </c>
    </row>
    <row r="1468" spans="1:13">
      <c r="A1468" s="1903"/>
      <c r="B1468" s="1904" t="s">
        <v>107</v>
      </c>
      <c r="C1468" s="1993" t="s">
        <v>957</v>
      </c>
      <c r="D1468" s="1981">
        <v>24.2</v>
      </c>
      <c r="E1468" s="1994" t="s">
        <v>84</v>
      </c>
      <c r="F1468" s="1995">
        <v>200</v>
      </c>
      <c r="G1468" s="1996">
        <v>40</v>
      </c>
      <c r="H1468" s="1906">
        <f>+F1468*D1468</f>
        <v>4840</v>
      </c>
      <c r="I1468" s="1906">
        <f>+G1468*D1468</f>
        <v>968</v>
      </c>
      <c r="J1468" s="1906">
        <f>+H1468+I1468</f>
        <v>5808</v>
      </c>
      <c r="K1468" s="1907"/>
      <c r="M1468" s="1885" t="s">
        <v>1016</v>
      </c>
    </row>
    <row r="1469" spans="1:13">
      <c r="A1469" s="1903"/>
      <c r="B1469" s="1904" t="s">
        <v>107</v>
      </c>
      <c r="C1469" s="1993" t="s">
        <v>1089</v>
      </c>
      <c r="D1469" s="1981">
        <v>25.7</v>
      </c>
      <c r="E1469" s="1994" t="s">
        <v>87</v>
      </c>
      <c r="F1469" s="1995">
        <v>32.1</v>
      </c>
      <c r="G1469" s="1996">
        <v>10</v>
      </c>
      <c r="H1469" s="1906">
        <f>F1469*D1469</f>
        <v>824.97</v>
      </c>
      <c r="I1469" s="1906">
        <f>G1469*D1469</f>
        <v>257</v>
      </c>
      <c r="J1469" s="1906">
        <f>H1469+I1469</f>
        <v>1081.97</v>
      </c>
      <c r="K1469" s="1907"/>
      <c r="M1469" s="1885"/>
    </row>
    <row r="1470" spans="1:13">
      <c r="A1470" s="1897"/>
      <c r="B1470" s="2388" t="s">
        <v>392</v>
      </c>
      <c r="C1470" s="2388"/>
      <c r="D1470" s="1898"/>
      <c r="E1470" s="1899"/>
      <c r="F1470" s="1900"/>
      <c r="G1470" s="1900"/>
      <c r="H1470" s="1900"/>
      <c r="I1470" s="1900"/>
      <c r="J1470" s="1900"/>
      <c r="K1470" s="1901"/>
    </row>
    <row r="1471" spans="1:13" s="1875" customFormat="1">
      <c r="A1471" s="1965"/>
      <c r="B1471" s="1997" t="s">
        <v>107</v>
      </c>
      <c r="C1471" s="1993" t="s">
        <v>1087</v>
      </c>
      <c r="D1471" s="1998">
        <v>259.39</v>
      </c>
      <c r="E1471" s="1999" t="s">
        <v>87</v>
      </c>
      <c r="F1471" s="1975">
        <v>28.9</v>
      </c>
      <c r="G1471" s="1975">
        <v>10</v>
      </c>
      <c r="H1471" s="1906">
        <f>+F1471*D1471</f>
        <v>7496.3709999999992</v>
      </c>
      <c r="I1471" s="1906">
        <f>+G1471*D1471</f>
        <v>2593.8999999999996</v>
      </c>
      <c r="J1471" s="1906">
        <f>+H1471+I1471</f>
        <v>10090.270999999999</v>
      </c>
      <c r="K1471" s="1907"/>
      <c r="L1471" s="1871"/>
      <c r="M1471" s="1885" t="s">
        <v>1021</v>
      </c>
    </row>
    <row r="1472" spans="1:13">
      <c r="A1472" s="1965"/>
      <c r="B1472" s="1997" t="s">
        <v>107</v>
      </c>
      <c r="C1472" s="1993" t="s">
        <v>1082</v>
      </c>
      <c r="D1472" s="1998">
        <v>989.1</v>
      </c>
      <c r="E1472" s="1999" t="s">
        <v>87</v>
      </c>
      <c r="F1472" s="1975">
        <v>28.9</v>
      </c>
      <c r="G1472" s="1975">
        <v>10</v>
      </c>
      <c r="H1472" s="1906">
        <f>+F1472*D1472</f>
        <v>28584.989999999998</v>
      </c>
      <c r="I1472" s="1906">
        <f>+G1472*D1472</f>
        <v>9891</v>
      </c>
      <c r="J1472" s="1906">
        <f>+H1472+I1472</f>
        <v>38475.99</v>
      </c>
      <c r="K1472" s="1907"/>
      <c r="M1472" s="1885" t="s">
        <v>1021</v>
      </c>
    </row>
    <row r="1473" spans="1:14">
      <c r="A1473" s="1965"/>
      <c r="B1473" s="1997" t="s">
        <v>107</v>
      </c>
      <c r="C1473" s="1993" t="s">
        <v>1088</v>
      </c>
      <c r="D1473" s="1998">
        <v>164.9</v>
      </c>
      <c r="E1473" s="1999" t="s">
        <v>87</v>
      </c>
      <c r="F1473" s="1975">
        <v>31</v>
      </c>
      <c r="G1473" s="1975">
        <v>10</v>
      </c>
      <c r="H1473" s="1906">
        <f>+F1473*D1473</f>
        <v>5111.9000000000005</v>
      </c>
      <c r="I1473" s="1906">
        <f>+G1473*D1473</f>
        <v>1649</v>
      </c>
      <c r="J1473" s="1906">
        <f>+H1473+I1473</f>
        <v>6760.9000000000005</v>
      </c>
      <c r="K1473" s="1907"/>
      <c r="M1473" s="1885" t="s">
        <v>1016</v>
      </c>
    </row>
    <row r="1474" spans="1:14">
      <c r="A1474" s="1965"/>
      <c r="B1474" s="1997" t="s">
        <v>107</v>
      </c>
      <c r="C1474" s="1993" t="s">
        <v>956</v>
      </c>
      <c r="D1474" s="1998">
        <v>51</v>
      </c>
      <c r="E1474" s="1999" t="s">
        <v>109</v>
      </c>
      <c r="F1474" s="1975">
        <v>108</v>
      </c>
      <c r="G1474" s="1975">
        <v>18</v>
      </c>
      <c r="H1474" s="1906">
        <f>+F1474*D1474</f>
        <v>5508</v>
      </c>
      <c r="I1474" s="1906">
        <f>+G1474*D1474</f>
        <v>918</v>
      </c>
      <c r="J1474" s="1906">
        <f>+H1474+I1474</f>
        <v>6426</v>
      </c>
      <c r="K1474" s="1907"/>
      <c r="M1474" s="1885" t="s">
        <v>1021</v>
      </c>
    </row>
    <row r="1475" spans="1:14">
      <c r="A1475" s="2000"/>
      <c r="B1475" s="1997" t="s">
        <v>107</v>
      </c>
      <c r="C1475" s="1993" t="s">
        <v>1059</v>
      </c>
      <c r="D1475" s="1998">
        <f>D1474*4</f>
        <v>204</v>
      </c>
      <c r="E1475" s="1999" t="s">
        <v>27</v>
      </c>
      <c r="F1475" s="1975">
        <v>131.32</v>
      </c>
      <c r="G1475" s="1975">
        <v>0</v>
      </c>
      <c r="H1475" s="1906">
        <f>+F1475*D1475</f>
        <v>26789.279999999999</v>
      </c>
      <c r="I1475" s="1906">
        <f>+G1475*D1475</f>
        <v>0</v>
      </c>
      <c r="J1475" s="1906">
        <f>+H1475+I1475</f>
        <v>26789.279999999999</v>
      </c>
      <c r="K1475" s="1907"/>
      <c r="M1475" s="1885" t="s">
        <v>654</v>
      </c>
    </row>
    <row r="1476" spans="1:14">
      <c r="A1476" s="1903"/>
      <c r="B1476" s="2386" t="s">
        <v>384</v>
      </c>
      <c r="C1476" s="2386"/>
      <c r="D1476" s="1909"/>
      <c r="E1476" s="1910"/>
      <c r="F1476" s="1906"/>
      <c r="G1476" s="1906"/>
      <c r="H1476" s="1906"/>
      <c r="I1476" s="1906"/>
      <c r="J1476" s="1906"/>
      <c r="K1476" s="1907"/>
    </row>
    <row r="1477" spans="1:14">
      <c r="A1477" s="1903"/>
      <c r="B1477" s="1997" t="s">
        <v>107</v>
      </c>
      <c r="C1477" s="1980" t="s">
        <v>1026</v>
      </c>
      <c r="D1477" s="1998">
        <v>1040</v>
      </c>
      <c r="E1477" s="1999" t="s">
        <v>1027</v>
      </c>
      <c r="F1477" s="1975">
        <v>48</v>
      </c>
      <c r="G1477" s="1975">
        <v>19</v>
      </c>
      <c r="H1477" s="1906">
        <f>+F1477*D1477</f>
        <v>49920</v>
      </c>
      <c r="I1477" s="1906">
        <f>+G1477*D1477</f>
        <v>19760</v>
      </c>
      <c r="J1477" s="1906">
        <f>+H1477+I1477</f>
        <v>69680</v>
      </c>
      <c r="K1477" s="1907"/>
      <c r="L1477" s="1907" t="s">
        <v>1967</v>
      </c>
      <c r="M1477" s="1885" t="s">
        <v>622</v>
      </c>
    </row>
    <row r="1478" spans="1:14" s="1875" customFormat="1">
      <c r="A1478" s="1972"/>
      <c r="B1478" s="1997" t="s">
        <v>107</v>
      </c>
      <c r="C1478" s="1993" t="s">
        <v>1807</v>
      </c>
      <c r="D1478" s="1998">
        <v>64</v>
      </c>
      <c r="E1478" s="1999" t="s">
        <v>109</v>
      </c>
      <c r="F1478" s="1975">
        <v>7500</v>
      </c>
      <c r="G1478" s="1975">
        <v>500</v>
      </c>
      <c r="H1478" s="1906">
        <f>+F1478*D1478</f>
        <v>480000</v>
      </c>
      <c r="I1478" s="1906">
        <f>+G1478*D1478</f>
        <v>32000</v>
      </c>
      <c r="J1478" s="1906">
        <f>+H1478+I1478</f>
        <v>512000</v>
      </c>
      <c r="K1478" s="1907"/>
      <c r="L1478" s="2031" t="s">
        <v>1900</v>
      </c>
      <c r="M1478" s="1875" t="s">
        <v>622</v>
      </c>
    </row>
    <row r="1479" spans="1:14">
      <c r="A1479" s="1903"/>
      <c r="B1479" s="1997" t="s">
        <v>107</v>
      </c>
      <c r="C1479" s="1993" t="s">
        <v>1810</v>
      </c>
      <c r="D1479" s="1998">
        <v>56</v>
      </c>
      <c r="E1479" s="1999" t="s">
        <v>962</v>
      </c>
      <c r="F1479" s="1975">
        <v>3428.58</v>
      </c>
      <c r="G1479" s="1975">
        <f>F1479*0.3</f>
        <v>1028.5739999999998</v>
      </c>
      <c r="H1479" s="1906">
        <f>+F1479*D1479</f>
        <v>192000.47999999998</v>
      </c>
      <c r="I1479" s="1906">
        <f>+G1479*D1479</f>
        <v>57600.143999999993</v>
      </c>
      <c r="J1479" s="1906">
        <f>+H1479+I1479</f>
        <v>249600.62399999998</v>
      </c>
      <c r="K1479" s="1907"/>
      <c r="L1479" s="1907" t="s">
        <v>1910</v>
      </c>
      <c r="M1479" s="1902" t="s">
        <v>622</v>
      </c>
    </row>
    <row r="1480" spans="1:14">
      <c r="A1480" s="2032"/>
      <c r="B1480" s="1878"/>
      <c r="C1480" s="2033"/>
      <c r="D1480" s="1880"/>
      <c r="E1480" s="1881"/>
      <c r="F1480" s="1882"/>
      <c r="G1480" s="1882"/>
      <c r="H1480" s="2017"/>
      <c r="I1480" s="2017"/>
      <c r="J1480" s="2017"/>
      <c r="K1480" s="1884"/>
    </row>
    <row r="1481" spans="1:14" ht="24.75" thickBot="1">
      <c r="A1481" s="2034"/>
      <c r="B1481" s="2035"/>
      <c r="C1481" s="2053" t="str">
        <f>"รวมราคา "&amp;B1300</f>
        <v>รวมราคา งานสถาปัตยกรรม ชั้น 8</v>
      </c>
      <c r="D1481" s="1889"/>
      <c r="E1481" s="1890"/>
      <c r="F1481" s="1891"/>
      <c r="G1481" s="1891"/>
      <c r="H1481" s="1891">
        <f>SUM(H1301:H1479)</f>
        <v>4929472.9010000005</v>
      </c>
      <c r="I1481" s="1891">
        <f>SUM(I1301:I1479)</f>
        <v>1427383.2439999999</v>
      </c>
      <c r="J1481" s="1891">
        <f>SUM(J1301:J1479)</f>
        <v>6356856.1450000005</v>
      </c>
      <c r="K1481" s="1891"/>
      <c r="L1481" s="1870"/>
      <c r="M1481" s="1892"/>
    </row>
    <row r="1482" spans="1:14" ht="24.75" thickTop="1">
      <c r="A1482" s="2037">
        <v>2.9</v>
      </c>
      <c r="B1482" s="2387" t="s">
        <v>730</v>
      </c>
      <c r="C1482" s="2387"/>
      <c r="D1482" s="2038"/>
      <c r="E1482" s="2037"/>
      <c r="F1482" s="2039"/>
      <c r="G1482" s="2039"/>
      <c r="H1482" s="2039"/>
      <c r="I1482" s="2039"/>
      <c r="J1482" s="2039"/>
      <c r="K1482" s="2039"/>
      <c r="L1482" s="2175"/>
      <c r="M1482" s="1892"/>
    </row>
    <row r="1483" spans="1:14" s="1860" customFormat="1">
      <c r="A1483" s="1897"/>
      <c r="B1483" s="2388" t="s">
        <v>201</v>
      </c>
      <c r="C1483" s="2388"/>
      <c r="D1483" s="1898"/>
      <c r="E1483" s="1899"/>
      <c r="F1483" s="1900"/>
      <c r="G1483" s="1900"/>
      <c r="H1483" s="1900"/>
      <c r="I1483" s="1900"/>
      <c r="J1483" s="1900"/>
      <c r="K1483" s="1901"/>
      <c r="L1483" s="1871"/>
      <c r="M1483" s="1902"/>
    </row>
    <row r="1484" spans="1:14" s="1860" customFormat="1">
      <c r="A1484" s="1903"/>
      <c r="B1484" s="1904" t="s">
        <v>3</v>
      </c>
      <c r="C1484" s="1905" t="s">
        <v>723</v>
      </c>
      <c r="D1484" s="1898">
        <v>455.5</v>
      </c>
      <c r="E1484" s="1899" t="s">
        <v>86</v>
      </c>
      <c r="F1484" s="1900">
        <v>606</v>
      </c>
      <c r="G1484" s="1900">
        <v>222</v>
      </c>
      <c r="H1484" s="1906">
        <f t="shared" ref="H1484:H1501" si="210">+F1484*D1484</f>
        <v>276033</v>
      </c>
      <c r="I1484" s="1906">
        <f t="shared" ref="I1484:I1501" si="211">+G1484*D1484</f>
        <v>101121</v>
      </c>
      <c r="J1484" s="1906">
        <f t="shared" ref="J1484:J1501" si="212">+H1484+I1484</f>
        <v>377154</v>
      </c>
      <c r="K1484" s="1907"/>
      <c r="L1484" s="1871"/>
      <c r="M1484" s="1885" t="s">
        <v>1876</v>
      </c>
    </row>
    <row r="1485" spans="1:14">
      <c r="A1485" s="1903"/>
      <c r="B1485" s="1904" t="s">
        <v>137</v>
      </c>
      <c r="C1485" s="1905" t="s">
        <v>724</v>
      </c>
      <c r="D1485" s="1898">
        <v>55.1</v>
      </c>
      <c r="E1485" s="1899" t="s">
        <v>86</v>
      </c>
      <c r="F1485" s="1900">
        <v>606</v>
      </c>
      <c r="G1485" s="1900">
        <v>222</v>
      </c>
      <c r="H1485" s="1906">
        <f t="shared" si="210"/>
        <v>33390.6</v>
      </c>
      <c r="I1485" s="1906">
        <f t="shared" si="211"/>
        <v>12232.2</v>
      </c>
      <c r="J1485" s="1906">
        <f t="shared" si="212"/>
        <v>45622.8</v>
      </c>
      <c r="K1485" s="1907"/>
      <c r="M1485" s="1885" t="s">
        <v>1876</v>
      </c>
      <c r="N1485" s="1861"/>
    </row>
    <row r="1486" spans="1:14">
      <c r="A1486" s="1863"/>
      <c r="B1486" s="1864"/>
      <c r="C1486" s="1865"/>
      <c r="D1486" s="1866"/>
      <c r="E1486" s="1867"/>
      <c r="F1486" s="1868"/>
      <c r="G1486" s="1868"/>
      <c r="H1486" s="1868"/>
      <c r="I1486" s="1868"/>
      <c r="J1486" s="1868"/>
      <c r="K1486" s="1869"/>
      <c r="M1486" s="1885"/>
      <c r="N1486" s="1861"/>
    </row>
    <row r="1487" spans="1:14">
      <c r="B1487" s="1860"/>
      <c r="C1487" s="2133" t="s">
        <v>133</v>
      </c>
      <c r="D1487" s="2134"/>
      <c r="E1487" s="2135"/>
      <c r="F1487" s="2136"/>
      <c r="G1487" s="2137"/>
      <c r="H1487" s="2137"/>
      <c r="I1487" s="2137"/>
      <c r="J1487" s="2137"/>
      <c r="K1487" s="2137"/>
      <c r="M1487" s="1885"/>
      <c r="N1487" s="1861"/>
    </row>
    <row r="1488" spans="1:14">
      <c r="B1488" s="2138"/>
      <c r="C1488" s="2139" t="s">
        <v>1769</v>
      </c>
      <c r="D1488" s="2140"/>
      <c r="E1488" s="1861"/>
      <c r="F1488" s="2135"/>
      <c r="G1488" s="2139" t="s">
        <v>134</v>
      </c>
      <c r="H1488" s="2138"/>
      <c r="I1488" s="2138"/>
      <c r="J1488" s="2138"/>
      <c r="K1488" s="2138"/>
      <c r="M1488" s="1885"/>
      <c r="N1488" s="1861"/>
    </row>
    <row r="1489" spans="1:14">
      <c r="B1489" s="1871"/>
      <c r="C1489" s="2141" t="s">
        <v>1970</v>
      </c>
      <c r="D1489" s="2140"/>
      <c r="E1489" s="2142"/>
      <c r="F1489" s="2143"/>
      <c r="G1489" s="2144" t="s">
        <v>1971</v>
      </c>
      <c r="H1489" s="2145"/>
      <c r="I1489" s="2145"/>
      <c r="J1489" s="2145"/>
      <c r="K1489" s="2145"/>
      <c r="M1489" s="1885"/>
      <c r="N1489" s="1861"/>
    </row>
    <row r="1490" spans="1:14">
      <c r="A1490" s="1837"/>
      <c r="B1490" s="2138"/>
      <c r="C1490" s="2139" t="s">
        <v>2031</v>
      </c>
      <c r="D1490" s="2140"/>
      <c r="E1490" s="1837"/>
      <c r="F1490" s="2146"/>
      <c r="G1490" s="2139" t="s">
        <v>2031</v>
      </c>
      <c r="H1490" s="1837"/>
      <c r="I1490" s="1837"/>
      <c r="J1490" s="1837"/>
      <c r="K1490" s="1837"/>
      <c r="M1490" s="1885"/>
      <c r="N1490" s="1861"/>
    </row>
    <row r="1491" spans="1:14">
      <c r="A1491" s="1952"/>
      <c r="B1491" s="1871"/>
      <c r="C1491" s="2147" t="s">
        <v>1984</v>
      </c>
      <c r="D1491" s="2140"/>
      <c r="E1491" s="1837"/>
      <c r="F1491" s="2135"/>
      <c r="G1491" s="2147" t="s">
        <v>1985</v>
      </c>
      <c r="H1491" s="1952"/>
      <c r="I1491" s="1952"/>
      <c r="J1491" s="1952"/>
      <c r="K1491" s="1952"/>
      <c r="M1491" s="1885"/>
      <c r="N1491" s="1861"/>
    </row>
    <row r="1492" spans="1:14">
      <c r="A1492" s="1952"/>
      <c r="B1492" s="1952"/>
      <c r="C1492" s="2139" t="s">
        <v>670</v>
      </c>
      <c r="D1492" s="2139"/>
      <c r="E1492" s="2143"/>
      <c r="F1492" s="2143"/>
      <c r="G1492" s="1952"/>
      <c r="H1492" s="1952"/>
      <c r="I1492" s="1952"/>
      <c r="J1492" s="1952"/>
      <c r="K1492" s="1952"/>
      <c r="M1492" s="1885"/>
      <c r="N1492" s="1861"/>
    </row>
    <row r="1493" spans="1:14">
      <c r="C1493" s="2147" t="s">
        <v>1972</v>
      </c>
      <c r="D1493" s="2147"/>
      <c r="E1493" s="2146"/>
      <c r="F1493" s="2146"/>
      <c r="M1493" s="1885"/>
      <c r="N1493" s="1861"/>
    </row>
    <row r="1494" spans="1:14" s="1862" customFormat="1">
      <c r="A1494" s="1903"/>
      <c r="B1494" s="1904" t="s">
        <v>4</v>
      </c>
      <c r="C1494" s="1905" t="s">
        <v>149</v>
      </c>
      <c r="D1494" s="1898">
        <v>41.8</v>
      </c>
      <c r="E1494" s="1899" t="s">
        <v>86</v>
      </c>
      <c r="F1494" s="1900">
        <v>113</v>
      </c>
      <c r="G1494" s="1900">
        <v>87</v>
      </c>
      <c r="H1494" s="1906">
        <f t="shared" si="210"/>
        <v>4723.3999999999996</v>
      </c>
      <c r="I1494" s="1906">
        <f t="shared" si="211"/>
        <v>3636.6</v>
      </c>
      <c r="J1494" s="1906">
        <f t="shared" si="212"/>
        <v>8360</v>
      </c>
      <c r="K1494" s="1907"/>
      <c r="L1494" s="1871"/>
      <c r="M1494" s="1885" t="s">
        <v>1876</v>
      </c>
    </row>
    <row r="1495" spans="1:14" s="1862" customFormat="1" ht="48">
      <c r="A1495" s="1911"/>
      <c r="B1495" s="1912" t="s">
        <v>150</v>
      </c>
      <c r="C1495" s="1913" t="s">
        <v>940</v>
      </c>
      <c r="D1495" s="1920">
        <v>39.1</v>
      </c>
      <c r="E1495" s="1921" t="s">
        <v>86</v>
      </c>
      <c r="F1495" s="1922">
        <v>1150</v>
      </c>
      <c r="G1495" s="1922">
        <v>350</v>
      </c>
      <c r="H1495" s="1916">
        <f t="shared" si="210"/>
        <v>44965</v>
      </c>
      <c r="I1495" s="1916">
        <f t="shared" si="211"/>
        <v>13685</v>
      </c>
      <c r="J1495" s="1916">
        <f t="shared" si="212"/>
        <v>58650</v>
      </c>
      <c r="K1495" s="1917"/>
      <c r="L1495" s="1917" t="s">
        <v>1925</v>
      </c>
      <c r="M1495" s="1918" t="s">
        <v>1076</v>
      </c>
    </row>
    <row r="1496" spans="1:14" s="1862" customFormat="1">
      <c r="A1496" s="1911"/>
      <c r="B1496" s="1912"/>
      <c r="C1496" s="1919" t="s">
        <v>1025</v>
      </c>
      <c r="D1496" s="1920">
        <v>27.9</v>
      </c>
      <c r="E1496" s="1921" t="s">
        <v>84</v>
      </c>
      <c r="F1496" s="1922">
        <v>95</v>
      </c>
      <c r="G1496" s="1922">
        <v>40</v>
      </c>
      <c r="H1496" s="1916">
        <f t="shared" si="210"/>
        <v>2650.5</v>
      </c>
      <c r="I1496" s="1916">
        <f t="shared" si="211"/>
        <v>1116</v>
      </c>
      <c r="J1496" s="1916">
        <f t="shared" si="212"/>
        <v>3766.5</v>
      </c>
      <c r="K1496" s="1917"/>
      <c r="L1496" s="1917"/>
      <c r="M1496" s="1918" t="s">
        <v>1928</v>
      </c>
    </row>
    <row r="1497" spans="1:14" s="1862" customFormat="1">
      <c r="A1497" s="1911"/>
      <c r="B1497" s="1912" t="s">
        <v>107</v>
      </c>
      <c r="C1497" s="2067" t="s">
        <v>1224</v>
      </c>
      <c r="D1497" s="1981">
        <v>13.8</v>
      </c>
      <c r="E1497" s="2068" t="s">
        <v>84</v>
      </c>
      <c r="F1497" s="2069">
        <v>100</v>
      </c>
      <c r="G1497" s="2070">
        <v>30</v>
      </c>
      <c r="H1497" s="1916">
        <f t="shared" si="210"/>
        <v>1380</v>
      </c>
      <c r="I1497" s="1916">
        <f t="shared" si="211"/>
        <v>414</v>
      </c>
      <c r="J1497" s="1916">
        <f t="shared" si="212"/>
        <v>1794</v>
      </c>
      <c r="K1497" s="1917"/>
      <c r="L1497" s="1917"/>
      <c r="M1497" s="1918" t="s">
        <v>1016</v>
      </c>
      <c r="N1497" s="1852"/>
    </row>
    <row r="1498" spans="1:14" s="1862" customFormat="1">
      <c r="A1498" s="1911"/>
      <c r="B1498" s="1912" t="s">
        <v>108</v>
      </c>
      <c r="C1498" s="1919" t="s">
        <v>725</v>
      </c>
      <c r="D1498" s="1920">
        <v>100</v>
      </c>
      <c r="E1498" s="1921" t="s">
        <v>86</v>
      </c>
      <c r="F1498" s="1922">
        <v>123</v>
      </c>
      <c r="G1498" s="1922">
        <v>82</v>
      </c>
      <c r="H1498" s="1916">
        <f t="shared" si="210"/>
        <v>12300</v>
      </c>
      <c r="I1498" s="1916">
        <f t="shared" si="211"/>
        <v>8200</v>
      </c>
      <c r="J1498" s="1916">
        <f t="shared" si="212"/>
        <v>20500</v>
      </c>
      <c r="K1498" s="1917"/>
      <c r="L1498" s="1917"/>
      <c r="M1498" s="1918" t="s">
        <v>1875</v>
      </c>
    </row>
    <row r="1499" spans="1:14" s="1862" customFormat="1" ht="48">
      <c r="A1499" s="1911"/>
      <c r="B1499" s="1912" t="s">
        <v>391</v>
      </c>
      <c r="C1499" s="1913" t="s">
        <v>1936</v>
      </c>
      <c r="D1499" s="1920">
        <v>304.8</v>
      </c>
      <c r="E1499" s="1921" t="s">
        <v>86</v>
      </c>
      <c r="F1499" s="1922">
        <v>1457</v>
      </c>
      <c r="G1499" s="1922">
        <v>188</v>
      </c>
      <c r="H1499" s="1916">
        <f t="shared" si="210"/>
        <v>444093.60000000003</v>
      </c>
      <c r="I1499" s="1916">
        <f t="shared" si="211"/>
        <v>57302.400000000001</v>
      </c>
      <c r="J1499" s="1916">
        <f t="shared" si="212"/>
        <v>501396.00000000006</v>
      </c>
      <c r="K1499" s="1917"/>
      <c r="L1499" s="1917"/>
      <c r="M1499" s="1918" t="s">
        <v>1076</v>
      </c>
      <c r="N1499" s="1852"/>
    </row>
    <row r="1500" spans="1:14" s="1862" customFormat="1">
      <c r="A1500" s="2000"/>
      <c r="B1500" s="2004"/>
      <c r="C1500" s="2005" t="s">
        <v>727</v>
      </c>
      <c r="D1500" s="2015">
        <v>494.8</v>
      </c>
      <c r="E1500" s="2016" t="s">
        <v>86</v>
      </c>
      <c r="F1500" s="1900">
        <v>109</v>
      </c>
      <c r="G1500" s="1900">
        <v>64</v>
      </c>
      <c r="H1500" s="2007">
        <f t="shared" si="210"/>
        <v>53933.200000000004</v>
      </c>
      <c r="I1500" s="2007">
        <f t="shared" si="211"/>
        <v>31667.200000000001</v>
      </c>
      <c r="J1500" s="2007">
        <f t="shared" si="212"/>
        <v>85600.400000000009</v>
      </c>
      <c r="K1500" s="1907"/>
      <c r="L1500" s="1908"/>
      <c r="M1500" s="1885" t="s">
        <v>1876</v>
      </c>
    </row>
    <row r="1501" spans="1:14">
      <c r="A1501" s="1903"/>
      <c r="B1501" s="1904"/>
      <c r="C1501" s="1905" t="s">
        <v>728</v>
      </c>
      <c r="D1501" s="1898">
        <f>D1495</f>
        <v>39.1</v>
      </c>
      <c r="E1501" s="1899" t="s">
        <v>86</v>
      </c>
      <c r="F1501" s="1900">
        <v>175</v>
      </c>
      <c r="G1501" s="1900">
        <v>40</v>
      </c>
      <c r="H1501" s="1906">
        <f t="shared" si="210"/>
        <v>6842.5</v>
      </c>
      <c r="I1501" s="1906">
        <f t="shared" si="211"/>
        <v>1564</v>
      </c>
      <c r="J1501" s="1906">
        <f t="shared" si="212"/>
        <v>8406.5</v>
      </c>
      <c r="K1501" s="1907"/>
      <c r="L1501" s="1907"/>
      <c r="M1501" s="1885" t="s">
        <v>1076</v>
      </c>
    </row>
    <row r="1502" spans="1:14">
      <c r="A1502" s="1903"/>
      <c r="B1502" s="2052" t="s">
        <v>366</v>
      </c>
      <c r="C1502" s="1905"/>
      <c r="D1502" s="1898"/>
      <c r="E1502" s="1899"/>
      <c r="F1502" s="1900"/>
      <c r="G1502" s="1900"/>
      <c r="H1502" s="1906"/>
      <c r="I1502" s="1906"/>
      <c r="J1502" s="1906"/>
      <c r="K1502" s="1907"/>
      <c r="L1502" s="1907"/>
      <c r="M1502" s="1885"/>
    </row>
    <row r="1503" spans="1:14">
      <c r="A1503" s="1903"/>
      <c r="B1503" s="1904" t="s">
        <v>733</v>
      </c>
      <c r="C1503" s="1905" t="s">
        <v>1241</v>
      </c>
      <c r="D1503" s="1909">
        <v>417.5</v>
      </c>
      <c r="E1503" s="1910" t="s">
        <v>86</v>
      </c>
      <c r="F1503" s="1900">
        <v>273</v>
      </c>
      <c r="G1503" s="1906">
        <v>53</v>
      </c>
      <c r="H1503" s="1906">
        <f>+F1503*D1503</f>
        <v>113977.5</v>
      </c>
      <c r="I1503" s="1906">
        <f>+G1503*D1503</f>
        <v>22127.5</v>
      </c>
      <c r="J1503" s="1906">
        <f>+H1503+I1503</f>
        <v>136105</v>
      </c>
      <c r="K1503" s="1907"/>
      <c r="L1503" s="1907"/>
      <c r="M1503" s="1885" t="s">
        <v>1876</v>
      </c>
      <c r="N1503" s="1861"/>
    </row>
    <row r="1504" spans="1:14">
      <c r="A1504" s="1903"/>
      <c r="B1504" s="1904" t="s">
        <v>734</v>
      </c>
      <c r="C1504" s="1905" t="s">
        <v>653</v>
      </c>
      <c r="D1504" s="1909">
        <v>7</v>
      </c>
      <c r="E1504" s="1910" t="s">
        <v>5</v>
      </c>
      <c r="F1504" s="1900">
        <v>14500</v>
      </c>
      <c r="G1504" s="1900">
        <v>800</v>
      </c>
      <c r="H1504" s="1906">
        <f>+F1504*D1504</f>
        <v>101500</v>
      </c>
      <c r="I1504" s="1906">
        <f>+G1504*D1504</f>
        <v>5600</v>
      </c>
      <c r="J1504" s="1906">
        <f>+H1504+I1504</f>
        <v>107100</v>
      </c>
      <c r="K1504" s="1907"/>
      <c r="L1504" s="1908" t="s">
        <v>1885</v>
      </c>
      <c r="M1504" s="1885" t="s">
        <v>622</v>
      </c>
    </row>
    <row r="1505" spans="1:14">
      <c r="A1505" s="1903"/>
      <c r="B1505" s="1904" t="s">
        <v>735</v>
      </c>
      <c r="C1505" s="1905" t="s">
        <v>1768</v>
      </c>
      <c r="D1505" s="1909">
        <v>459.9</v>
      </c>
      <c r="E1505" s="1910" t="s">
        <v>86</v>
      </c>
      <c r="F1505" s="1900">
        <v>754</v>
      </c>
      <c r="G1505" s="1906">
        <v>75</v>
      </c>
      <c r="H1505" s="1906">
        <f>+F1505*D1505</f>
        <v>346764.6</v>
      </c>
      <c r="I1505" s="1906">
        <f>+G1505*D1505</f>
        <v>34492.5</v>
      </c>
      <c r="J1505" s="1906">
        <f>+H1505+I1505</f>
        <v>381257.1</v>
      </c>
      <c r="K1505" s="1907"/>
      <c r="L1505" s="1907"/>
      <c r="M1505" s="1885" t="s">
        <v>1876</v>
      </c>
      <c r="N1505" s="1861"/>
    </row>
    <row r="1506" spans="1:14">
      <c r="A1506" s="1897"/>
      <c r="B1506" s="2008" t="s">
        <v>947</v>
      </c>
      <c r="C1506" s="2019" t="s">
        <v>1786</v>
      </c>
      <c r="D1506" s="1898">
        <v>90.6</v>
      </c>
      <c r="E1506" s="1899" t="s">
        <v>86</v>
      </c>
      <c r="F1506" s="1900">
        <v>144</v>
      </c>
      <c r="G1506" s="1900">
        <v>100</v>
      </c>
      <c r="H1506" s="1900">
        <f>+F1506*D1506</f>
        <v>13046.4</v>
      </c>
      <c r="I1506" s="1900">
        <f>+G1506*D1506</f>
        <v>9060</v>
      </c>
      <c r="J1506" s="1900">
        <f>+H1506+I1506</f>
        <v>22106.400000000001</v>
      </c>
      <c r="K1506" s="1907"/>
      <c r="M1506" s="1885" t="s">
        <v>1076</v>
      </c>
    </row>
    <row r="1507" spans="1:14">
      <c r="A1507" s="1903"/>
      <c r="B1507" s="2386" t="s">
        <v>365</v>
      </c>
      <c r="C1507" s="2386"/>
      <c r="D1507" s="1909"/>
      <c r="E1507" s="1910"/>
      <c r="F1507" s="1906"/>
      <c r="G1507" s="1906"/>
      <c r="H1507" s="1906"/>
      <c r="I1507" s="1906"/>
      <c r="J1507" s="1906"/>
      <c r="K1507" s="1907"/>
    </row>
    <row r="1508" spans="1:14" s="1862" customFormat="1" ht="48">
      <c r="A1508" s="1911"/>
      <c r="B1508" s="1912">
        <v>1</v>
      </c>
      <c r="C1508" s="1913" t="s">
        <v>736</v>
      </c>
      <c r="D1508" s="1914">
        <v>269.60000000000002</v>
      </c>
      <c r="E1508" s="1915" t="s">
        <v>86</v>
      </c>
      <c r="F1508" s="1916">
        <v>165</v>
      </c>
      <c r="G1508" s="1916">
        <v>240</v>
      </c>
      <c r="H1508" s="1916">
        <f t="shared" ref="H1508:H1517" si="213">+F1508*D1508</f>
        <v>44484.000000000007</v>
      </c>
      <c r="I1508" s="1916">
        <f t="shared" ref="I1508:I1517" si="214">+G1508*D1508</f>
        <v>64704.000000000007</v>
      </c>
      <c r="J1508" s="1916">
        <f t="shared" ref="J1508:J1517" si="215">+H1508+I1508</f>
        <v>109188.00000000001</v>
      </c>
      <c r="K1508" s="1917"/>
      <c r="L1508" s="2048"/>
      <c r="M1508" s="1918" t="s">
        <v>1076</v>
      </c>
      <c r="N1508" s="1852"/>
    </row>
    <row r="1509" spans="1:14" s="1862" customFormat="1">
      <c r="A1509" s="1911"/>
      <c r="B1509" s="1912">
        <v>2</v>
      </c>
      <c r="C1509" s="1913" t="s">
        <v>738</v>
      </c>
      <c r="D1509" s="1920">
        <v>8.4</v>
      </c>
      <c r="E1509" s="1921" t="s">
        <v>86</v>
      </c>
      <c r="F1509" s="1922">
        <v>155</v>
      </c>
      <c r="G1509" s="1922">
        <v>155</v>
      </c>
      <c r="H1509" s="1916">
        <f t="shared" si="213"/>
        <v>1302</v>
      </c>
      <c r="I1509" s="1916">
        <f t="shared" si="214"/>
        <v>1302</v>
      </c>
      <c r="J1509" s="1916">
        <f t="shared" si="215"/>
        <v>2604</v>
      </c>
      <c r="K1509" s="1917"/>
      <c r="L1509" s="2048"/>
      <c r="M1509" s="1918" t="s">
        <v>1076</v>
      </c>
      <c r="N1509" s="1852"/>
    </row>
    <row r="1510" spans="1:14" s="1862" customFormat="1">
      <c r="A1510" s="1911"/>
      <c r="B1510" s="1912">
        <v>3</v>
      </c>
      <c r="C1510" s="1913" t="s">
        <v>737</v>
      </c>
      <c r="D1510" s="1920">
        <v>16</v>
      </c>
      <c r="E1510" s="1921" t="s">
        <v>86</v>
      </c>
      <c r="F1510" s="1922">
        <v>135</v>
      </c>
      <c r="G1510" s="1922">
        <v>155</v>
      </c>
      <c r="H1510" s="1916">
        <f t="shared" si="213"/>
        <v>2160</v>
      </c>
      <c r="I1510" s="1916">
        <f t="shared" si="214"/>
        <v>2480</v>
      </c>
      <c r="J1510" s="1916">
        <f t="shared" si="215"/>
        <v>4640</v>
      </c>
      <c r="K1510" s="1917"/>
      <c r="L1510" s="2048"/>
      <c r="M1510" s="1918" t="s">
        <v>1076</v>
      </c>
    </row>
    <row r="1511" spans="1:14" s="1862" customFormat="1" ht="48">
      <c r="A1511" s="1911"/>
      <c r="B1511" s="1912">
        <v>4</v>
      </c>
      <c r="C1511" s="1913" t="s">
        <v>1767</v>
      </c>
      <c r="D1511" s="1920">
        <v>186.4</v>
      </c>
      <c r="E1511" s="1921" t="s">
        <v>86</v>
      </c>
      <c r="F1511" s="1922">
        <v>540</v>
      </c>
      <c r="G1511" s="1922">
        <v>271</v>
      </c>
      <c r="H1511" s="1916">
        <f t="shared" si="213"/>
        <v>100656</v>
      </c>
      <c r="I1511" s="1916">
        <f t="shared" si="214"/>
        <v>50514.400000000001</v>
      </c>
      <c r="J1511" s="1916">
        <f t="shared" si="215"/>
        <v>151170.4</v>
      </c>
      <c r="K1511" s="1917"/>
      <c r="L1511" s="1917" t="s">
        <v>1939</v>
      </c>
      <c r="M1511" s="1918" t="s">
        <v>1076</v>
      </c>
      <c r="N1511" s="1852"/>
    </row>
    <row r="1512" spans="1:14" s="1862" customFormat="1" ht="48">
      <c r="A1512" s="1911"/>
      <c r="B1512" s="1912">
        <v>5</v>
      </c>
      <c r="C1512" s="1913" t="s">
        <v>739</v>
      </c>
      <c r="D1512" s="1920">
        <v>512.29999999999995</v>
      </c>
      <c r="E1512" s="1921" t="s">
        <v>86</v>
      </c>
      <c r="F1512" s="1922">
        <v>165</v>
      </c>
      <c r="G1512" s="1922">
        <v>240</v>
      </c>
      <c r="H1512" s="1916">
        <f t="shared" si="213"/>
        <v>84529.499999999985</v>
      </c>
      <c r="I1512" s="1916">
        <f t="shared" si="214"/>
        <v>122951.99999999999</v>
      </c>
      <c r="J1512" s="1916">
        <f t="shared" si="215"/>
        <v>207481.49999999997</v>
      </c>
      <c r="K1512" s="1917"/>
      <c r="L1512" s="2048"/>
      <c r="M1512" s="1918" t="s">
        <v>1076</v>
      </c>
      <c r="N1512" s="1852"/>
    </row>
    <row r="1513" spans="1:14" s="1862" customFormat="1" ht="48">
      <c r="A1513" s="1911"/>
      <c r="B1513" s="1912">
        <v>6</v>
      </c>
      <c r="C1513" s="1913" t="s">
        <v>740</v>
      </c>
      <c r="D1513" s="1920">
        <v>70.900000000000006</v>
      </c>
      <c r="E1513" s="1921" t="s">
        <v>86</v>
      </c>
      <c r="F1513" s="1922">
        <v>285</v>
      </c>
      <c r="G1513" s="1922">
        <v>240</v>
      </c>
      <c r="H1513" s="1916">
        <f t="shared" si="213"/>
        <v>20206.5</v>
      </c>
      <c r="I1513" s="1916">
        <f t="shared" si="214"/>
        <v>17016</v>
      </c>
      <c r="J1513" s="1916">
        <f t="shared" si="215"/>
        <v>37222.5</v>
      </c>
      <c r="K1513" s="1917"/>
      <c r="L1513" s="2048"/>
      <c r="M1513" s="1918" t="s">
        <v>1076</v>
      </c>
      <c r="N1513" s="1852"/>
    </row>
    <row r="1514" spans="1:14">
      <c r="A1514" s="1903"/>
      <c r="B1514" s="1904">
        <v>7</v>
      </c>
      <c r="C1514" s="1905" t="s">
        <v>372</v>
      </c>
      <c r="D1514" s="1898">
        <v>58.6</v>
      </c>
      <c r="E1514" s="1899" t="s">
        <v>86</v>
      </c>
      <c r="F1514" s="1900">
        <v>151</v>
      </c>
      <c r="G1514" s="1900">
        <v>92</v>
      </c>
      <c r="H1514" s="1906">
        <f t="shared" si="213"/>
        <v>8848.6</v>
      </c>
      <c r="I1514" s="1906">
        <f t="shared" si="214"/>
        <v>5391.2</v>
      </c>
      <c r="J1514" s="1906">
        <f t="shared" si="215"/>
        <v>14239.8</v>
      </c>
      <c r="K1514" s="1917"/>
      <c r="M1514" s="1885" t="s">
        <v>1879</v>
      </c>
      <c r="N1514" s="1861"/>
    </row>
    <row r="1515" spans="1:14">
      <c r="A1515" s="1903"/>
      <c r="B1515" s="1904">
        <v>10</v>
      </c>
      <c r="C1515" s="1905" t="s">
        <v>1747</v>
      </c>
      <c r="D1515" s="1898">
        <v>733.5</v>
      </c>
      <c r="E1515" s="1899" t="s">
        <v>86</v>
      </c>
      <c r="F1515" s="1900">
        <v>75</v>
      </c>
      <c r="G1515" s="1900">
        <v>87</v>
      </c>
      <c r="H1515" s="1906">
        <f t="shared" si="213"/>
        <v>55012.5</v>
      </c>
      <c r="I1515" s="1906">
        <f t="shared" si="214"/>
        <v>63814.5</v>
      </c>
      <c r="J1515" s="1906">
        <f t="shared" si="215"/>
        <v>118827</v>
      </c>
      <c r="K1515" s="1917"/>
      <c r="M1515" s="1885" t="s">
        <v>1879</v>
      </c>
      <c r="N1515" s="1861"/>
    </row>
    <row r="1516" spans="1:14">
      <c r="A1516" s="1903"/>
      <c r="B1516" s="1904">
        <v>11</v>
      </c>
      <c r="C1516" s="1905" t="s">
        <v>1747</v>
      </c>
      <c r="D1516" s="1898">
        <v>155.6</v>
      </c>
      <c r="E1516" s="1899" t="s">
        <v>86</v>
      </c>
      <c r="F1516" s="1900">
        <v>75</v>
      </c>
      <c r="G1516" s="1900">
        <v>87</v>
      </c>
      <c r="H1516" s="1906">
        <f t="shared" si="213"/>
        <v>11670</v>
      </c>
      <c r="I1516" s="1906">
        <f t="shared" si="214"/>
        <v>13537.199999999999</v>
      </c>
      <c r="J1516" s="1906">
        <f t="shared" si="215"/>
        <v>25207.199999999997</v>
      </c>
      <c r="K1516" s="1917"/>
      <c r="M1516" s="1885" t="s">
        <v>1879</v>
      </c>
      <c r="N1516" s="1861"/>
    </row>
    <row r="1517" spans="1:14">
      <c r="A1517" s="1903"/>
      <c r="B1517" s="1904">
        <v>12</v>
      </c>
      <c r="C1517" s="1905" t="s">
        <v>742</v>
      </c>
      <c r="D1517" s="1898">
        <v>25.3</v>
      </c>
      <c r="E1517" s="1899" t="s">
        <v>86</v>
      </c>
      <c r="F1517" s="1900">
        <v>1111</v>
      </c>
      <c r="G1517" s="1900">
        <v>164</v>
      </c>
      <c r="H1517" s="1906">
        <f t="shared" si="213"/>
        <v>28108.3</v>
      </c>
      <c r="I1517" s="1906">
        <f t="shared" si="214"/>
        <v>4149.2</v>
      </c>
      <c r="J1517" s="1906">
        <f t="shared" si="215"/>
        <v>32257.5</v>
      </c>
      <c r="K1517" s="1917"/>
      <c r="L1517" s="1907" t="s">
        <v>1938</v>
      </c>
      <c r="M1517" s="2018" t="s">
        <v>1898</v>
      </c>
    </row>
    <row r="1518" spans="1:14">
      <c r="A1518" s="1903"/>
      <c r="B1518" s="1904" t="s">
        <v>620</v>
      </c>
      <c r="C1518" s="1905" t="s">
        <v>1008</v>
      </c>
      <c r="D1518" s="1909">
        <v>387.5</v>
      </c>
      <c r="E1518" s="1910" t="s">
        <v>84</v>
      </c>
      <c r="F1518" s="1906">
        <v>79</v>
      </c>
      <c r="G1518" s="1906">
        <v>46</v>
      </c>
      <c r="H1518" s="1906">
        <f>+F1518*D1518</f>
        <v>30612.5</v>
      </c>
      <c r="I1518" s="1906">
        <f>+G1518*D1518</f>
        <v>17825</v>
      </c>
      <c r="J1518" s="1906">
        <f>+H1518+I1518</f>
        <v>48437.5</v>
      </c>
      <c r="K1518" s="1917"/>
      <c r="M1518" s="1885" t="s">
        <v>1879</v>
      </c>
      <c r="N1518" s="1861"/>
    </row>
    <row r="1519" spans="1:14">
      <c r="A1519" s="1903"/>
      <c r="B1519" s="1904" t="s">
        <v>621</v>
      </c>
      <c r="C1519" s="1905" t="s">
        <v>1009</v>
      </c>
      <c r="D1519" s="1909">
        <v>397.3</v>
      </c>
      <c r="E1519" s="1910" t="s">
        <v>84</v>
      </c>
      <c r="F1519" s="1906">
        <v>120</v>
      </c>
      <c r="G1519" s="1906">
        <v>64</v>
      </c>
      <c r="H1519" s="1906">
        <f>+F1519*D1519</f>
        <v>47676</v>
      </c>
      <c r="I1519" s="1906">
        <f>+G1519*D1519</f>
        <v>25427.200000000001</v>
      </c>
      <c r="J1519" s="1906">
        <f>+H1519+I1519</f>
        <v>73103.199999999997</v>
      </c>
      <c r="K1519" s="1907"/>
      <c r="M1519" s="1885" t="s">
        <v>1879</v>
      </c>
      <c r="N1519" s="1861"/>
    </row>
    <row r="1520" spans="1:14">
      <c r="A1520" s="1903"/>
      <c r="B1520" s="1904" t="s">
        <v>1007</v>
      </c>
      <c r="C1520" s="1905" t="s">
        <v>1010</v>
      </c>
      <c r="D1520" s="1909">
        <v>28.2</v>
      </c>
      <c r="E1520" s="1910" t="s">
        <v>84</v>
      </c>
      <c r="F1520" s="1906">
        <v>120</v>
      </c>
      <c r="G1520" s="1906">
        <v>81</v>
      </c>
      <c r="H1520" s="1906">
        <f>+F1520*D1520</f>
        <v>3384</v>
      </c>
      <c r="I1520" s="1906">
        <f>+G1520*D1520</f>
        <v>2284.1999999999998</v>
      </c>
      <c r="J1520" s="1906">
        <f>+H1520+I1520</f>
        <v>5668.2</v>
      </c>
      <c r="K1520" s="1907"/>
      <c r="M1520" s="1885" t="s">
        <v>1879</v>
      </c>
      <c r="N1520" s="1861"/>
    </row>
    <row r="1521" spans="1:14">
      <c r="A1521" s="1903"/>
      <c r="B1521" s="1904"/>
      <c r="C1521" s="1905" t="s">
        <v>1078</v>
      </c>
      <c r="D1521" s="1898">
        <v>96</v>
      </c>
      <c r="E1521" s="1910" t="s">
        <v>113</v>
      </c>
      <c r="F1521" s="1900">
        <v>0</v>
      </c>
      <c r="G1521" s="1900">
        <v>15</v>
      </c>
      <c r="H1521" s="1906">
        <f>+F1521*D1521</f>
        <v>0</v>
      </c>
      <c r="I1521" s="1906">
        <f>+G1521*D1521</f>
        <v>1440</v>
      </c>
      <c r="J1521" s="1906">
        <f>+H1521+I1521</f>
        <v>1440</v>
      </c>
      <c r="K1521" s="1907"/>
      <c r="M1521" s="1885" t="s">
        <v>1015</v>
      </c>
      <c r="N1521" s="1861"/>
    </row>
    <row r="1522" spans="1:14">
      <c r="A1522" s="1863"/>
      <c r="B1522" s="1864"/>
      <c r="C1522" s="1865"/>
      <c r="D1522" s="1866"/>
      <c r="E1522" s="1867"/>
      <c r="F1522" s="1868"/>
      <c r="G1522" s="1868"/>
      <c r="H1522" s="1868"/>
      <c r="I1522" s="1868"/>
      <c r="J1522" s="1868"/>
      <c r="K1522" s="1869"/>
      <c r="M1522" s="1885"/>
      <c r="N1522" s="1861"/>
    </row>
    <row r="1523" spans="1:14">
      <c r="B1523" s="1860"/>
      <c r="C1523" s="2133" t="s">
        <v>133</v>
      </c>
      <c r="D1523" s="2134"/>
      <c r="E1523" s="2135"/>
      <c r="F1523" s="2136"/>
      <c r="G1523" s="2137"/>
      <c r="H1523" s="2137"/>
      <c r="I1523" s="2137"/>
      <c r="J1523" s="2137"/>
      <c r="K1523" s="2137"/>
      <c r="M1523" s="1885"/>
      <c r="N1523" s="1861"/>
    </row>
    <row r="1524" spans="1:14">
      <c r="B1524" s="2138"/>
      <c r="C1524" s="2139" t="s">
        <v>1769</v>
      </c>
      <c r="D1524" s="2140"/>
      <c r="E1524" s="1861"/>
      <c r="F1524" s="2135"/>
      <c r="G1524" s="2139" t="s">
        <v>134</v>
      </c>
      <c r="H1524" s="2138"/>
      <c r="I1524" s="2138"/>
      <c r="J1524" s="2138"/>
      <c r="K1524" s="2138"/>
      <c r="M1524" s="1885"/>
      <c r="N1524" s="1861"/>
    </row>
    <row r="1525" spans="1:14">
      <c r="B1525" s="1871"/>
      <c r="C1525" s="2141" t="s">
        <v>1970</v>
      </c>
      <c r="D1525" s="2140"/>
      <c r="E1525" s="2142"/>
      <c r="F1525" s="2143"/>
      <c r="G1525" s="2144" t="s">
        <v>1971</v>
      </c>
      <c r="H1525" s="2145"/>
      <c r="I1525" s="2145"/>
      <c r="J1525" s="2145"/>
      <c r="K1525" s="2145"/>
      <c r="M1525" s="1885"/>
      <c r="N1525" s="1861"/>
    </row>
    <row r="1526" spans="1:14">
      <c r="A1526" s="1837"/>
      <c r="B1526" s="2138"/>
      <c r="C1526" s="2139" t="s">
        <v>2031</v>
      </c>
      <c r="D1526" s="2140"/>
      <c r="E1526" s="1837"/>
      <c r="F1526" s="2146"/>
      <c r="G1526" s="2139" t="s">
        <v>2031</v>
      </c>
      <c r="H1526" s="1837"/>
      <c r="I1526" s="1837"/>
      <c r="J1526" s="1837"/>
      <c r="K1526" s="1837"/>
      <c r="M1526" s="1885"/>
      <c r="N1526" s="1861"/>
    </row>
    <row r="1527" spans="1:14">
      <c r="A1527" s="1952"/>
      <c r="B1527" s="1871"/>
      <c r="C1527" s="2147" t="s">
        <v>1984</v>
      </c>
      <c r="D1527" s="2140"/>
      <c r="E1527" s="1837"/>
      <c r="F1527" s="2135"/>
      <c r="G1527" s="2147" t="s">
        <v>1985</v>
      </c>
      <c r="H1527" s="1952"/>
      <c r="I1527" s="1952"/>
      <c r="J1527" s="1952"/>
      <c r="K1527" s="1952"/>
      <c r="M1527" s="1885"/>
      <c r="N1527" s="1861"/>
    </row>
    <row r="1528" spans="1:14">
      <c r="A1528" s="1952"/>
      <c r="B1528" s="1952"/>
      <c r="C1528" s="2139" t="s">
        <v>670</v>
      </c>
      <c r="D1528" s="2139"/>
      <c r="E1528" s="2143"/>
      <c r="F1528" s="2143"/>
      <c r="G1528" s="1952"/>
      <c r="H1528" s="1952"/>
      <c r="I1528" s="1952"/>
      <c r="J1528" s="1952"/>
      <c r="K1528" s="1952"/>
      <c r="M1528" s="1885"/>
      <c r="N1528" s="1861"/>
    </row>
    <row r="1529" spans="1:14">
      <c r="C1529" s="2147" t="s">
        <v>1972</v>
      </c>
      <c r="D1529" s="2147"/>
      <c r="E1529" s="2146"/>
      <c r="F1529" s="2146"/>
      <c r="M1529" s="1885"/>
      <c r="N1529" s="1861"/>
    </row>
    <row r="1530" spans="1:14">
      <c r="A1530" s="1903"/>
      <c r="B1530" s="2052" t="s">
        <v>205</v>
      </c>
      <c r="C1530" s="1905"/>
      <c r="D1530" s="1909"/>
      <c r="E1530" s="1910"/>
      <c r="F1530" s="1906"/>
      <c r="G1530" s="1906"/>
      <c r="H1530" s="1906"/>
      <c r="I1530" s="1906"/>
      <c r="J1530" s="1906"/>
      <c r="K1530" s="1907"/>
    </row>
    <row r="1531" spans="1:14" s="1862" customFormat="1">
      <c r="A1531" s="1911"/>
      <c r="B1531" s="1912" t="s">
        <v>941</v>
      </c>
      <c r="C1531" s="1913" t="s">
        <v>1066</v>
      </c>
      <c r="D1531" s="1920">
        <f>D1515</f>
        <v>733.5</v>
      </c>
      <c r="E1531" s="1921" t="s">
        <v>86</v>
      </c>
      <c r="F1531" s="1922">
        <v>35</v>
      </c>
      <c r="G1531" s="1922">
        <v>30</v>
      </c>
      <c r="H1531" s="1916">
        <f t="shared" ref="H1531:H1537" si="216">F1531*D1531</f>
        <v>25672.5</v>
      </c>
      <c r="I1531" s="1916">
        <f t="shared" ref="I1531:I1537" si="217">G1531*D1531</f>
        <v>22005</v>
      </c>
      <c r="J1531" s="1916">
        <f t="shared" ref="J1531:J1537" si="218">H1531+I1531</f>
        <v>47677.5</v>
      </c>
      <c r="K1531" s="1917"/>
      <c r="L1531" s="2048"/>
      <c r="M1531" s="1918" t="s">
        <v>1879</v>
      </c>
      <c r="N1531" s="1852"/>
    </row>
    <row r="1532" spans="1:14" s="1862" customFormat="1" ht="48">
      <c r="A1532" s="1911"/>
      <c r="B1532" s="1912" t="s">
        <v>942</v>
      </c>
      <c r="C1532" s="1913" t="s">
        <v>1067</v>
      </c>
      <c r="D1532" s="1920">
        <f>D1516</f>
        <v>155.6</v>
      </c>
      <c r="E1532" s="1921" t="s">
        <v>86</v>
      </c>
      <c r="F1532" s="1922">
        <v>44</v>
      </c>
      <c r="G1532" s="1922">
        <v>34</v>
      </c>
      <c r="H1532" s="1916">
        <f t="shared" si="216"/>
        <v>6846.4</v>
      </c>
      <c r="I1532" s="1916">
        <f t="shared" si="217"/>
        <v>5290.4</v>
      </c>
      <c r="J1532" s="1916">
        <f t="shared" si="218"/>
        <v>12136.8</v>
      </c>
      <c r="K1532" s="1917"/>
      <c r="L1532" s="2048"/>
      <c r="M1532" s="1918" t="s">
        <v>1879</v>
      </c>
      <c r="N1532" s="1852"/>
    </row>
    <row r="1533" spans="1:14" s="1862" customFormat="1" ht="48">
      <c r="A1533" s="1911"/>
      <c r="B1533" s="1912" t="s">
        <v>943</v>
      </c>
      <c r="C1533" s="1913" t="s">
        <v>1068</v>
      </c>
      <c r="D1533" s="1920">
        <f>D1541</f>
        <v>391</v>
      </c>
      <c r="E1533" s="1921" t="s">
        <v>86</v>
      </c>
      <c r="F1533" s="1922">
        <v>33</v>
      </c>
      <c r="G1533" s="1922">
        <v>30</v>
      </c>
      <c r="H1533" s="1916">
        <f t="shared" si="216"/>
        <v>12903</v>
      </c>
      <c r="I1533" s="1916">
        <f t="shared" si="217"/>
        <v>11730</v>
      </c>
      <c r="J1533" s="1916">
        <f t="shared" si="218"/>
        <v>24633</v>
      </c>
      <c r="K1533" s="1917"/>
      <c r="L1533" s="2048"/>
      <c r="M1533" s="1918" t="s">
        <v>1879</v>
      </c>
      <c r="N1533" s="1852"/>
    </row>
    <row r="1534" spans="1:14" s="1862" customFormat="1" ht="48">
      <c r="A1534" s="1911"/>
      <c r="B1534" s="1912" t="s">
        <v>944</v>
      </c>
      <c r="C1534" s="1913" t="s">
        <v>1069</v>
      </c>
      <c r="D1534" s="1920">
        <f>D1542</f>
        <v>130</v>
      </c>
      <c r="E1534" s="1921" t="s">
        <v>86</v>
      </c>
      <c r="F1534" s="1922">
        <v>33</v>
      </c>
      <c r="G1534" s="1922">
        <v>30</v>
      </c>
      <c r="H1534" s="1916">
        <f t="shared" si="216"/>
        <v>4290</v>
      </c>
      <c r="I1534" s="1916">
        <f t="shared" si="217"/>
        <v>3900</v>
      </c>
      <c r="J1534" s="1916">
        <f t="shared" si="218"/>
        <v>8190</v>
      </c>
      <c r="K1534" s="1917"/>
      <c r="L1534" s="2048"/>
      <c r="M1534" s="1918" t="s">
        <v>1879</v>
      </c>
      <c r="N1534" s="1852"/>
    </row>
    <row r="1535" spans="1:14" s="1862" customFormat="1" ht="48">
      <c r="A1535" s="1911"/>
      <c r="B1535" s="1912" t="s">
        <v>945</v>
      </c>
      <c r="C1535" s="1913" t="s">
        <v>1070</v>
      </c>
      <c r="D1535" s="1920">
        <f>D1540</f>
        <v>103.3</v>
      </c>
      <c r="E1535" s="1921" t="s">
        <v>86</v>
      </c>
      <c r="F1535" s="1922">
        <v>33</v>
      </c>
      <c r="G1535" s="1922">
        <v>30</v>
      </c>
      <c r="H1535" s="1916">
        <f t="shared" si="216"/>
        <v>3408.9</v>
      </c>
      <c r="I1535" s="1916">
        <f t="shared" si="217"/>
        <v>3099</v>
      </c>
      <c r="J1535" s="1916">
        <f t="shared" si="218"/>
        <v>6507.9</v>
      </c>
      <c r="K1535" s="1917"/>
      <c r="L1535" s="2048"/>
      <c r="M1535" s="1918" t="s">
        <v>1879</v>
      </c>
      <c r="N1535" s="1852"/>
    </row>
    <row r="1536" spans="1:14" s="1862" customFormat="1">
      <c r="A1536" s="1911"/>
      <c r="B1536" s="1912" t="s">
        <v>946</v>
      </c>
      <c r="C1536" s="1913" t="s">
        <v>1071</v>
      </c>
      <c r="D1536" s="1920">
        <v>1084.2</v>
      </c>
      <c r="E1536" s="1921" t="s">
        <v>86</v>
      </c>
      <c r="F1536" s="1922">
        <v>58</v>
      </c>
      <c r="G1536" s="1922">
        <v>35</v>
      </c>
      <c r="H1536" s="1916">
        <f t="shared" si="216"/>
        <v>62883.600000000006</v>
      </c>
      <c r="I1536" s="1916">
        <f t="shared" si="217"/>
        <v>37947</v>
      </c>
      <c r="J1536" s="1916">
        <f t="shared" si="218"/>
        <v>100830.6</v>
      </c>
      <c r="K1536" s="1917"/>
      <c r="L1536" s="2048"/>
      <c r="M1536" s="1918" t="s">
        <v>1879</v>
      </c>
      <c r="N1536" s="1852"/>
    </row>
    <row r="1537" spans="1:14" s="1862" customFormat="1">
      <c r="A1537" s="1911"/>
      <c r="B1537" s="1912" t="s">
        <v>1102</v>
      </c>
      <c r="C1537" s="1913" t="s">
        <v>1103</v>
      </c>
      <c r="D1537" s="1920">
        <v>10.1</v>
      </c>
      <c r="E1537" s="1921" t="s">
        <v>86</v>
      </c>
      <c r="F1537" s="1922">
        <v>471</v>
      </c>
      <c r="G1537" s="1922">
        <v>30</v>
      </c>
      <c r="H1537" s="1916">
        <f t="shared" si="216"/>
        <v>4757.0999999999995</v>
      </c>
      <c r="I1537" s="1916">
        <f t="shared" si="217"/>
        <v>303</v>
      </c>
      <c r="J1537" s="1916">
        <f t="shared" si="218"/>
        <v>5060.0999999999995</v>
      </c>
      <c r="K1537" s="1917"/>
      <c r="L1537" s="2048"/>
      <c r="M1537" s="1918" t="s">
        <v>1879</v>
      </c>
      <c r="N1537" s="1852"/>
    </row>
    <row r="1538" spans="1:14" s="1872" customFormat="1">
      <c r="A1538" s="1903"/>
      <c r="B1538" s="2064" t="s">
        <v>204</v>
      </c>
      <c r="C1538" s="1905"/>
      <c r="D1538" s="1909"/>
      <c r="E1538" s="1910"/>
      <c r="F1538" s="1906"/>
      <c r="G1538" s="1906"/>
      <c r="H1538" s="1906"/>
      <c r="I1538" s="1906"/>
      <c r="J1538" s="1906"/>
      <c r="K1538" s="1907"/>
      <c r="L1538" s="1871"/>
      <c r="M1538" s="1951"/>
    </row>
    <row r="1539" spans="1:14" s="1872" customFormat="1">
      <c r="A1539" s="1903"/>
      <c r="B1539" s="1904" t="s">
        <v>197</v>
      </c>
      <c r="C1539" s="1905" t="s">
        <v>937</v>
      </c>
      <c r="D1539" s="1909">
        <v>482.5</v>
      </c>
      <c r="E1539" s="1910" t="s">
        <v>86</v>
      </c>
      <c r="F1539" s="1906">
        <v>177</v>
      </c>
      <c r="G1539" s="1906">
        <v>134</v>
      </c>
      <c r="H1539" s="1906">
        <f t="shared" ref="H1539:H1544" si="219">+F1539*D1539</f>
        <v>85402.5</v>
      </c>
      <c r="I1539" s="1906">
        <f t="shared" ref="I1539:I1544" si="220">+G1539*D1539</f>
        <v>64655</v>
      </c>
      <c r="J1539" s="1906">
        <f t="shared" ref="J1539:J1544" si="221">+H1539+I1539</f>
        <v>150057.5</v>
      </c>
      <c r="K1539" s="1907"/>
      <c r="L1539" s="1871"/>
      <c r="M1539" s="1885" t="s">
        <v>1076</v>
      </c>
    </row>
    <row r="1540" spans="1:14" s="1853" customFormat="1">
      <c r="A1540" s="1903"/>
      <c r="B1540" s="1904" t="s">
        <v>373</v>
      </c>
      <c r="C1540" s="1905" t="s">
        <v>938</v>
      </c>
      <c r="D1540" s="1909">
        <v>103.3</v>
      </c>
      <c r="E1540" s="1910" t="s">
        <v>86</v>
      </c>
      <c r="F1540" s="1906">
        <v>100</v>
      </c>
      <c r="G1540" s="1906">
        <v>82</v>
      </c>
      <c r="H1540" s="1906">
        <f t="shared" si="219"/>
        <v>10330</v>
      </c>
      <c r="I1540" s="1906">
        <f t="shared" si="220"/>
        <v>8470.6</v>
      </c>
      <c r="J1540" s="1906">
        <f t="shared" si="221"/>
        <v>18800.599999999999</v>
      </c>
      <c r="K1540" s="1907"/>
      <c r="L1540" s="1871"/>
      <c r="M1540" s="1885" t="s">
        <v>1879</v>
      </c>
    </row>
    <row r="1541" spans="1:14" s="1853" customFormat="1">
      <c r="A1541" s="1903"/>
      <c r="B1541" s="1904" t="s">
        <v>374</v>
      </c>
      <c r="C1541" s="1905" t="s">
        <v>1236</v>
      </c>
      <c r="D1541" s="1909">
        <v>391</v>
      </c>
      <c r="E1541" s="1910" t="s">
        <v>86</v>
      </c>
      <c r="F1541" s="1906">
        <v>298</v>
      </c>
      <c r="G1541" s="1906">
        <v>75</v>
      </c>
      <c r="H1541" s="1906">
        <f t="shared" si="219"/>
        <v>116518</v>
      </c>
      <c r="I1541" s="1906">
        <f t="shared" si="220"/>
        <v>29325</v>
      </c>
      <c r="J1541" s="1906">
        <f t="shared" si="221"/>
        <v>145843</v>
      </c>
      <c r="K1541" s="1907"/>
      <c r="L1541" s="1871"/>
      <c r="M1541" s="1885" t="s">
        <v>1879</v>
      </c>
    </row>
    <row r="1542" spans="1:14" s="1853" customFormat="1">
      <c r="A1542" s="1903"/>
      <c r="B1542" s="1904" t="s">
        <v>375</v>
      </c>
      <c r="C1542" s="1905" t="s">
        <v>1235</v>
      </c>
      <c r="D1542" s="1909">
        <v>130</v>
      </c>
      <c r="E1542" s="1910" t="s">
        <v>86</v>
      </c>
      <c r="F1542" s="1906">
        <v>343</v>
      </c>
      <c r="G1542" s="1906">
        <v>75</v>
      </c>
      <c r="H1542" s="1906">
        <f t="shared" si="219"/>
        <v>44590</v>
      </c>
      <c r="I1542" s="1906">
        <f t="shared" si="220"/>
        <v>9750</v>
      </c>
      <c r="J1542" s="1906">
        <f t="shared" si="221"/>
        <v>54340</v>
      </c>
      <c r="K1542" s="1907"/>
      <c r="L1542" s="1871"/>
      <c r="M1542" s="1885" t="s">
        <v>1879</v>
      </c>
    </row>
    <row r="1543" spans="1:14" s="1853" customFormat="1">
      <c r="A1543" s="1903"/>
      <c r="B1543" s="1904"/>
      <c r="C1543" s="1905" t="s">
        <v>1199</v>
      </c>
      <c r="D1543" s="1909">
        <v>3</v>
      </c>
      <c r="E1543" s="1910" t="s">
        <v>5</v>
      </c>
      <c r="F1543" s="1906">
        <v>500</v>
      </c>
      <c r="G1543" s="1906">
        <v>100</v>
      </c>
      <c r="H1543" s="1906">
        <f t="shared" si="219"/>
        <v>1500</v>
      </c>
      <c r="I1543" s="1906">
        <f t="shared" si="220"/>
        <v>300</v>
      </c>
      <c r="J1543" s="1906">
        <f t="shared" si="221"/>
        <v>1800</v>
      </c>
      <c r="K1543" s="1907"/>
      <c r="L1543" s="1871"/>
      <c r="M1543" s="2018" t="s">
        <v>1076</v>
      </c>
    </row>
    <row r="1544" spans="1:14" s="1853" customFormat="1">
      <c r="A1544" s="1903"/>
      <c r="B1544" s="1904"/>
      <c r="C1544" s="1905" t="s">
        <v>1062</v>
      </c>
      <c r="D1544" s="1909">
        <v>18</v>
      </c>
      <c r="E1544" s="1910" t="s">
        <v>5</v>
      </c>
      <c r="F1544" s="1906">
        <v>3000</v>
      </c>
      <c r="G1544" s="1906">
        <v>700</v>
      </c>
      <c r="H1544" s="1906">
        <f t="shared" si="219"/>
        <v>54000</v>
      </c>
      <c r="I1544" s="1906">
        <f t="shared" si="220"/>
        <v>12600</v>
      </c>
      <c r="J1544" s="1906">
        <f t="shared" si="221"/>
        <v>66600</v>
      </c>
      <c r="K1544" s="1907"/>
      <c r="L1544" s="1871"/>
      <c r="M1544" s="2018" t="s">
        <v>1061</v>
      </c>
    </row>
    <row r="1545" spans="1:14" s="1853" customFormat="1">
      <c r="A1545" s="1897"/>
      <c r="B1545" s="2405" t="s">
        <v>202</v>
      </c>
      <c r="C1545" s="2405"/>
      <c r="D1545" s="1898"/>
      <c r="E1545" s="1899"/>
      <c r="F1545" s="1900"/>
      <c r="G1545" s="1900"/>
      <c r="H1545" s="1900"/>
      <c r="I1545" s="1900"/>
      <c r="J1545" s="1900"/>
      <c r="K1545" s="1901"/>
      <c r="L1545" s="1871"/>
      <c r="M1545" s="1902"/>
    </row>
    <row r="1546" spans="1:14" s="1853" customFormat="1">
      <c r="A1546" s="1903"/>
      <c r="B1546" s="2386" t="s">
        <v>110</v>
      </c>
      <c r="C1546" s="2386"/>
      <c r="D1546" s="1909"/>
      <c r="E1546" s="1910"/>
      <c r="F1546" s="1906"/>
      <c r="G1546" s="1906"/>
      <c r="H1546" s="1906"/>
      <c r="I1546" s="1906"/>
      <c r="J1546" s="1906"/>
      <c r="K1546" s="1907"/>
      <c r="L1546" s="1871"/>
      <c r="M1546" s="1902"/>
    </row>
    <row r="1547" spans="1:14">
      <c r="A1547" s="1903"/>
      <c r="B1547" s="1904" t="s">
        <v>888</v>
      </c>
      <c r="C1547" s="1905" t="s">
        <v>892</v>
      </c>
      <c r="D1547" s="1909">
        <v>1</v>
      </c>
      <c r="E1547" s="1910" t="s">
        <v>5</v>
      </c>
      <c r="F1547" s="1906">
        <v>21891</v>
      </c>
      <c r="G1547" s="1906">
        <v>450</v>
      </c>
      <c r="H1547" s="1906">
        <f t="shared" ref="H1547:H1562" si="222">+F1547*D1547</f>
        <v>21891</v>
      </c>
      <c r="I1547" s="1906">
        <f t="shared" ref="I1547:I1562" si="223">+G1547*D1547</f>
        <v>450</v>
      </c>
      <c r="J1547" s="1906">
        <f t="shared" ref="J1547:J1562" si="224">+H1547+I1547</f>
        <v>22341</v>
      </c>
      <c r="K1547" s="1907"/>
      <c r="M1547" s="1952" t="s">
        <v>1926</v>
      </c>
    </row>
    <row r="1548" spans="1:14">
      <c r="A1548" s="1903"/>
      <c r="B1548" s="1904" t="s">
        <v>612</v>
      </c>
      <c r="C1548" s="1905" t="s">
        <v>893</v>
      </c>
      <c r="D1548" s="1909">
        <v>5</v>
      </c>
      <c r="E1548" s="1910" t="s">
        <v>5</v>
      </c>
      <c r="F1548" s="1900">
        <v>12306</v>
      </c>
      <c r="G1548" s="1900">
        <v>450</v>
      </c>
      <c r="H1548" s="1906">
        <f t="shared" si="222"/>
        <v>61530</v>
      </c>
      <c r="I1548" s="1906">
        <f t="shared" si="223"/>
        <v>2250</v>
      </c>
      <c r="J1548" s="1906">
        <f t="shared" si="224"/>
        <v>63780</v>
      </c>
      <c r="K1548" s="1907"/>
      <c r="M1548" s="1952" t="s">
        <v>1926</v>
      </c>
    </row>
    <row r="1549" spans="1:14">
      <c r="A1549" s="1863"/>
      <c r="B1549" s="1864"/>
      <c r="C1549" s="1865"/>
      <c r="D1549" s="1866"/>
      <c r="E1549" s="1867"/>
      <c r="F1549" s="1868"/>
      <c r="G1549" s="1868"/>
      <c r="H1549" s="1868"/>
      <c r="I1549" s="1868"/>
      <c r="J1549" s="1868"/>
      <c r="K1549" s="1869"/>
      <c r="M1549" s="1952"/>
    </row>
    <row r="1550" spans="1:14">
      <c r="B1550" s="1860"/>
      <c r="C1550" s="2133" t="s">
        <v>133</v>
      </c>
      <c r="D1550" s="2134"/>
      <c r="E1550" s="2135"/>
      <c r="F1550" s="2136"/>
      <c r="G1550" s="2137"/>
      <c r="H1550" s="2137"/>
      <c r="I1550" s="2137"/>
      <c r="J1550" s="2137"/>
      <c r="K1550" s="2137"/>
      <c r="M1550" s="1952"/>
    </row>
    <row r="1551" spans="1:14">
      <c r="B1551" s="2138"/>
      <c r="C1551" s="2139" t="s">
        <v>1769</v>
      </c>
      <c r="D1551" s="2140"/>
      <c r="E1551" s="1861"/>
      <c r="F1551" s="2135"/>
      <c r="G1551" s="2139" t="s">
        <v>134</v>
      </c>
      <c r="H1551" s="2138"/>
      <c r="I1551" s="2138"/>
      <c r="J1551" s="2138"/>
      <c r="K1551" s="2138"/>
      <c r="M1551" s="1952"/>
    </row>
    <row r="1552" spans="1:14">
      <c r="B1552" s="1871"/>
      <c r="C1552" s="2141" t="s">
        <v>1970</v>
      </c>
      <c r="D1552" s="2140"/>
      <c r="E1552" s="2142"/>
      <c r="F1552" s="2143"/>
      <c r="G1552" s="2144" t="s">
        <v>1971</v>
      </c>
      <c r="H1552" s="2145"/>
      <c r="I1552" s="2145"/>
      <c r="J1552" s="2145"/>
      <c r="K1552" s="2145"/>
      <c r="M1552" s="1952"/>
    </row>
    <row r="1553" spans="1:13">
      <c r="A1553" s="1837"/>
      <c r="B1553" s="2138"/>
      <c r="C1553" s="2139" t="s">
        <v>2031</v>
      </c>
      <c r="D1553" s="2140"/>
      <c r="E1553" s="1837"/>
      <c r="F1553" s="2146"/>
      <c r="G1553" s="2139" t="s">
        <v>2031</v>
      </c>
      <c r="H1553" s="1837"/>
      <c r="I1553" s="1837"/>
      <c r="J1553" s="1837"/>
      <c r="K1553" s="1837"/>
      <c r="M1553" s="1952"/>
    </row>
    <row r="1554" spans="1:13">
      <c r="A1554" s="1952"/>
      <c r="B1554" s="1871"/>
      <c r="C1554" s="2147" t="s">
        <v>1984</v>
      </c>
      <c r="D1554" s="2140"/>
      <c r="E1554" s="1837"/>
      <c r="F1554" s="2135"/>
      <c r="G1554" s="2147" t="s">
        <v>1985</v>
      </c>
      <c r="H1554" s="1952"/>
      <c r="I1554" s="1952"/>
      <c r="J1554" s="1952"/>
      <c r="K1554" s="1952"/>
      <c r="M1554" s="1952"/>
    </row>
    <row r="1555" spans="1:13">
      <c r="A1555" s="1952"/>
      <c r="B1555" s="1952"/>
      <c r="C1555" s="2139" t="s">
        <v>670</v>
      </c>
      <c r="D1555" s="2139"/>
      <c r="E1555" s="2143"/>
      <c r="F1555" s="2143"/>
      <c r="G1555" s="1952"/>
      <c r="H1555" s="1952"/>
      <c r="I1555" s="1952"/>
      <c r="J1555" s="1952"/>
      <c r="K1555" s="1952"/>
      <c r="M1555" s="1952"/>
    </row>
    <row r="1556" spans="1:13">
      <c r="C1556" s="2147" t="s">
        <v>1972</v>
      </c>
      <c r="D1556" s="2147"/>
      <c r="E1556" s="2146"/>
      <c r="F1556" s="2146"/>
      <c r="M1556" s="1952"/>
    </row>
    <row r="1557" spans="1:13" s="1874" customFormat="1">
      <c r="A1557" s="1903"/>
      <c r="B1557" s="1904" t="s">
        <v>604</v>
      </c>
      <c r="C1557" s="1905" t="s">
        <v>990</v>
      </c>
      <c r="D1557" s="1909">
        <v>3</v>
      </c>
      <c r="E1557" s="1910" t="s">
        <v>5</v>
      </c>
      <c r="F1557" s="1900">
        <v>22000</v>
      </c>
      <c r="G1557" s="1900">
        <f>F1557*0.3</f>
        <v>6600</v>
      </c>
      <c r="H1557" s="1906">
        <f t="shared" si="222"/>
        <v>66000</v>
      </c>
      <c r="I1557" s="1906">
        <f t="shared" si="223"/>
        <v>19800</v>
      </c>
      <c r="J1557" s="1906">
        <f t="shared" si="224"/>
        <v>85800</v>
      </c>
      <c r="K1557" s="1907"/>
      <c r="L1557" s="1907" t="s">
        <v>1968</v>
      </c>
      <c r="M1557" s="1952" t="s">
        <v>622</v>
      </c>
    </row>
    <row r="1558" spans="1:13">
      <c r="A1558" s="1903"/>
      <c r="B1558" s="1904" t="s">
        <v>890</v>
      </c>
      <c r="C1558" s="1905" t="s">
        <v>896</v>
      </c>
      <c r="D1558" s="1909">
        <v>1</v>
      </c>
      <c r="E1558" s="1910" t="s">
        <v>5</v>
      </c>
      <c r="F1558" s="1900">
        <v>21100</v>
      </c>
      <c r="G1558" s="1900">
        <v>1450</v>
      </c>
      <c r="H1558" s="1906">
        <f t="shared" si="222"/>
        <v>21100</v>
      </c>
      <c r="I1558" s="1906">
        <f t="shared" si="223"/>
        <v>1450</v>
      </c>
      <c r="J1558" s="1906">
        <f t="shared" si="224"/>
        <v>22550</v>
      </c>
      <c r="K1558" s="1907"/>
      <c r="L1558" s="1901" t="s">
        <v>1941</v>
      </c>
      <c r="M1558" s="1952" t="s">
        <v>1942</v>
      </c>
    </row>
    <row r="1559" spans="1:13" s="1874" customFormat="1">
      <c r="A1559" s="1903"/>
      <c r="B1559" s="1904" t="s">
        <v>609</v>
      </c>
      <c r="C1559" s="1905" t="s">
        <v>895</v>
      </c>
      <c r="D1559" s="1909">
        <v>3</v>
      </c>
      <c r="E1559" s="1910" t="s">
        <v>5</v>
      </c>
      <c r="F1559" s="1906">
        <v>8713</v>
      </c>
      <c r="G1559" s="1906">
        <v>450</v>
      </c>
      <c r="H1559" s="1906">
        <f t="shared" si="222"/>
        <v>26139</v>
      </c>
      <c r="I1559" s="1906">
        <f t="shared" si="223"/>
        <v>1350</v>
      </c>
      <c r="J1559" s="1906">
        <f t="shared" si="224"/>
        <v>27489</v>
      </c>
      <c r="K1559" s="1907"/>
      <c r="L1559" s="1907"/>
      <c r="M1559" s="1952" t="s">
        <v>1926</v>
      </c>
    </row>
    <row r="1560" spans="1:13" s="1874" customFormat="1">
      <c r="A1560" s="1903"/>
      <c r="B1560" s="1904" t="s">
        <v>930</v>
      </c>
      <c r="C1560" s="1905" t="s">
        <v>921</v>
      </c>
      <c r="D1560" s="1898">
        <v>1</v>
      </c>
      <c r="E1560" s="1899" t="s">
        <v>5</v>
      </c>
      <c r="F1560" s="1900">
        <v>220000</v>
      </c>
      <c r="G1560" s="1900">
        <v>11000</v>
      </c>
      <c r="H1560" s="1906">
        <f t="shared" si="222"/>
        <v>220000</v>
      </c>
      <c r="I1560" s="1906">
        <f t="shared" si="223"/>
        <v>11000</v>
      </c>
      <c r="J1560" s="1906">
        <f t="shared" si="224"/>
        <v>231000</v>
      </c>
      <c r="K1560" s="1907"/>
      <c r="L1560" s="1907" t="s">
        <v>1919</v>
      </c>
      <c r="M1560" s="1952" t="s">
        <v>622</v>
      </c>
    </row>
    <row r="1561" spans="1:13" s="1853" customFormat="1">
      <c r="A1561" s="1903"/>
      <c r="B1561" s="1904" t="s">
        <v>931</v>
      </c>
      <c r="C1561" s="1905" t="s">
        <v>892</v>
      </c>
      <c r="D1561" s="1909">
        <v>1</v>
      </c>
      <c r="E1561" s="1910" t="s">
        <v>5</v>
      </c>
      <c r="F1561" s="1906">
        <v>21891</v>
      </c>
      <c r="G1561" s="1906">
        <v>450</v>
      </c>
      <c r="H1561" s="1906">
        <f t="shared" si="222"/>
        <v>21891</v>
      </c>
      <c r="I1561" s="1906">
        <f t="shared" si="223"/>
        <v>450</v>
      </c>
      <c r="J1561" s="1906">
        <f t="shared" si="224"/>
        <v>22341</v>
      </c>
      <c r="K1561" s="1907"/>
      <c r="L1561" s="1907"/>
      <c r="M1561" s="1902" t="s">
        <v>1926</v>
      </c>
    </row>
    <row r="1562" spans="1:13" s="1853" customFormat="1">
      <c r="A1562" s="1903"/>
      <c r="B1562" s="1904" t="s">
        <v>1046</v>
      </c>
      <c r="C1562" s="1905" t="s">
        <v>1047</v>
      </c>
      <c r="D1562" s="1898">
        <v>1</v>
      </c>
      <c r="E1562" s="1899" t="s">
        <v>5</v>
      </c>
      <c r="F1562" s="1900">
        <v>5975</v>
      </c>
      <c r="G1562" s="1900">
        <v>450</v>
      </c>
      <c r="H1562" s="1906">
        <f t="shared" si="222"/>
        <v>5975</v>
      </c>
      <c r="I1562" s="1906">
        <f t="shared" si="223"/>
        <v>450</v>
      </c>
      <c r="J1562" s="1906">
        <f t="shared" si="224"/>
        <v>6425</v>
      </c>
      <c r="K1562" s="1907"/>
      <c r="L1562" s="1907"/>
      <c r="M1562" s="1952" t="s">
        <v>1926</v>
      </c>
    </row>
    <row r="1563" spans="1:13" s="1874" customFormat="1">
      <c r="A1563" s="1903"/>
      <c r="B1563" s="2386" t="s">
        <v>111</v>
      </c>
      <c r="C1563" s="2386"/>
      <c r="D1563" s="1898"/>
      <c r="E1563" s="1899"/>
      <c r="F1563" s="1900"/>
      <c r="G1563" s="1900"/>
      <c r="H1563" s="1906"/>
      <c r="I1563" s="1906"/>
      <c r="J1563" s="1906"/>
      <c r="K1563" s="1907"/>
      <c r="L1563" s="1907"/>
      <c r="M1563" s="1902"/>
    </row>
    <row r="1564" spans="1:13" s="1853" customFormat="1">
      <c r="A1564" s="1903"/>
      <c r="B1564" s="1904" t="s">
        <v>908</v>
      </c>
      <c r="C1564" s="1905" t="s">
        <v>899</v>
      </c>
      <c r="D1564" s="1898">
        <v>1</v>
      </c>
      <c r="E1564" s="1899" t="s">
        <v>5</v>
      </c>
      <c r="F1564" s="1906">
        <v>28900</v>
      </c>
      <c r="G1564" s="1906">
        <f t="shared" ref="G1564:G1569" si="225">F1564*0.3</f>
        <v>8670</v>
      </c>
      <c r="H1564" s="1906">
        <f t="shared" ref="H1564:H1569" si="226">+F1564*D1564</f>
        <v>28900</v>
      </c>
      <c r="I1564" s="1906">
        <f t="shared" ref="I1564:I1569" si="227">+G1564*D1564</f>
        <v>8670</v>
      </c>
      <c r="J1564" s="1906">
        <f t="shared" ref="J1564:J1569" si="228">+H1564+I1564</f>
        <v>37570</v>
      </c>
      <c r="K1564" s="1907"/>
      <c r="L1564" s="1907" t="s">
        <v>1935</v>
      </c>
      <c r="M1564" s="1952" t="s">
        <v>622</v>
      </c>
    </row>
    <row r="1565" spans="1:13">
      <c r="A1565" s="1903"/>
      <c r="B1565" s="1904" t="s">
        <v>897</v>
      </c>
      <c r="C1565" s="1905" t="s">
        <v>901</v>
      </c>
      <c r="D1565" s="1909">
        <v>2</v>
      </c>
      <c r="E1565" s="1910" t="s">
        <v>5</v>
      </c>
      <c r="F1565" s="1906">
        <v>5715</v>
      </c>
      <c r="G1565" s="1906">
        <f t="shared" si="225"/>
        <v>1714.5</v>
      </c>
      <c r="H1565" s="1906">
        <f t="shared" si="226"/>
        <v>11430</v>
      </c>
      <c r="I1565" s="1906">
        <f t="shared" si="227"/>
        <v>3429</v>
      </c>
      <c r="J1565" s="1906">
        <f t="shared" si="228"/>
        <v>14859</v>
      </c>
      <c r="K1565" s="1907"/>
      <c r="L1565" s="1907"/>
      <c r="M1565" s="1952" t="s">
        <v>622</v>
      </c>
    </row>
    <row r="1566" spans="1:13">
      <c r="A1566" s="1903"/>
      <c r="B1566" s="1904" t="s">
        <v>911</v>
      </c>
      <c r="C1566" s="1905" t="s">
        <v>900</v>
      </c>
      <c r="D1566" s="1909">
        <v>6</v>
      </c>
      <c r="E1566" s="1910" t="s">
        <v>5</v>
      </c>
      <c r="F1566" s="1906">
        <v>10400</v>
      </c>
      <c r="G1566" s="1906">
        <f t="shared" si="225"/>
        <v>3120</v>
      </c>
      <c r="H1566" s="1906">
        <f t="shared" si="226"/>
        <v>62400</v>
      </c>
      <c r="I1566" s="1906">
        <f t="shared" si="227"/>
        <v>18720</v>
      </c>
      <c r="J1566" s="1906">
        <f t="shared" si="228"/>
        <v>81120</v>
      </c>
      <c r="K1566" s="1907"/>
      <c r="L1566" s="1907" t="s">
        <v>1935</v>
      </c>
      <c r="M1566" s="1952" t="s">
        <v>622</v>
      </c>
    </row>
    <row r="1567" spans="1:13">
      <c r="A1567" s="1903"/>
      <c r="B1567" s="1904" t="s">
        <v>929</v>
      </c>
      <c r="C1567" s="1905" t="s">
        <v>923</v>
      </c>
      <c r="D1567" s="1909">
        <v>1</v>
      </c>
      <c r="E1567" s="1910" t="s">
        <v>5</v>
      </c>
      <c r="F1567" s="1906">
        <v>27400</v>
      </c>
      <c r="G1567" s="1906">
        <f t="shared" si="225"/>
        <v>8220</v>
      </c>
      <c r="H1567" s="1906">
        <f t="shared" si="226"/>
        <v>27400</v>
      </c>
      <c r="I1567" s="1906">
        <f t="shared" si="227"/>
        <v>8220</v>
      </c>
      <c r="J1567" s="1906">
        <f t="shared" si="228"/>
        <v>35620</v>
      </c>
      <c r="K1567" s="1907"/>
      <c r="L1567" s="1907" t="s">
        <v>1935</v>
      </c>
      <c r="M1567" s="1952" t="s">
        <v>622</v>
      </c>
    </row>
    <row r="1568" spans="1:13">
      <c r="A1568" s="1897"/>
      <c r="B1568" s="2008" t="s">
        <v>932</v>
      </c>
      <c r="C1568" s="2019" t="s">
        <v>898</v>
      </c>
      <c r="D1568" s="1898">
        <v>1</v>
      </c>
      <c r="E1568" s="1899" t="s">
        <v>5</v>
      </c>
      <c r="F1568" s="1900">
        <v>152280</v>
      </c>
      <c r="G1568" s="1900">
        <f t="shared" si="225"/>
        <v>45684</v>
      </c>
      <c r="H1568" s="1900">
        <f t="shared" si="226"/>
        <v>152280</v>
      </c>
      <c r="I1568" s="1900">
        <f t="shared" si="227"/>
        <v>45684</v>
      </c>
      <c r="J1568" s="1900">
        <f t="shared" si="228"/>
        <v>197964</v>
      </c>
      <c r="K1568" s="1907"/>
      <c r="L1568" s="1901" t="s">
        <v>1935</v>
      </c>
      <c r="M1568" s="1952" t="s">
        <v>622</v>
      </c>
    </row>
    <row r="1569" spans="1:13">
      <c r="A1569" s="1903"/>
      <c r="B1569" s="1904" t="s">
        <v>933</v>
      </c>
      <c r="C1569" s="1905" t="s">
        <v>898</v>
      </c>
      <c r="D1569" s="1909">
        <v>1</v>
      </c>
      <c r="E1569" s="1910" t="s">
        <v>5</v>
      </c>
      <c r="F1569" s="1906">
        <v>33000</v>
      </c>
      <c r="G1569" s="1906">
        <f t="shared" si="225"/>
        <v>9900</v>
      </c>
      <c r="H1569" s="1906">
        <f t="shared" si="226"/>
        <v>33000</v>
      </c>
      <c r="I1569" s="1906">
        <f t="shared" si="227"/>
        <v>9900</v>
      </c>
      <c r="J1569" s="1906">
        <f t="shared" si="228"/>
        <v>42900</v>
      </c>
      <c r="K1569" s="1907"/>
      <c r="L1569" s="1907" t="s">
        <v>1935</v>
      </c>
      <c r="M1569" s="1952" t="s">
        <v>622</v>
      </c>
    </row>
    <row r="1570" spans="1:13">
      <c r="A1570" s="1903"/>
      <c r="B1570" s="2386" t="s">
        <v>203</v>
      </c>
      <c r="C1570" s="2386"/>
      <c r="D1570" s="1909"/>
      <c r="E1570" s="1910"/>
      <c r="F1570" s="1906"/>
      <c r="G1570" s="1906"/>
      <c r="H1570" s="1906"/>
      <c r="I1570" s="1906"/>
      <c r="J1570" s="1906"/>
      <c r="K1570" s="1907"/>
    </row>
    <row r="1571" spans="1:13" s="1976" customFormat="1">
      <c r="A1571" s="1972"/>
      <c r="B1571" s="1973"/>
      <c r="C1571" s="1974" t="s">
        <v>865</v>
      </c>
      <c r="D1571" s="1930">
        <v>7</v>
      </c>
      <c r="E1571" s="1909" t="s">
        <v>5</v>
      </c>
      <c r="F1571" s="1968">
        <v>4850</v>
      </c>
      <c r="G1571" s="1975">
        <v>450</v>
      </c>
      <c r="H1571" s="1975">
        <f t="shared" ref="H1571:H1597" si="229">F1571*D1571</f>
        <v>33950</v>
      </c>
      <c r="I1571" s="1975">
        <f t="shared" ref="I1571:I1597" si="230">G1571*D1571</f>
        <v>3150</v>
      </c>
      <c r="J1571" s="1975">
        <f t="shared" ref="J1571:J1597" si="231">SUM(H1571:I1571)</f>
        <v>37100</v>
      </c>
      <c r="K1571" s="1907"/>
      <c r="L1571" s="1872"/>
      <c r="M1571" s="1885" t="s">
        <v>1879</v>
      </c>
    </row>
    <row r="1572" spans="1:13" s="1976" customFormat="1">
      <c r="A1572" s="1972"/>
      <c r="B1572" s="1973"/>
      <c r="C1572" s="1974" t="s">
        <v>866</v>
      </c>
      <c r="D1572" s="1930">
        <f>D1571</f>
        <v>7</v>
      </c>
      <c r="E1572" s="1909" t="s">
        <v>5</v>
      </c>
      <c r="F1572" s="1968">
        <v>120</v>
      </c>
      <c r="G1572" s="1975">
        <v>0</v>
      </c>
      <c r="H1572" s="1975">
        <f t="shared" si="229"/>
        <v>840</v>
      </c>
      <c r="I1572" s="1975">
        <f t="shared" si="230"/>
        <v>0</v>
      </c>
      <c r="J1572" s="1975">
        <f t="shared" si="231"/>
        <v>840</v>
      </c>
      <c r="K1572" s="1907"/>
      <c r="L1572" s="1872"/>
      <c r="M1572" s="1885" t="s">
        <v>1879</v>
      </c>
    </row>
    <row r="1573" spans="1:13" s="1976" customFormat="1">
      <c r="A1573" s="1972"/>
      <c r="B1573" s="1973"/>
      <c r="C1573" s="1974" t="s">
        <v>867</v>
      </c>
      <c r="D1573" s="1930">
        <f>D1571</f>
        <v>7</v>
      </c>
      <c r="E1573" s="1909" t="s">
        <v>5</v>
      </c>
      <c r="F1573" s="1968">
        <v>80</v>
      </c>
      <c r="G1573" s="1975">
        <v>35</v>
      </c>
      <c r="H1573" s="1975">
        <f t="shared" si="229"/>
        <v>560</v>
      </c>
      <c r="I1573" s="1975">
        <f t="shared" si="230"/>
        <v>245</v>
      </c>
      <c r="J1573" s="1975">
        <f t="shared" si="231"/>
        <v>805</v>
      </c>
      <c r="K1573" s="1907"/>
      <c r="L1573" s="1872"/>
      <c r="M1573" s="1885" t="s">
        <v>1879</v>
      </c>
    </row>
    <row r="1574" spans="1:13" s="1872" customFormat="1">
      <c r="A1574" s="1965"/>
      <c r="B1574" s="1966"/>
      <c r="C1574" s="1967" t="s">
        <v>879</v>
      </c>
      <c r="D1574" s="1909">
        <v>1</v>
      </c>
      <c r="E1574" s="1968" t="s">
        <v>5</v>
      </c>
      <c r="F1574" s="1969">
        <v>7690</v>
      </c>
      <c r="G1574" s="1970">
        <v>450</v>
      </c>
      <c r="H1574" s="1969">
        <f t="shared" si="229"/>
        <v>7690</v>
      </c>
      <c r="I1574" s="1969">
        <f t="shared" si="230"/>
        <v>450</v>
      </c>
      <c r="J1574" s="1969">
        <f t="shared" si="231"/>
        <v>8140</v>
      </c>
      <c r="K1574" s="1907"/>
      <c r="L1574" s="1971" t="s">
        <v>1899</v>
      </c>
      <c r="M1574" s="1952" t="s">
        <v>1907</v>
      </c>
    </row>
    <row r="1575" spans="1:13" s="1976" customFormat="1">
      <c r="A1575" s="1972"/>
      <c r="B1575" s="1973"/>
      <c r="C1575" s="1974" t="s">
        <v>866</v>
      </c>
      <c r="D1575" s="1930">
        <f>D1574</f>
        <v>1</v>
      </c>
      <c r="E1575" s="1909" t="s">
        <v>5</v>
      </c>
      <c r="F1575" s="1968">
        <v>120</v>
      </c>
      <c r="G1575" s="1975">
        <v>0</v>
      </c>
      <c r="H1575" s="1975">
        <f t="shared" si="229"/>
        <v>120</v>
      </c>
      <c r="I1575" s="1975">
        <f t="shared" si="230"/>
        <v>0</v>
      </c>
      <c r="J1575" s="1975">
        <f t="shared" si="231"/>
        <v>120</v>
      </c>
      <c r="K1575" s="1907"/>
      <c r="L1575" s="1872"/>
      <c r="M1575" s="1885" t="s">
        <v>1879</v>
      </c>
    </row>
    <row r="1576" spans="1:13" s="1976" customFormat="1">
      <c r="A1576" s="1972"/>
      <c r="B1576" s="1973"/>
      <c r="C1576" s="1974" t="s">
        <v>867</v>
      </c>
      <c r="D1576" s="1930">
        <f>D1574</f>
        <v>1</v>
      </c>
      <c r="E1576" s="1909" t="s">
        <v>5</v>
      </c>
      <c r="F1576" s="1968">
        <v>80</v>
      </c>
      <c r="G1576" s="1975">
        <v>35</v>
      </c>
      <c r="H1576" s="1975">
        <f t="shared" si="229"/>
        <v>80</v>
      </c>
      <c r="I1576" s="1975">
        <f t="shared" si="230"/>
        <v>35</v>
      </c>
      <c r="J1576" s="1975">
        <f t="shared" si="231"/>
        <v>115</v>
      </c>
      <c r="K1576" s="1907"/>
      <c r="L1576" s="1872"/>
      <c r="M1576" s="1885" t="s">
        <v>1879</v>
      </c>
    </row>
    <row r="1577" spans="1:13" s="1976" customFormat="1">
      <c r="A1577" s="1972"/>
      <c r="B1577" s="1973"/>
      <c r="C1577" s="1974" t="s">
        <v>868</v>
      </c>
      <c r="D1577" s="1930">
        <v>4</v>
      </c>
      <c r="E1577" s="1909" t="s">
        <v>5</v>
      </c>
      <c r="F1577" s="1968">
        <v>5500</v>
      </c>
      <c r="G1577" s="1975">
        <v>450</v>
      </c>
      <c r="H1577" s="1975">
        <f t="shared" si="229"/>
        <v>22000</v>
      </c>
      <c r="I1577" s="1975">
        <f t="shared" si="230"/>
        <v>1800</v>
      </c>
      <c r="J1577" s="1975">
        <f t="shared" si="231"/>
        <v>23800</v>
      </c>
      <c r="K1577" s="1977"/>
      <c r="L1577" s="1872"/>
      <c r="M1577" s="1885" t="s">
        <v>1879</v>
      </c>
    </row>
    <row r="1578" spans="1:13" s="1976" customFormat="1">
      <c r="A1578" s="1972"/>
      <c r="B1578" s="1973"/>
      <c r="C1578" s="1974" t="s">
        <v>869</v>
      </c>
      <c r="D1578" s="1930">
        <v>5</v>
      </c>
      <c r="E1578" s="1909" t="s">
        <v>5</v>
      </c>
      <c r="F1578" s="1968">
        <v>3500</v>
      </c>
      <c r="G1578" s="1975">
        <v>450</v>
      </c>
      <c r="H1578" s="1975">
        <f t="shared" si="229"/>
        <v>17500</v>
      </c>
      <c r="I1578" s="1975">
        <f t="shared" si="230"/>
        <v>2250</v>
      </c>
      <c r="J1578" s="1975">
        <f t="shared" si="231"/>
        <v>19750</v>
      </c>
      <c r="K1578" s="1977"/>
      <c r="L1578" s="1872"/>
      <c r="M1578" s="1885" t="s">
        <v>1879</v>
      </c>
    </row>
    <row r="1579" spans="1:13" s="1872" customFormat="1">
      <c r="A1579" s="1972"/>
      <c r="B1579" s="1973"/>
      <c r="C1579" s="1974" t="s">
        <v>870</v>
      </c>
      <c r="D1579" s="1930">
        <f>D1578</f>
        <v>5</v>
      </c>
      <c r="E1579" s="1909" t="s">
        <v>5</v>
      </c>
      <c r="F1579" s="1968">
        <v>900</v>
      </c>
      <c r="G1579" s="1975">
        <v>150</v>
      </c>
      <c r="H1579" s="1975">
        <f t="shared" si="229"/>
        <v>4500</v>
      </c>
      <c r="I1579" s="1975">
        <f t="shared" si="230"/>
        <v>750</v>
      </c>
      <c r="J1579" s="1975">
        <f t="shared" si="231"/>
        <v>5250</v>
      </c>
      <c r="K1579" s="1977"/>
      <c r="M1579" s="1885" t="s">
        <v>1879</v>
      </c>
    </row>
    <row r="1580" spans="1:13" s="1872" customFormat="1">
      <c r="A1580" s="1972"/>
      <c r="B1580" s="1973"/>
      <c r="C1580" s="1974" t="s">
        <v>871</v>
      </c>
      <c r="D1580" s="1930">
        <f>D1578</f>
        <v>5</v>
      </c>
      <c r="E1580" s="1909" t="s">
        <v>5</v>
      </c>
      <c r="F1580" s="1963">
        <v>210</v>
      </c>
      <c r="G1580" s="1975">
        <v>0</v>
      </c>
      <c r="H1580" s="1975">
        <f t="shared" si="229"/>
        <v>1050</v>
      </c>
      <c r="I1580" s="1975">
        <f t="shared" si="230"/>
        <v>0</v>
      </c>
      <c r="J1580" s="1975">
        <f t="shared" si="231"/>
        <v>1050</v>
      </c>
      <c r="K1580" s="1977"/>
      <c r="M1580" s="1885" t="s">
        <v>1879</v>
      </c>
    </row>
    <row r="1581" spans="1:13" s="1872" customFormat="1">
      <c r="A1581" s="1972"/>
      <c r="B1581" s="1973"/>
      <c r="C1581" s="1974" t="s">
        <v>872</v>
      </c>
      <c r="D1581" s="1930">
        <f>D1578</f>
        <v>5</v>
      </c>
      <c r="E1581" s="1909" t="s">
        <v>5</v>
      </c>
      <c r="F1581" s="1968">
        <v>310</v>
      </c>
      <c r="G1581" s="1975">
        <v>0</v>
      </c>
      <c r="H1581" s="1975">
        <f t="shared" si="229"/>
        <v>1550</v>
      </c>
      <c r="I1581" s="1975">
        <f t="shared" si="230"/>
        <v>0</v>
      </c>
      <c r="J1581" s="1975">
        <f t="shared" si="231"/>
        <v>1550</v>
      </c>
      <c r="K1581" s="1977"/>
      <c r="M1581" s="1885" t="s">
        <v>1879</v>
      </c>
    </row>
    <row r="1582" spans="1:13" s="1872" customFormat="1">
      <c r="A1582" s="1863"/>
      <c r="B1582" s="1864"/>
      <c r="C1582" s="1865"/>
      <c r="D1582" s="1866"/>
      <c r="E1582" s="1867"/>
      <c r="F1582" s="1868"/>
      <c r="G1582" s="1868"/>
      <c r="H1582" s="1868"/>
      <c r="I1582" s="1868"/>
      <c r="J1582" s="1868"/>
      <c r="K1582" s="1869"/>
      <c r="M1582" s="1885"/>
    </row>
    <row r="1583" spans="1:13" s="1872" customFormat="1">
      <c r="A1583" s="1840"/>
      <c r="B1583" s="1860"/>
      <c r="C1583" s="2133" t="s">
        <v>133</v>
      </c>
      <c r="D1583" s="2134"/>
      <c r="E1583" s="2135"/>
      <c r="F1583" s="2136"/>
      <c r="G1583" s="2137"/>
      <c r="H1583" s="2137"/>
      <c r="I1583" s="2137"/>
      <c r="J1583" s="2137"/>
      <c r="K1583" s="2137"/>
      <c r="M1583" s="1885"/>
    </row>
    <row r="1584" spans="1:13" s="1872" customFormat="1">
      <c r="A1584" s="1840"/>
      <c r="B1584" s="2138"/>
      <c r="C1584" s="2139" t="s">
        <v>1769</v>
      </c>
      <c r="D1584" s="2140"/>
      <c r="E1584" s="1861"/>
      <c r="F1584" s="2135"/>
      <c r="G1584" s="2139" t="s">
        <v>134</v>
      </c>
      <c r="H1584" s="2138"/>
      <c r="I1584" s="2138"/>
      <c r="J1584" s="2138"/>
      <c r="K1584" s="2138"/>
      <c r="M1584" s="1885"/>
    </row>
    <row r="1585" spans="1:13" s="1872" customFormat="1">
      <c r="A1585" s="1840"/>
      <c r="B1585" s="1871"/>
      <c r="C1585" s="2141" t="s">
        <v>1970</v>
      </c>
      <c r="D1585" s="2140"/>
      <c r="E1585" s="2142"/>
      <c r="F1585" s="2143"/>
      <c r="G1585" s="2144" t="s">
        <v>1971</v>
      </c>
      <c r="H1585" s="2145"/>
      <c r="I1585" s="2145"/>
      <c r="J1585" s="2145"/>
      <c r="K1585" s="2145"/>
      <c r="M1585" s="1885"/>
    </row>
    <row r="1586" spans="1:13" s="1872" customFormat="1">
      <c r="A1586" s="1837"/>
      <c r="B1586" s="2138"/>
      <c r="C1586" s="2139" t="s">
        <v>2031</v>
      </c>
      <c r="D1586" s="2140"/>
      <c r="E1586" s="1837"/>
      <c r="F1586" s="2146"/>
      <c r="G1586" s="2139" t="s">
        <v>2031</v>
      </c>
      <c r="H1586" s="1837"/>
      <c r="I1586" s="1837"/>
      <c r="J1586" s="1837"/>
      <c r="K1586" s="1837"/>
      <c r="M1586" s="1885"/>
    </row>
    <row r="1587" spans="1:13" s="1872" customFormat="1">
      <c r="A1587" s="1952"/>
      <c r="B1587" s="1871"/>
      <c r="C1587" s="2147" t="s">
        <v>1984</v>
      </c>
      <c r="D1587" s="2140"/>
      <c r="E1587" s="1837"/>
      <c r="F1587" s="2135"/>
      <c r="G1587" s="2147" t="s">
        <v>1985</v>
      </c>
      <c r="H1587" s="1952"/>
      <c r="I1587" s="1952"/>
      <c r="J1587" s="1952"/>
      <c r="K1587" s="1952"/>
      <c r="M1587" s="1885"/>
    </row>
    <row r="1588" spans="1:13" s="1872" customFormat="1">
      <c r="A1588" s="1952"/>
      <c r="B1588" s="1952"/>
      <c r="C1588" s="2139" t="s">
        <v>670</v>
      </c>
      <c r="D1588" s="2139"/>
      <c r="E1588" s="2143"/>
      <c r="F1588" s="2143"/>
      <c r="G1588" s="1952"/>
      <c r="H1588" s="1952"/>
      <c r="I1588" s="1952"/>
      <c r="J1588" s="1952"/>
      <c r="K1588" s="1952"/>
      <c r="M1588" s="1885"/>
    </row>
    <row r="1589" spans="1:13" s="1872" customFormat="1">
      <c r="A1589" s="1840"/>
      <c r="B1589" s="1840"/>
      <c r="C1589" s="2147" t="s">
        <v>1972</v>
      </c>
      <c r="D1589" s="2147"/>
      <c r="E1589" s="2146"/>
      <c r="F1589" s="2146"/>
      <c r="G1589" s="1870"/>
      <c r="H1589" s="1870"/>
      <c r="I1589" s="1870"/>
      <c r="J1589" s="1870"/>
      <c r="K1589" s="1871"/>
      <c r="M1589" s="1885"/>
    </row>
    <row r="1590" spans="1:13" s="1872" customFormat="1">
      <c r="A1590" s="1972"/>
      <c r="B1590" s="1973"/>
      <c r="C1590" s="1974" t="s">
        <v>873</v>
      </c>
      <c r="D1590" s="1930">
        <f>D1578</f>
        <v>5</v>
      </c>
      <c r="E1590" s="1909" t="s">
        <v>5</v>
      </c>
      <c r="F1590" s="1963">
        <v>120</v>
      </c>
      <c r="G1590" s="1975">
        <v>0</v>
      </c>
      <c r="H1590" s="1975">
        <f t="shared" si="229"/>
        <v>600</v>
      </c>
      <c r="I1590" s="1975">
        <f t="shared" si="230"/>
        <v>0</v>
      </c>
      <c r="J1590" s="1975">
        <f t="shared" si="231"/>
        <v>600</v>
      </c>
      <c r="K1590" s="1977"/>
      <c r="M1590" s="1885" t="s">
        <v>1879</v>
      </c>
    </row>
    <row r="1591" spans="1:13" s="1872" customFormat="1">
      <c r="A1591" s="1972"/>
      <c r="B1591" s="1973"/>
      <c r="C1591" s="1974" t="s">
        <v>867</v>
      </c>
      <c r="D1591" s="1930">
        <f>D1578</f>
        <v>5</v>
      </c>
      <c r="E1591" s="1909" t="s">
        <v>5</v>
      </c>
      <c r="F1591" s="1963">
        <v>80</v>
      </c>
      <c r="G1591" s="1975">
        <v>35</v>
      </c>
      <c r="H1591" s="1975">
        <f t="shared" si="229"/>
        <v>400</v>
      </c>
      <c r="I1591" s="1975">
        <f t="shared" si="230"/>
        <v>175</v>
      </c>
      <c r="J1591" s="1975">
        <f t="shared" si="231"/>
        <v>575</v>
      </c>
      <c r="K1591" s="1977"/>
      <c r="M1591" s="1885" t="s">
        <v>1879</v>
      </c>
    </row>
    <row r="1592" spans="1:13" s="1872" customFormat="1">
      <c r="A1592" s="1972"/>
      <c r="B1592" s="1973"/>
      <c r="C1592" s="1974" t="s">
        <v>886</v>
      </c>
      <c r="D1592" s="1930">
        <v>1</v>
      </c>
      <c r="E1592" s="1909" t="s">
        <v>5</v>
      </c>
      <c r="F1592" s="1963">
        <v>3500</v>
      </c>
      <c r="G1592" s="1975">
        <v>450</v>
      </c>
      <c r="H1592" s="1975">
        <f t="shared" si="229"/>
        <v>3500</v>
      </c>
      <c r="I1592" s="1975">
        <f t="shared" si="230"/>
        <v>450</v>
      </c>
      <c r="J1592" s="1975">
        <f t="shared" si="231"/>
        <v>3950</v>
      </c>
      <c r="K1592" s="1977"/>
      <c r="M1592" s="1885" t="s">
        <v>1879</v>
      </c>
    </row>
    <row r="1593" spans="1:13" s="1872" customFormat="1">
      <c r="A1593" s="1972"/>
      <c r="B1593" s="1973"/>
      <c r="C1593" s="1974" t="s">
        <v>880</v>
      </c>
      <c r="D1593" s="1930">
        <f>D1592</f>
        <v>1</v>
      </c>
      <c r="E1593" s="1909" t="s">
        <v>5</v>
      </c>
      <c r="F1593" s="1963">
        <v>900</v>
      </c>
      <c r="G1593" s="1975">
        <v>150</v>
      </c>
      <c r="H1593" s="1975">
        <f t="shared" si="229"/>
        <v>900</v>
      </c>
      <c r="I1593" s="1975">
        <f t="shared" si="230"/>
        <v>150</v>
      </c>
      <c r="J1593" s="1975">
        <f t="shared" si="231"/>
        <v>1050</v>
      </c>
      <c r="K1593" s="1977"/>
      <c r="M1593" s="1885" t="s">
        <v>1879</v>
      </c>
    </row>
    <row r="1594" spans="1:13" s="1872" customFormat="1">
      <c r="A1594" s="1972"/>
      <c r="B1594" s="1973"/>
      <c r="C1594" s="1974" t="s">
        <v>881</v>
      </c>
      <c r="D1594" s="1930">
        <f>D1592</f>
        <v>1</v>
      </c>
      <c r="E1594" s="1909" t="s">
        <v>5</v>
      </c>
      <c r="F1594" s="1963">
        <v>210</v>
      </c>
      <c r="G1594" s="1975">
        <v>0</v>
      </c>
      <c r="H1594" s="1975">
        <f t="shared" si="229"/>
        <v>210</v>
      </c>
      <c r="I1594" s="1975">
        <f t="shared" si="230"/>
        <v>0</v>
      </c>
      <c r="J1594" s="1975">
        <f t="shared" si="231"/>
        <v>210</v>
      </c>
      <c r="K1594" s="1977"/>
      <c r="M1594" s="1885" t="s">
        <v>1879</v>
      </c>
    </row>
    <row r="1595" spans="1:13" s="1872" customFormat="1">
      <c r="A1595" s="1972"/>
      <c r="B1595" s="1973"/>
      <c r="C1595" s="1974" t="s">
        <v>882</v>
      </c>
      <c r="D1595" s="1930">
        <f>D1592</f>
        <v>1</v>
      </c>
      <c r="E1595" s="1909" t="s">
        <v>5</v>
      </c>
      <c r="F1595" s="1963">
        <v>310</v>
      </c>
      <c r="G1595" s="1975">
        <v>0</v>
      </c>
      <c r="H1595" s="1975">
        <f t="shared" si="229"/>
        <v>310</v>
      </c>
      <c r="I1595" s="1975">
        <f t="shared" si="230"/>
        <v>0</v>
      </c>
      <c r="J1595" s="1975">
        <f t="shared" si="231"/>
        <v>310</v>
      </c>
      <c r="K1595" s="1977"/>
      <c r="M1595" s="1885" t="s">
        <v>1879</v>
      </c>
    </row>
    <row r="1596" spans="1:13" s="1872" customFormat="1">
      <c r="A1596" s="1972"/>
      <c r="B1596" s="1973"/>
      <c r="C1596" s="1974" t="s">
        <v>873</v>
      </c>
      <c r="D1596" s="1930">
        <f>D1592</f>
        <v>1</v>
      </c>
      <c r="E1596" s="1909" t="s">
        <v>5</v>
      </c>
      <c r="F1596" s="1963">
        <v>120</v>
      </c>
      <c r="G1596" s="1975">
        <v>0</v>
      </c>
      <c r="H1596" s="1975">
        <f t="shared" si="229"/>
        <v>120</v>
      </c>
      <c r="I1596" s="1975">
        <f t="shared" si="230"/>
        <v>0</v>
      </c>
      <c r="J1596" s="1975">
        <f t="shared" si="231"/>
        <v>120</v>
      </c>
      <c r="K1596" s="1977"/>
      <c r="M1596" s="1885" t="s">
        <v>1879</v>
      </c>
    </row>
    <row r="1597" spans="1:13" s="1872" customFormat="1">
      <c r="A1597" s="1972"/>
      <c r="B1597" s="1973"/>
      <c r="C1597" s="1974" t="s">
        <v>867</v>
      </c>
      <c r="D1597" s="1930">
        <f>D1592</f>
        <v>1</v>
      </c>
      <c r="E1597" s="1909" t="s">
        <v>5</v>
      </c>
      <c r="F1597" s="1963">
        <v>80</v>
      </c>
      <c r="G1597" s="1975">
        <v>35</v>
      </c>
      <c r="H1597" s="1975">
        <f t="shared" si="229"/>
        <v>80</v>
      </c>
      <c r="I1597" s="1975">
        <f t="shared" si="230"/>
        <v>35</v>
      </c>
      <c r="J1597" s="1975">
        <f t="shared" si="231"/>
        <v>115</v>
      </c>
      <c r="K1597" s="1977"/>
      <c r="M1597" s="1885" t="s">
        <v>1879</v>
      </c>
    </row>
    <row r="1598" spans="1:13" s="1872" customFormat="1">
      <c r="A1598" s="1972"/>
      <c r="B1598" s="1973"/>
      <c r="C1598" s="1974" t="s">
        <v>883</v>
      </c>
      <c r="D1598" s="1930">
        <v>1</v>
      </c>
      <c r="E1598" s="1909" t="s">
        <v>5</v>
      </c>
      <c r="F1598" s="1963">
        <v>3400</v>
      </c>
      <c r="G1598" s="1975">
        <v>105</v>
      </c>
      <c r="H1598" s="1975">
        <f>+F1598*D1598</f>
        <v>3400</v>
      </c>
      <c r="I1598" s="1975">
        <f>+G1598*D1598</f>
        <v>105</v>
      </c>
      <c r="J1598" s="1975">
        <f>+H1598+I1598</f>
        <v>3505</v>
      </c>
      <c r="K1598" s="1977"/>
      <c r="M1598" s="1885" t="s">
        <v>1879</v>
      </c>
    </row>
    <row r="1599" spans="1:13" s="1872" customFormat="1" ht="25.15" customHeight="1">
      <c r="A1599" s="1972"/>
      <c r="B1599" s="1973"/>
      <c r="C1599" s="1974" t="s">
        <v>884</v>
      </c>
      <c r="D1599" s="1930">
        <v>1</v>
      </c>
      <c r="E1599" s="1909" t="s">
        <v>5</v>
      </c>
      <c r="F1599" s="1963">
        <v>3400</v>
      </c>
      <c r="G1599" s="1975">
        <v>105</v>
      </c>
      <c r="H1599" s="1975">
        <f>+F1599*D1599</f>
        <v>3400</v>
      </c>
      <c r="I1599" s="1975">
        <f>+G1599*D1599</f>
        <v>105</v>
      </c>
      <c r="J1599" s="1975">
        <f>+H1599+I1599</f>
        <v>3505</v>
      </c>
      <c r="K1599" s="1977"/>
      <c r="M1599" s="1885" t="s">
        <v>622</v>
      </c>
    </row>
    <row r="1600" spans="1:13" s="1872" customFormat="1">
      <c r="A1600" s="1972"/>
      <c r="B1600" s="1973"/>
      <c r="C1600" s="1974" t="s">
        <v>885</v>
      </c>
      <c r="D1600" s="1930">
        <v>1</v>
      </c>
      <c r="E1600" s="1909" t="s">
        <v>5</v>
      </c>
      <c r="F1600" s="1963">
        <v>220</v>
      </c>
      <c r="G1600" s="1975">
        <v>70</v>
      </c>
      <c r="H1600" s="1975">
        <f>+F1600*D1600</f>
        <v>220</v>
      </c>
      <c r="I1600" s="1975">
        <f>+G1600*D1600</f>
        <v>70</v>
      </c>
      <c r="J1600" s="1975">
        <f>+H1600+I1600</f>
        <v>290</v>
      </c>
      <c r="K1600" s="1977"/>
      <c r="M1600" s="1885" t="s">
        <v>1879</v>
      </c>
    </row>
    <row r="1601" spans="1:14" s="1872" customFormat="1">
      <c r="A1601" s="1972"/>
      <c r="B1601" s="1973"/>
      <c r="C1601" s="1974" t="s">
        <v>874</v>
      </c>
      <c r="D1601" s="1930">
        <v>1</v>
      </c>
      <c r="E1601" s="1909" t="s">
        <v>5</v>
      </c>
      <c r="F1601" s="1963">
        <v>1142</v>
      </c>
      <c r="G1601" s="1975">
        <v>70</v>
      </c>
      <c r="H1601" s="1975">
        <f t="shared" ref="H1601:H1617" si="232">F1601*D1601</f>
        <v>1142</v>
      </c>
      <c r="I1601" s="1975">
        <f t="shared" ref="I1601:I1617" si="233">G1601*D1601</f>
        <v>70</v>
      </c>
      <c r="J1601" s="1975">
        <f t="shared" ref="J1601:J1617" si="234">SUM(H1601:I1601)</f>
        <v>1212</v>
      </c>
      <c r="K1601" s="1977"/>
      <c r="L1601" s="1979" t="s">
        <v>1899</v>
      </c>
      <c r="M1601" s="1885" t="s">
        <v>1907</v>
      </c>
    </row>
    <row r="1602" spans="1:14">
      <c r="A1602" s="1972"/>
      <c r="B1602" s="1973"/>
      <c r="C1602" s="1974" t="s">
        <v>1903</v>
      </c>
      <c r="D1602" s="1930">
        <v>1</v>
      </c>
      <c r="E1602" s="1909" t="s">
        <v>5</v>
      </c>
      <c r="F1602" s="1968">
        <v>1300</v>
      </c>
      <c r="G1602" s="1975">
        <v>400</v>
      </c>
      <c r="H1602" s="1975">
        <f t="shared" si="232"/>
        <v>1300</v>
      </c>
      <c r="I1602" s="1975">
        <f t="shared" si="233"/>
        <v>400</v>
      </c>
      <c r="J1602" s="1975">
        <f t="shared" si="234"/>
        <v>1700</v>
      </c>
      <c r="K1602" s="1977"/>
      <c r="L1602" s="1979" t="s">
        <v>1906</v>
      </c>
      <c r="M1602" s="1952" t="s">
        <v>1908</v>
      </c>
    </row>
    <row r="1603" spans="1:14">
      <c r="A1603" s="1972"/>
      <c r="B1603" s="1973"/>
      <c r="C1603" s="1974" t="s">
        <v>1904</v>
      </c>
      <c r="D1603" s="1930">
        <v>1</v>
      </c>
      <c r="E1603" s="1909" t="s">
        <v>5</v>
      </c>
      <c r="F1603" s="1968">
        <v>2800</v>
      </c>
      <c r="G1603" s="1975">
        <v>400</v>
      </c>
      <c r="H1603" s="1975">
        <f>F1603*D1603</f>
        <v>2800</v>
      </c>
      <c r="I1603" s="1975">
        <f>G1603*D1603</f>
        <v>400</v>
      </c>
      <c r="J1603" s="1975">
        <f>SUM(H1603:I1603)</f>
        <v>3200</v>
      </c>
      <c r="K1603" s="1977"/>
      <c r="L1603" s="1979" t="s">
        <v>1906</v>
      </c>
      <c r="M1603" s="1952" t="s">
        <v>1908</v>
      </c>
    </row>
    <row r="1604" spans="1:14" s="1872" customFormat="1">
      <c r="A1604" s="1972"/>
      <c r="B1604" s="1973"/>
      <c r="C1604" s="1974" t="s">
        <v>377</v>
      </c>
      <c r="D1604" s="1930">
        <v>8</v>
      </c>
      <c r="E1604" s="1909" t="s">
        <v>5</v>
      </c>
      <c r="F1604" s="1968">
        <v>300</v>
      </c>
      <c r="G1604" s="1975">
        <v>70</v>
      </c>
      <c r="H1604" s="1975">
        <f t="shared" si="232"/>
        <v>2400</v>
      </c>
      <c r="I1604" s="1975">
        <f t="shared" si="233"/>
        <v>560</v>
      </c>
      <c r="J1604" s="1975">
        <f t="shared" si="234"/>
        <v>2960</v>
      </c>
      <c r="K1604" s="1977"/>
      <c r="M1604" s="1885" t="s">
        <v>1879</v>
      </c>
    </row>
    <row r="1605" spans="1:14" s="1872" customFormat="1">
      <c r="A1605" s="1863"/>
      <c r="B1605" s="1864"/>
      <c r="C1605" s="1865"/>
      <c r="D1605" s="1866"/>
      <c r="E1605" s="1867"/>
      <c r="F1605" s="1868"/>
      <c r="G1605" s="1868"/>
      <c r="H1605" s="1868"/>
      <c r="I1605" s="1868"/>
      <c r="J1605" s="1868"/>
      <c r="K1605" s="1869"/>
      <c r="M1605" s="1885"/>
    </row>
    <row r="1606" spans="1:14" s="1872" customFormat="1">
      <c r="A1606" s="1840"/>
      <c r="B1606" s="1860"/>
      <c r="C1606" s="2133" t="s">
        <v>133</v>
      </c>
      <c r="D1606" s="2134"/>
      <c r="E1606" s="2135"/>
      <c r="F1606" s="2136"/>
      <c r="G1606" s="2137"/>
      <c r="H1606" s="2137"/>
      <c r="I1606" s="2137"/>
      <c r="J1606" s="2137"/>
      <c r="K1606" s="2137"/>
      <c r="M1606" s="1885"/>
    </row>
    <row r="1607" spans="1:14" s="1872" customFormat="1">
      <c r="A1607" s="1840"/>
      <c r="B1607" s="2138"/>
      <c r="C1607" s="2139" t="s">
        <v>1769</v>
      </c>
      <c r="D1607" s="2140"/>
      <c r="E1607" s="1861"/>
      <c r="F1607" s="2135"/>
      <c r="G1607" s="2139" t="s">
        <v>134</v>
      </c>
      <c r="H1607" s="2138"/>
      <c r="I1607" s="2138"/>
      <c r="J1607" s="2138"/>
      <c r="K1607" s="2138"/>
      <c r="M1607" s="1885"/>
    </row>
    <row r="1608" spans="1:14" s="1872" customFormat="1">
      <c r="A1608" s="1840"/>
      <c r="B1608" s="1871"/>
      <c r="C1608" s="2141" t="s">
        <v>1970</v>
      </c>
      <c r="D1608" s="2140"/>
      <c r="E1608" s="2142"/>
      <c r="F1608" s="2143"/>
      <c r="G1608" s="2144" t="s">
        <v>1971</v>
      </c>
      <c r="H1608" s="2145"/>
      <c r="I1608" s="2145"/>
      <c r="J1608" s="2145"/>
      <c r="K1608" s="2145"/>
      <c r="M1608" s="1885"/>
    </row>
    <row r="1609" spans="1:14" s="1872" customFormat="1">
      <c r="A1609" s="1837"/>
      <c r="B1609" s="2138"/>
      <c r="C1609" s="2139" t="s">
        <v>2031</v>
      </c>
      <c r="D1609" s="2140"/>
      <c r="E1609" s="1837"/>
      <c r="F1609" s="2146"/>
      <c r="G1609" s="2139" t="s">
        <v>2031</v>
      </c>
      <c r="H1609" s="1837"/>
      <c r="I1609" s="1837"/>
      <c r="J1609" s="1837"/>
      <c r="K1609" s="1837"/>
      <c r="M1609" s="1885"/>
    </row>
    <row r="1610" spans="1:14" s="1872" customFormat="1">
      <c r="A1610" s="1952"/>
      <c r="B1610" s="1871"/>
      <c r="C1610" s="2147" t="s">
        <v>1984</v>
      </c>
      <c r="D1610" s="2140"/>
      <c r="E1610" s="1837"/>
      <c r="F1610" s="2135"/>
      <c r="G1610" s="2147" t="s">
        <v>1985</v>
      </c>
      <c r="H1610" s="1952"/>
      <c r="I1610" s="1952"/>
      <c r="J1610" s="1952"/>
      <c r="K1610" s="1952"/>
      <c r="M1610" s="1885"/>
    </row>
    <row r="1611" spans="1:14" s="1872" customFormat="1">
      <c r="A1611" s="1952"/>
      <c r="B1611" s="1952"/>
      <c r="C1611" s="2139" t="s">
        <v>670</v>
      </c>
      <c r="D1611" s="2139"/>
      <c r="E1611" s="2143"/>
      <c r="F1611" s="2143"/>
      <c r="G1611" s="1952"/>
      <c r="H1611" s="1952"/>
      <c r="I1611" s="1952"/>
      <c r="J1611" s="1952"/>
      <c r="K1611" s="1952"/>
      <c r="M1611" s="1885"/>
    </row>
    <row r="1612" spans="1:14" s="1872" customFormat="1">
      <c r="A1612" s="1840"/>
      <c r="B1612" s="1840"/>
      <c r="C1612" s="2147" t="s">
        <v>1972</v>
      </c>
      <c r="D1612" s="2147"/>
      <c r="E1612" s="2146"/>
      <c r="F1612" s="2146"/>
      <c r="G1612" s="1870"/>
      <c r="H1612" s="1870"/>
      <c r="I1612" s="1870"/>
      <c r="J1612" s="1870"/>
      <c r="K1612" s="1871"/>
      <c r="M1612" s="1885"/>
    </row>
    <row r="1613" spans="1:14" s="1872" customFormat="1">
      <c r="A1613" s="1972"/>
      <c r="B1613" s="1973"/>
      <c r="C1613" s="1974" t="s">
        <v>867</v>
      </c>
      <c r="D1613" s="1930">
        <v>8</v>
      </c>
      <c r="E1613" s="1909" t="s">
        <v>5</v>
      </c>
      <c r="F1613" s="1968">
        <v>80</v>
      </c>
      <c r="G1613" s="1975">
        <v>35</v>
      </c>
      <c r="H1613" s="1975">
        <f t="shared" si="232"/>
        <v>640</v>
      </c>
      <c r="I1613" s="1975">
        <f t="shared" si="233"/>
        <v>280</v>
      </c>
      <c r="J1613" s="1975">
        <f t="shared" si="234"/>
        <v>920</v>
      </c>
      <c r="K1613" s="1977"/>
      <c r="M1613" s="1885" t="s">
        <v>1879</v>
      </c>
    </row>
    <row r="1614" spans="1:14" s="1872" customFormat="1">
      <c r="A1614" s="1903"/>
      <c r="B1614" s="1904"/>
      <c r="C1614" s="1993" t="s">
        <v>376</v>
      </c>
      <c r="D1614" s="1981">
        <v>8</v>
      </c>
      <c r="E1614" s="1903" t="s">
        <v>5</v>
      </c>
      <c r="F1614" s="1996">
        <v>390</v>
      </c>
      <c r="G1614" s="1996">
        <v>120</v>
      </c>
      <c r="H1614" s="1975">
        <f t="shared" si="232"/>
        <v>3120</v>
      </c>
      <c r="I1614" s="1975">
        <f t="shared" si="233"/>
        <v>960</v>
      </c>
      <c r="J1614" s="1975">
        <f t="shared" si="234"/>
        <v>4080</v>
      </c>
      <c r="K1614" s="1977"/>
      <c r="M1614" s="1885" t="s">
        <v>1879</v>
      </c>
    </row>
    <row r="1615" spans="1:14" s="1872" customFormat="1">
      <c r="A1615" s="1972"/>
      <c r="B1615" s="1973"/>
      <c r="C1615" s="1974" t="s">
        <v>875</v>
      </c>
      <c r="D1615" s="1930">
        <v>3</v>
      </c>
      <c r="E1615" s="1909" t="s">
        <v>5</v>
      </c>
      <c r="F1615" s="1968">
        <v>125</v>
      </c>
      <c r="G1615" s="1975">
        <v>25</v>
      </c>
      <c r="H1615" s="1975">
        <f t="shared" si="232"/>
        <v>375</v>
      </c>
      <c r="I1615" s="1975">
        <f t="shared" si="233"/>
        <v>75</v>
      </c>
      <c r="J1615" s="1975">
        <f t="shared" si="234"/>
        <v>450</v>
      </c>
      <c r="K1615" s="1977"/>
      <c r="M1615" s="1885" t="s">
        <v>1879</v>
      </c>
    </row>
    <row r="1616" spans="1:14">
      <c r="A1616" s="1972"/>
      <c r="B1616" s="1973"/>
      <c r="C1616" s="1974" t="s">
        <v>878</v>
      </c>
      <c r="D1616" s="1930">
        <v>10</v>
      </c>
      <c r="E1616" s="1909" t="s">
        <v>5</v>
      </c>
      <c r="F1616" s="1968">
        <v>150</v>
      </c>
      <c r="G1616" s="1975">
        <v>75</v>
      </c>
      <c r="H1616" s="1975">
        <f t="shared" si="232"/>
        <v>1500</v>
      </c>
      <c r="I1616" s="1975">
        <f t="shared" si="233"/>
        <v>750</v>
      </c>
      <c r="J1616" s="1975">
        <f t="shared" si="234"/>
        <v>2250</v>
      </c>
      <c r="K1616" s="1977"/>
      <c r="L1616" s="1872"/>
      <c r="M1616" s="1885" t="s">
        <v>1879</v>
      </c>
      <c r="N1616" s="1861"/>
    </row>
    <row r="1617" spans="1:14" s="1872" customFormat="1">
      <c r="A1617" s="1972"/>
      <c r="B1617" s="1973"/>
      <c r="C1617" s="1980" t="s">
        <v>876</v>
      </c>
      <c r="D1617" s="1981">
        <v>7.8</v>
      </c>
      <c r="E1617" s="1982" t="s">
        <v>86</v>
      </c>
      <c r="F1617" s="1983">
        <v>2850</v>
      </c>
      <c r="G1617" s="1984">
        <v>198</v>
      </c>
      <c r="H1617" s="1975">
        <f t="shared" si="232"/>
        <v>22230</v>
      </c>
      <c r="I1617" s="1975">
        <f t="shared" si="233"/>
        <v>1544.3999999999999</v>
      </c>
      <c r="J1617" s="1975">
        <f t="shared" si="234"/>
        <v>23774.400000000001</v>
      </c>
      <c r="K1617" s="1977"/>
      <c r="L1617" s="1971" t="s">
        <v>1922</v>
      </c>
      <c r="M1617" s="1872" t="s">
        <v>1898</v>
      </c>
    </row>
    <row r="1618" spans="1:14" s="1872" customFormat="1">
      <c r="A1618" s="1985"/>
      <c r="B1618" s="1986"/>
      <c r="C1618" s="1974" t="s">
        <v>877</v>
      </c>
      <c r="D1618" s="1930">
        <v>6.5</v>
      </c>
      <c r="E1618" s="1909" t="s">
        <v>86</v>
      </c>
      <c r="F1618" s="1968">
        <v>3028</v>
      </c>
      <c r="G1618" s="1975">
        <v>392</v>
      </c>
      <c r="H1618" s="1987">
        <f>ROUND(F1618*D1618,2)</f>
        <v>19682</v>
      </c>
      <c r="I1618" s="1987">
        <f>ROUND(G1618*D1618,2)</f>
        <v>2548</v>
      </c>
      <c r="J1618" s="1988">
        <f>+H1618+I1618</f>
        <v>22230</v>
      </c>
      <c r="K1618" s="1977"/>
      <c r="L1618" s="1977"/>
      <c r="M1618" s="1872" t="s">
        <v>1898</v>
      </c>
    </row>
    <row r="1619" spans="1:14" s="1872" customFormat="1">
      <c r="A1619" s="1985"/>
      <c r="B1619" s="1986"/>
      <c r="C1619" s="1974" t="s">
        <v>1075</v>
      </c>
      <c r="D1619" s="1930">
        <v>21.6</v>
      </c>
      <c r="E1619" s="1909" t="s">
        <v>86</v>
      </c>
      <c r="F1619" s="1968">
        <v>8500</v>
      </c>
      <c r="G1619" s="1975">
        <v>2200</v>
      </c>
      <c r="H1619" s="1987">
        <f>ROUND(F1619*D1619,2)</f>
        <v>183600</v>
      </c>
      <c r="I1619" s="1987">
        <f>ROUND(G1619*D1619,2)</f>
        <v>47520</v>
      </c>
      <c r="J1619" s="1988">
        <f>+H1619+I1619</f>
        <v>231120</v>
      </c>
      <c r="K1619" s="1977"/>
      <c r="L1619" s="1979" t="s">
        <v>1885</v>
      </c>
      <c r="M1619" s="1952" t="s">
        <v>622</v>
      </c>
    </row>
    <row r="1620" spans="1:14" s="1872" customFormat="1">
      <c r="A1620" s="1903"/>
      <c r="B1620" s="2052" t="s">
        <v>249</v>
      </c>
      <c r="C1620" s="1905"/>
      <c r="D1620" s="1909"/>
      <c r="E1620" s="1910"/>
      <c r="F1620" s="1906"/>
      <c r="G1620" s="1906"/>
      <c r="H1620" s="1906"/>
      <c r="I1620" s="1906"/>
      <c r="J1620" s="1906"/>
      <c r="K1620" s="1977"/>
      <c r="M1620" s="1902"/>
    </row>
    <row r="1621" spans="1:14" s="1872" customFormat="1">
      <c r="A1621" s="1903"/>
      <c r="B1621" s="1904" t="s">
        <v>277</v>
      </c>
      <c r="C1621" s="1905" t="s">
        <v>961</v>
      </c>
      <c r="D1621" s="1909"/>
      <c r="E1621" s="1910"/>
      <c r="F1621" s="1906"/>
      <c r="G1621" s="1906"/>
      <c r="H1621" s="1906"/>
      <c r="I1621" s="1906"/>
      <c r="J1621" s="1906"/>
      <c r="K1621" s="1978"/>
      <c r="L1621" s="1976"/>
      <c r="M1621" s="1902"/>
    </row>
    <row r="1622" spans="1:14" s="1862" customFormat="1" ht="48">
      <c r="A1622" s="1911"/>
      <c r="B1622" s="1912" t="s">
        <v>107</v>
      </c>
      <c r="C1622" s="1990" t="s">
        <v>1915</v>
      </c>
      <c r="D1622" s="1991">
        <v>24.8</v>
      </c>
      <c r="E1622" s="1911" t="s">
        <v>86</v>
      </c>
      <c r="F1622" s="1922">
        <v>606</v>
      </c>
      <c r="G1622" s="1922">
        <v>222</v>
      </c>
      <c r="H1622" s="1916">
        <f t="shared" ref="H1622:H1628" si="235">+F1622*D1622</f>
        <v>15028.800000000001</v>
      </c>
      <c r="I1622" s="1916">
        <f t="shared" ref="I1622:I1628" si="236">+G1622*D1622</f>
        <v>5505.6</v>
      </c>
      <c r="J1622" s="1916">
        <f t="shared" ref="J1622:J1628" si="237">+H1622+I1622</f>
        <v>20534.400000000001</v>
      </c>
      <c r="K1622" s="1917"/>
      <c r="L1622" s="2048"/>
      <c r="M1622" s="1992" t="s">
        <v>1879</v>
      </c>
      <c r="N1622" s="1852"/>
    </row>
    <row r="1623" spans="1:14">
      <c r="A1623" s="1903"/>
      <c r="B1623" s="1904" t="s">
        <v>107</v>
      </c>
      <c r="C1623" s="1993" t="s">
        <v>948</v>
      </c>
      <c r="D1623" s="1981">
        <v>24.8</v>
      </c>
      <c r="E1623" s="1994" t="s">
        <v>84</v>
      </c>
      <c r="F1623" s="1995">
        <v>0</v>
      </c>
      <c r="G1623" s="1996">
        <v>200</v>
      </c>
      <c r="H1623" s="1906">
        <f t="shared" si="235"/>
        <v>0</v>
      </c>
      <c r="I1623" s="1906">
        <f t="shared" si="236"/>
        <v>4960</v>
      </c>
      <c r="J1623" s="1906">
        <f t="shared" si="237"/>
        <v>4960</v>
      </c>
      <c r="K1623" s="1907"/>
      <c r="M1623" s="1885" t="s">
        <v>1016</v>
      </c>
    </row>
    <row r="1624" spans="1:14">
      <c r="A1624" s="1965"/>
      <c r="B1624" s="1997" t="s">
        <v>107</v>
      </c>
      <c r="C1624" s="1993" t="s">
        <v>1087</v>
      </c>
      <c r="D1624" s="1998">
        <v>45.5</v>
      </c>
      <c r="E1624" s="1999" t="s">
        <v>87</v>
      </c>
      <c r="F1624" s="1975">
        <v>28.9</v>
      </c>
      <c r="G1624" s="1975">
        <v>10</v>
      </c>
      <c r="H1624" s="1906">
        <f t="shared" si="235"/>
        <v>1314.95</v>
      </c>
      <c r="I1624" s="1906">
        <f t="shared" si="236"/>
        <v>455</v>
      </c>
      <c r="J1624" s="1906">
        <f t="shared" si="237"/>
        <v>1769.95</v>
      </c>
      <c r="K1624" s="1907"/>
      <c r="M1624" s="1885" t="s">
        <v>1021</v>
      </c>
    </row>
    <row r="1625" spans="1:14">
      <c r="A1625" s="1965"/>
      <c r="B1625" s="1997" t="s">
        <v>107</v>
      </c>
      <c r="C1625" s="1993" t="s">
        <v>1082</v>
      </c>
      <c r="D1625" s="1998">
        <v>330.3</v>
      </c>
      <c r="E1625" s="1999" t="s">
        <v>87</v>
      </c>
      <c r="F1625" s="1975">
        <v>28.9</v>
      </c>
      <c r="G1625" s="1975">
        <v>10</v>
      </c>
      <c r="H1625" s="1906">
        <f t="shared" si="235"/>
        <v>9545.67</v>
      </c>
      <c r="I1625" s="1906">
        <f t="shared" si="236"/>
        <v>3303</v>
      </c>
      <c r="J1625" s="1906">
        <f t="shared" si="237"/>
        <v>12848.67</v>
      </c>
      <c r="K1625" s="1907"/>
      <c r="M1625" s="1885" t="s">
        <v>1021</v>
      </c>
    </row>
    <row r="1626" spans="1:14">
      <c r="A1626" s="1965"/>
      <c r="B1626" s="1997" t="s">
        <v>107</v>
      </c>
      <c r="C1626" s="1993" t="s">
        <v>1088</v>
      </c>
      <c r="D1626" s="1998">
        <v>45.15</v>
      </c>
      <c r="E1626" s="1999" t="s">
        <v>87</v>
      </c>
      <c r="F1626" s="1975">
        <v>31</v>
      </c>
      <c r="G1626" s="1975">
        <v>10</v>
      </c>
      <c r="H1626" s="1906">
        <f t="shared" si="235"/>
        <v>1399.6499999999999</v>
      </c>
      <c r="I1626" s="1906">
        <f t="shared" si="236"/>
        <v>451.5</v>
      </c>
      <c r="J1626" s="1906">
        <f t="shared" si="237"/>
        <v>1851.1499999999999</v>
      </c>
      <c r="K1626" s="1907"/>
      <c r="M1626" s="1885" t="s">
        <v>1016</v>
      </c>
    </row>
    <row r="1627" spans="1:14">
      <c r="A1627" s="1965"/>
      <c r="B1627" s="1997" t="s">
        <v>107</v>
      </c>
      <c r="C1627" s="1993" t="s">
        <v>956</v>
      </c>
      <c r="D1627" s="1998">
        <v>18</v>
      </c>
      <c r="E1627" s="1999" t="s">
        <v>109</v>
      </c>
      <c r="F1627" s="1975">
        <v>108</v>
      </c>
      <c r="G1627" s="1975">
        <v>18</v>
      </c>
      <c r="H1627" s="1906">
        <f t="shared" si="235"/>
        <v>1944</v>
      </c>
      <c r="I1627" s="1906">
        <f t="shared" si="236"/>
        <v>324</v>
      </c>
      <c r="J1627" s="1906">
        <f t="shared" si="237"/>
        <v>2268</v>
      </c>
      <c r="K1627" s="1907"/>
      <c r="M1627" s="1885" t="s">
        <v>1021</v>
      </c>
    </row>
    <row r="1628" spans="1:14">
      <c r="A1628" s="2000"/>
      <c r="B1628" s="1997" t="s">
        <v>107</v>
      </c>
      <c r="C1628" s="1993" t="s">
        <v>1059</v>
      </c>
      <c r="D1628" s="1998">
        <v>72</v>
      </c>
      <c r="E1628" s="1999" t="s">
        <v>27</v>
      </c>
      <c r="F1628" s="1975">
        <v>131.32</v>
      </c>
      <c r="G1628" s="1975">
        <v>0</v>
      </c>
      <c r="H1628" s="1906">
        <f t="shared" si="235"/>
        <v>9455.0399999999991</v>
      </c>
      <c r="I1628" s="1906">
        <f t="shared" si="236"/>
        <v>0</v>
      </c>
      <c r="J1628" s="1906">
        <f t="shared" si="237"/>
        <v>9455.0399999999991</v>
      </c>
      <c r="K1628" s="1907"/>
      <c r="M1628" s="1885" t="s">
        <v>654</v>
      </c>
    </row>
    <row r="1629" spans="1:14">
      <c r="A1629" s="1903"/>
      <c r="B1629" s="1904" t="s">
        <v>953</v>
      </c>
      <c r="C1629" s="1905" t="s">
        <v>961</v>
      </c>
      <c r="D1629" s="1909"/>
      <c r="E1629" s="1910"/>
      <c r="F1629" s="1906"/>
      <c r="G1629" s="1906"/>
      <c r="H1629" s="1906"/>
      <c r="I1629" s="1906"/>
      <c r="J1629" s="1906"/>
      <c r="K1629" s="1907"/>
    </row>
    <row r="1630" spans="1:14">
      <c r="A1630" s="1903"/>
      <c r="B1630" s="1904" t="s">
        <v>107</v>
      </c>
      <c r="C1630" s="1993" t="s">
        <v>952</v>
      </c>
      <c r="D1630" s="1991">
        <v>13.5</v>
      </c>
      <c r="E1630" s="1903" t="s">
        <v>86</v>
      </c>
      <c r="F1630" s="1900">
        <v>119</v>
      </c>
      <c r="G1630" s="1900">
        <v>82</v>
      </c>
      <c r="H1630" s="1906">
        <f>+F1630*D1630</f>
        <v>1606.5</v>
      </c>
      <c r="I1630" s="1906">
        <f>+G1630*D1630</f>
        <v>1107</v>
      </c>
      <c r="J1630" s="1906">
        <f>+H1630+I1630</f>
        <v>2713.5</v>
      </c>
      <c r="K1630" s="1907"/>
      <c r="M1630" s="1885" t="s">
        <v>1076</v>
      </c>
    </row>
    <row r="1631" spans="1:14">
      <c r="A1631" s="1903"/>
      <c r="B1631" s="1904" t="s">
        <v>107</v>
      </c>
      <c r="C1631" s="1993" t="s">
        <v>957</v>
      </c>
      <c r="D1631" s="1981">
        <v>20.399999999999999</v>
      </c>
      <c r="E1631" s="1994" t="s">
        <v>84</v>
      </c>
      <c r="F1631" s="1995">
        <v>200</v>
      </c>
      <c r="G1631" s="1996">
        <v>40</v>
      </c>
      <c r="H1631" s="1906">
        <f>+F1631*D1631</f>
        <v>4079.9999999999995</v>
      </c>
      <c r="I1631" s="1906">
        <f>+G1631*D1631</f>
        <v>816</v>
      </c>
      <c r="J1631" s="1906">
        <f>+H1631+I1631</f>
        <v>4896</v>
      </c>
      <c r="K1631" s="1907"/>
      <c r="M1631" s="1885" t="s">
        <v>1016</v>
      </c>
    </row>
    <row r="1632" spans="1:14">
      <c r="A1632" s="1972"/>
      <c r="B1632" s="2047" t="s">
        <v>107</v>
      </c>
      <c r="C1632" s="2002" t="s">
        <v>1237</v>
      </c>
      <c r="D1632" s="1930">
        <v>6.4</v>
      </c>
      <c r="E1632" s="1909" t="s">
        <v>84</v>
      </c>
      <c r="F1632" s="1909">
        <v>2100</v>
      </c>
      <c r="G1632" s="1930">
        <v>250</v>
      </c>
      <c r="H1632" s="1930">
        <f>F1632*D1632</f>
        <v>13440</v>
      </c>
      <c r="I1632" s="1930">
        <f>G1632*D1632</f>
        <v>1600</v>
      </c>
      <c r="J1632" s="1930">
        <f>H1632+I1632</f>
        <v>15040</v>
      </c>
      <c r="K1632" s="2003"/>
      <c r="L1632" s="1875"/>
      <c r="M1632" s="1875"/>
    </row>
    <row r="1633" spans="1:13">
      <c r="A1633" s="1972"/>
      <c r="B1633" s="2047" t="s">
        <v>107</v>
      </c>
      <c r="C1633" s="2002" t="s">
        <v>955</v>
      </c>
      <c r="D1633" s="1930">
        <v>10</v>
      </c>
      <c r="E1633" s="1909" t="s">
        <v>109</v>
      </c>
      <c r="F1633" s="1909">
        <v>45</v>
      </c>
      <c r="G1633" s="1930">
        <v>7.5</v>
      </c>
      <c r="H1633" s="1930">
        <f>F1633*D1633</f>
        <v>450</v>
      </c>
      <c r="I1633" s="1930">
        <f>G1633*D1633</f>
        <v>75</v>
      </c>
      <c r="J1633" s="1930">
        <f>H1633+I1633</f>
        <v>525</v>
      </c>
      <c r="K1633" s="2003"/>
      <c r="L1633" s="1875"/>
      <c r="M1633" s="1875"/>
    </row>
    <row r="1634" spans="1:13">
      <c r="A1634" s="1972"/>
      <c r="B1634" s="2047" t="s">
        <v>107</v>
      </c>
      <c r="C1634" s="2002" t="s">
        <v>1060</v>
      </c>
      <c r="D1634" s="1930">
        <v>40</v>
      </c>
      <c r="E1634" s="1909" t="s">
        <v>27</v>
      </c>
      <c r="F1634" s="1909">
        <v>99.84</v>
      </c>
      <c r="G1634" s="1930">
        <v>0</v>
      </c>
      <c r="H1634" s="1930">
        <f>F1634*D1634</f>
        <v>3993.6000000000004</v>
      </c>
      <c r="I1634" s="1930">
        <f>G1634*D1634</f>
        <v>0</v>
      </c>
      <c r="J1634" s="1930">
        <f>H1634+I1634</f>
        <v>3993.6000000000004</v>
      </c>
      <c r="K1634" s="2003"/>
      <c r="L1634" s="1875"/>
      <c r="M1634" s="1875"/>
    </row>
    <row r="1635" spans="1:13">
      <c r="A1635" s="1863"/>
      <c r="B1635" s="1864"/>
      <c r="C1635" s="1865"/>
      <c r="D1635" s="1866"/>
      <c r="E1635" s="1867"/>
      <c r="F1635" s="1868"/>
      <c r="G1635" s="1868"/>
      <c r="H1635" s="1868"/>
      <c r="I1635" s="1868"/>
      <c r="J1635" s="1868"/>
      <c r="K1635" s="1869"/>
      <c r="L1635" s="1875"/>
      <c r="M1635" s="1875"/>
    </row>
    <row r="1636" spans="1:13">
      <c r="B1636" s="1860"/>
      <c r="C1636" s="2133" t="s">
        <v>133</v>
      </c>
      <c r="D1636" s="2134"/>
      <c r="E1636" s="2135"/>
      <c r="F1636" s="2136"/>
      <c r="G1636" s="2137"/>
      <c r="H1636" s="2137"/>
      <c r="I1636" s="2137"/>
      <c r="J1636" s="2137"/>
      <c r="K1636" s="2137"/>
      <c r="L1636" s="1875"/>
      <c r="M1636" s="1875"/>
    </row>
    <row r="1637" spans="1:13">
      <c r="B1637" s="2138"/>
      <c r="C1637" s="2139" t="s">
        <v>1769</v>
      </c>
      <c r="D1637" s="2140"/>
      <c r="E1637" s="1861"/>
      <c r="F1637" s="2135"/>
      <c r="G1637" s="2139" t="s">
        <v>134</v>
      </c>
      <c r="H1637" s="2138"/>
      <c r="I1637" s="2138"/>
      <c r="J1637" s="2138"/>
      <c r="K1637" s="2138"/>
      <c r="L1637" s="1875"/>
      <c r="M1637" s="1875"/>
    </row>
    <row r="1638" spans="1:13">
      <c r="B1638" s="1871"/>
      <c r="C1638" s="2141" t="s">
        <v>1970</v>
      </c>
      <c r="D1638" s="2140"/>
      <c r="E1638" s="2142"/>
      <c r="F1638" s="2143"/>
      <c r="G1638" s="2144" t="s">
        <v>1971</v>
      </c>
      <c r="H1638" s="2145"/>
      <c r="I1638" s="2145"/>
      <c r="J1638" s="2145"/>
      <c r="K1638" s="2145"/>
      <c r="L1638" s="1875"/>
      <c r="M1638" s="1875"/>
    </row>
    <row r="1639" spans="1:13">
      <c r="A1639" s="1837"/>
      <c r="B1639" s="2138"/>
      <c r="C1639" s="2139" t="s">
        <v>2031</v>
      </c>
      <c r="D1639" s="2140"/>
      <c r="E1639" s="1837"/>
      <c r="F1639" s="2146"/>
      <c r="G1639" s="2139" t="s">
        <v>2031</v>
      </c>
      <c r="H1639" s="1837"/>
      <c r="I1639" s="1837"/>
      <c r="J1639" s="1837"/>
      <c r="K1639" s="1837"/>
      <c r="L1639" s="1875"/>
      <c r="M1639" s="1875"/>
    </row>
    <row r="1640" spans="1:13">
      <c r="A1640" s="1952"/>
      <c r="B1640" s="1871"/>
      <c r="C1640" s="2147" t="s">
        <v>1984</v>
      </c>
      <c r="D1640" s="2140"/>
      <c r="E1640" s="1837"/>
      <c r="F1640" s="2135"/>
      <c r="G1640" s="2147" t="s">
        <v>1985</v>
      </c>
      <c r="H1640" s="1952"/>
      <c r="I1640" s="1952"/>
      <c r="J1640" s="1952"/>
      <c r="K1640" s="1952"/>
      <c r="L1640" s="1875"/>
      <c r="M1640" s="1875"/>
    </row>
    <row r="1641" spans="1:13">
      <c r="A1641" s="1952"/>
      <c r="B1641" s="1952"/>
      <c r="C1641" s="2139" t="s">
        <v>670</v>
      </c>
      <c r="D1641" s="2139"/>
      <c r="E1641" s="2143"/>
      <c r="F1641" s="2143"/>
      <c r="G1641" s="1952"/>
      <c r="H1641" s="1952"/>
      <c r="I1641" s="1952"/>
      <c r="J1641" s="1952"/>
      <c r="K1641" s="1952"/>
      <c r="L1641" s="1875"/>
      <c r="M1641" s="1875"/>
    </row>
    <row r="1642" spans="1:13">
      <c r="C1642" s="2147" t="s">
        <v>1972</v>
      </c>
      <c r="D1642" s="2147"/>
      <c r="E1642" s="2146"/>
      <c r="F1642" s="2146"/>
      <c r="L1642" s="1875"/>
      <c r="M1642" s="1875"/>
    </row>
    <row r="1643" spans="1:13" s="1875" customFormat="1">
      <c r="A1643" s="2000"/>
      <c r="B1643" s="2004" t="s">
        <v>954</v>
      </c>
      <c r="C1643" s="2005" t="s">
        <v>961</v>
      </c>
      <c r="D1643" s="1956"/>
      <c r="E1643" s="2006"/>
      <c r="F1643" s="2007"/>
      <c r="G1643" s="2007"/>
      <c r="H1643" s="2007"/>
      <c r="I1643" s="2007"/>
      <c r="J1643" s="2007"/>
      <c r="K1643" s="1908"/>
      <c r="L1643" s="1871"/>
      <c r="M1643" s="1902"/>
    </row>
    <row r="1644" spans="1:13" s="1875" customFormat="1">
      <c r="A1644" s="1903"/>
      <c r="B1644" s="1904" t="s">
        <v>107</v>
      </c>
      <c r="C1644" s="1993" t="s">
        <v>952</v>
      </c>
      <c r="D1644" s="1981">
        <v>14.3</v>
      </c>
      <c r="E1644" s="1903" t="s">
        <v>86</v>
      </c>
      <c r="F1644" s="1906">
        <v>119</v>
      </c>
      <c r="G1644" s="1906">
        <v>82</v>
      </c>
      <c r="H1644" s="1906">
        <f>+F1644*D1644</f>
        <v>1701.7</v>
      </c>
      <c r="I1644" s="1906">
        <f>+G1644*D1644</f>
        <v>1172.6000000000001</v>
      </c>
      <c r="J1644" s="1906">
        <f>+H1644+I1644</f>
        <v>2874.3</v>
      </c>
      <c r="K1644" s="1907"/>
      <c r="L1644" s="1871"/>
      <c r="M1644" s="1885" t="s">
        <v>1076</v>
      </c>
    </row>
    <row r="1645" spans="1:13">
      <c r="A1645" s="1897"/>
      <c r="B1645" s="2008" t="s">
        <v>107</v>
      </c>
      <c r="C1645" s="2009" t="s">
        <v>957</v>
      </c>
      <c r="D1645" s="1991">
        <v>24.2</v>
      </c>
      <c r="E1645" s="2010" t="s">
        <v>84</v>
      </c>
      <c r="F1645" s="2011">
        <v>200</v>
      </c>
      <c r="G1645" s="2012">
        <v>40</v>
      </c>
      <c r="H1645" s="1900">
        <f>+F1645*D1645</f>
        <v>4840</v>
      </c>
      <c r="I1645" s="1900">
        <f>+G1645*D1645</f>
        <v>968</v>
      </c>
      <c r="J1645" s="1900">
        <f>+H1645+I1645</f>
        <v>5808</v>
      </c>
      <c r="K1645" s="1901"/>
      <c r="M1645" s="1885" t="s">
        <v>1016</v>
      </c>
    </row>
    <row r="1646" spans="1:13">
      <c r="A1646" s="1972"/>
      <c r="B1646" s="2047" t="s">
        <v>107</v>
      </c>
      <c r="C1646" s="2002" t="s">
        <v>1779</v>
      </c>
      <c r="D1646" s="1930">
        <v>25.7</v>
      </c>
      <c r="E1646" s="1909" t="s">
        <v>87</v>
      </c>
      <c r="F1646" s="1909">
        <v>32.1</v>
      </c>
      <c r="G1646" s="1930">
        <v>10</v>
      </c>
      <c r="H1646" s="1930">
        <f>F1646*D1646</f>
        <v>824.97</v>
      </c>
      <c r="I1646" s="1930">
        <f>G1646*D1646</f>
        <v>257</v>
      </c>
      <c r="J1646" s="1930">
        <f>H1646+I1646</f>
        <v>1081.97</v>
      </c>
      <c r="K1646" s="2003"/>
      <c r="L1646" s="1875"/>
      <c r="M1646" s="1875"/>
    </row>
    <row r="1647" spans="1:13">
      <c r="A1647" s="1903"/>
      <c r="B1647" s="2386" t="s">
        <v>392</v>
      </c>
      <c r="C1647" s="2386"/>
      <c r="D1647" s="1909"/>
      <c r="E1647" s="1910"/>
      <c r="F1647" s="1906"/>
      <c r="G1647" s="1906"/>
      <c r="H1647" s="1906"/>
      <c r="I1647" s="1906"/>
      <c r="J1647" s="1906"/>
      <c r="K1647" s="1907"/>
    </row>
    <row r="1648" spans="1:13" s="1875" customFormat="1">
      <c r="A1648" s="1965"/>
      <c r="B1648" s="1997" t="s">
        <v>107</v>
      </c>
      <c r="C1648" s="1993" t="s">
        <v>1087</v>
      </c>
      <c r="D1648" s="1998">
        <v>335.9</v>
      </c>
      <c r="E1648" s="1999" t="s">
        <v>87</v>
      </c>
      <c r="F1648" s="1975">
        <v>28.9</v>
      </c>
      <c r="G1648" s="1975">
        <v>10</v>
      </c>
      <c r="H1648" s="1906">
        <f>+F1648*D1648</f>
        <v>9707.5099999999984</v>
      </c>
      <c r="I1648" s="1906">
        <f>+G1648*D1648</f>
        <v>3359</v>
      </c>
      <c r="J1648" s="1906">
        <f>+H1648+I1648</f>
        <v>13066.509999999998</v>
      </c>
      <c r="K1648" s="1907"/>
      <c r="L1648" s="1871"/>
      <c r="M1648" s="1885" t="s">
        <v>1021</v>
      </c>
    </row>
    <row r="1649" spans="1:14">
      <c r="A1649" s="1965"/>
      <c r="B1649" s="1997" t="s">
        <v>107</v>
      </c>
      <c r="C1649" s="1993" t="s">
        <v>1082</v>
      </c>
      <c r="D1649" s="1998">
        <v>1471.5</v>
      </c>
      <c r="E1649" s="1999" t="s">
        <v>87</v>
      </c>
      <c r="F1649" s="1975">
        <v>28.9</v>
      </c>
      <c r="G1649" s="1975">
        <v>10</v>
      </c>
      <c r="H1649" s="1906">
        <f>+F1649*D1649</f>
        <v>42526.35</v>
      </c>
      <c r="I1649" s="1906">
        <f>+G1649*D1649</f>
        <v>14715</v>
      </c>
      <c r="J1649" s="1906">
        <f>+H1649+I1649</f>
        <v>57241.35</v>
      </c>
      <c r="K1649" s="1907"/>
      <c r="M1649" s="1885" t="s">
        <v>1021</v>
      </c>
    </row>
    <row r="1650" spans="1:14">
      <c r="A1650" s="1965"/>
      <c r="B1650" s="1997" t="s">
        <v>107</v>
      </c>
      <c r="C1650" s="1993" t="s">
        <v>1088</v>
      </c>
      <c r="D1650" s="1998">
        <v>289.60000000000002</v>
      </c>
      <c r="E1650" s="1999" t="s">
        <v>87</v>
      </c>
      <c r="F1650" s="1975">
        <v>31</v>
      </c>
      <c r="G1650" s="1975">
        <v>10</v>
      </c>
      <c r="H1650" s="1906">
        <f>+F1650*D1650</f>
        <v>8977.6</v>
      </c>
      <c r="I1650" s="1906">
        <f>+G1650*D1650</f>
        <v>2896</v>
      </c>
      <c r="J1650" s="1906">
        <f>+H1650+I1650</f>
        <v>11873.6</v>
      </c>
      <c r="K1650" s="1907"/>
      <c r="M1650" s="1885" t="s">
        <v>1016</v>
      </c>
    </row>
    <row r="1651" spans="1:14">
      <c r="A1651" s="1965"/>
      <c r="B1651" s="1997" t="s">
        <v>107</v>
      </c>
      <c r="C1651" s="1993" t="s">
        <v>956</v>
      </c>
      <c r="D1651" s="1998">
        <v>74</v>
      </c>
      <c r="E1651" s="1999" t="s">
        <v>109</v>
      </c>
      <c r="F1651" s="1975">
        <v>108</v>
      </c>
      <c r="G1651" s="1975">
        <v>18</v>
      </c>
      <c r="H1651" s="1906">
        <f>+F1651*D1651</f>
        <v>7992</v>
      </c>
      <c r="I1651" s="1906">
        <f>+G1651*D1651</f>
        <v>1332</v>
      </c>
      <c r="J1651" s="1906">
        <f>+H1651+I1651</f>
        <v>9324</v>
      </c>
      <c r="K1651" s="1907"/>
      <c r="M1651" s="1885" t="s">
        <v>1021</v>
      </c>
    </row>
    <row r="1652" spans="1:14">
      <c r="A1652" s="2000"/>
      <c r="B1652" s="1997" t="s">
        <v>107</v>
      </c>
      <c r="C1652" s="1993" t="s">
        <v>1059</v>
      </c>
      <c r="D1652" s="1998">
        <f>D1651*4</f>
        <v>296</v>
      </c>
      <c r="E1652" s="1999" t="s">
        <v>27</v>
      </c>
      <c r="F1652" s="1975">
        <v>131.32</v>
      </c>
      <c r="G1652" s="1975">
        <v>0</v>
      </c>
      <c r="H1652" s="1906">
        <f>+F1652*D1652</f>
        <v>38870.720000000001</v>
      </c>
      <c r="I1652" s="1906">
        <f>+G1652*D1652</f>
        <v>0</v>
      </c>
      <c r="J1652" s="1906">
        <f>+H1652+I1652</f>
        <v>38870.720000000001</v>
      </c>
      <c r="K1652" s="1907"/>
      <c r="M1652" s="1885" t="s">
        <v>654</v>
      </c>
    </row>
    <row r="1653" spans="1:14">
      <c r="A1653" s="1903"/>
      <c r="B1653" s="2386" t="s">
        <v>384</v>
      </c>
      <c r="C1653" s="2386"/>
      <c r="D1653" s="1909"/>
      <c r="E1653" s="1910"/>
      <c r="F1653" s="1906"/>
      <c r="G1653" s="1906"/>
      <c r="H1653" s="1906"/>
      <c r="I1653" s="1906"/>
      <c r="J1653" s="1906"/>
      <c r="K1653" s="1907"/>
    </row>
    <row r="1654" spans="1:14">
      <c r="A1654" s="1903"/>
      <c r="B1654" s="1997" t="s">
        <v>107</v>
      </c>
      <c r="C1654" s="1980" t="s">
        <v>1026</v>
      </c>
      <c r="D1654" s="1998">
        <v>1040</v>
      </c>
      <c r="E1654" s="1999" t="s">
        <v>1027</v>
      </c>
      <c r="F1654" s="1975">
        <v>48</v>
      </c>
      <c r="G1654" s="1975">
        <v>19</v>
      </c>
      <c r="H1654" s="1906">
        <f>+F1654*D1654</f>
        <v>49920</v>
      </c>
      <c r="I1654" s="1906">
        <f>+G1654*D1654</f>
        <v>19760</v>
      </c>
      <c r="J1654" s="1906">
        <f>+H1654+I1654</f>
        <v>69680</v>
      </c>
      <c r="K1654" s="1907"/>
      <c r="L1654" s="1907" t="s">
        <v>1967</v>
      </c>
      <c r="M1654" s="1885" t="s">
        <v>622</v>
      </c>
    </row>
    <row r="1655" spans="1:14">
      <c r="A1655" s="1903"/>
      <c r="B1655" s="1997" t="s">
        <v>107</v>
      </c>
      <c r="C1655" s="1993" t="s">
        <v>1810</v>
      </c>
      <c r="D1655" s="1998">
        <v>20</v>
      </c>
      <c r="E1655" s="1999" t="s">
        <v>962</v>
      </c>
      <c r="F1655" s="1975">
        <v>3428.58</v>
      </c>
      <c r="G1655" s="1975">
        <f>F1655*0.3</f>
        <v>1028.5739999999998</v>
      </c>
      <c r="H1655" s="1906">
        <f>+F1655*D1655</f>
        <v>68571.600000000006</v>
      </c>
      <c r="I1655" s="1906">
        <f>+G1655*D1655</f>
        <v>20571.479999999996</v>
      </c>
      <c r="J1655" s="1906">
        <f>+H1655+I1655</f>
        <v>89143.08</v>
      </c>
      <c r="K1655" s="1907"/>
      <c r="L1655" s="1901" t="s">
        <v>1910</v>
      </c>
      <c r="M1655" s="1902" t="s">
        <v>622</v>
      </c>
    </row>
    <row r="1656" spans="1:14">
      <c r="A1656" s="2032"/>
      <c r="B1656" s="1878"/>
      <c r="C1656" s="2033"/>
      <c r="D1656" s="1880"/>
      <c r="E1656" s="1881"/>
      <c r="F1656" s="1882"/>
      <c r="G1656" s="1882"/>
      <c r="H1656" s="2017"/>
      <c r="I1656" s="2017"/>
      <c r="J1656" s="2017"/>
      <c r="K1656" s="1884"/>
    </row>
    <row r="1657" spans="1:14" ht="24.75" thickBot="1">
      <c r="A1657" s="2034"/>
      <c r="B1657" s="2035"/>
      <c r="C1657" s="2053" t="str">
        <f>"รวมราคา "&amp;B1482</f>
        <v>รวมราคา งานสถาปัตยกรรม ชั้น 9</v>
      </c>
      <c r="D1657" s="1889"/>
      <c r="E1657" s="1890"/>
      <c r="F1657" s="1891"/>
      <c r="G1657" s="1891"/>
      <c r="H1657" s="1891">
        <f>SUM(H1483:H1655)</f>
        <v>3725247.8600000008</v>
      </c>
      <c r="I1657" s="1891">
        <f>SUM(I1483:I1655)</f>
        <v>1184758.8799999999</v>
      </c>
      <c r="J1657" s="1891">
        <f>SUM(J1483:J1655)</f>
        <v>4910006.7399999993</v>
      </c>
      <c r="K1657" s="1891"/>
      <c r="L1657" s="1870"/>
      <c r="M1657" s="1892"/>
    </row>
    <row r="1658" spans="1:14" ht="24.75" thickTop="1">
      <c r="A1658" s="2071">
        <v>2.1</v>
      </c>
      <c r="B1658" s="2387" t="s">
        <v>1787</v>
      </c>
      <c r="C1658" s="2387"/>
      <c r="D1658" s="2038"/>
      <c r="E1658" s="2037"/>
      <c r="F1658" s="2039"/>
      <c r="G1658" s="2039"/>
      <c r="H1658" s="2039"/>
      <c r="I1658" s="2039"/>
      <c r="J1658" s="2039"/>
      <c r="K1658" s="2039"/>
      <c r="L1658" s="2175"/>
      <c r="M1658" s="1892"/>
    </row>
    <row r="1659" spans="1:14" s="1860" customFormat="1">
      <c r="A1659" s="1897"/>
      <c r="B1659" s="2388" t="s">
        <v>201</v>
      </c>
      <c r="C1659" s="2388"/>
      <c r="D1659" s="1898"/>
      <c r="E1659" s="1899"/>
      <c r="F1659" s="1900"/>
      <c r="G1659" s="1900"/>
      <c r="H1659" s="1900"/>
      <c r="I1659" s="1900"/>
      <c r="J1659" s="1900"/>
      <c r="K1659" s="1901"/>
      <c r="L1659" s="1871"/>
      <c r="M1659" s="1902"/>
    </row>
    <row r="1660" spans="1:14" s="1860" customFormat="1">
      <c r="A1660" s="1903"/>
      <c r="B1660" s="1904" t="s">
        <v>3</v>
      </c>
      <c r="C1660" s="1905" t="s">
        <v>723</v>
      </c>
      <c r="D1660" s="1898">
        <v>50</v>
      </c>
      <c r="E1660" s="1899" t="s">
        <v>86</v>
      </c>
      <c r="F1660" s="1900">
        <v>606</v>
      </c>
      <c r="G1660" s="1900">
        <v>222</v>
      </c>
      <c r="H1660" s="1906">
        <f>+F1660*D1660</f>
        <v>30300</v>
      </c>
      <c r="I1660" s="1906">
        <f>+G1660*D1660</f>
        <v>11100</v>
      </c>
      <c r="J1660" s="1906">
        <f>+H1660+I1660</f>
        <v>41400</v>
      </c>
      <c r="K1660" s="1907"/>
      <c r="L1660" s="1871"/>
      <c r="M1660" s="1885" t="s">
        <v>1875</v>
      </c>
    </row>
    <row r="1661" spans="1:14">
      <c r="A1661" s="1903"/>
      <c r="B1661" s="1904" t="s">
        <v>4</v>
      </c>
      <c r="C1661" s="1905" t="s">
        <v>149</v>
      </c>
      <c r="D1661" s="1898">
        <v>85.9</v>
      </c>
      <c r="E1661" s="1899" t="s">
        <v>86</v>
      </c>
      <c r="F1661" s="1900">
        <v>113</v>
      </c>
      <c r="G1661" s="1900">
        <v>87</v>
      </c>
      <c r="H1661" s="1906">
        <f>+F1661*D1661</f>
        <v>9706.7000000000007</v>
      </c>
      <c r="I1661" s="1906">
        <f>+G1661*D1661</f>
        <v>7473.3</v>
      </c>
      <c r="J1661" s="1906">
        <f>+H1661+I1661</f>
        <v>17180</v>
      </c>
      <c r="K1661" s="1907"/>
      <c r="M1661" s="1885" t="s">
        <v>1875</v>
      </c>
      <c r="N1661" s="1861"/>
    </row>
    <row r="1662" spans="1:14" s="1862" customFormat="1">
      <c r="A1662" s="1903"/>
      <c r="B1662" s="1904" t="s">
        <v>108</v>
      </c>
      <c r="C1662" s="1905" t="s">
        <v>725</v>
      </c>
      <c r="D1662" s="1898">
        <v>403.9</v>
      </c>
      <c r="E1662" s="1899" t="s">
        <v>86</v>
      </c>
      <c r="F1662" s="1900">
        <v>123</v>
      </c>
      <c r="G1662" s="1900">
        <v>82</v>
      </c>
      <c r="H1662" s="1906">
        <f>+F1662*D1662</f>
        <v>49679.7</v>
      </c>
      <c r="I1662" s="1906">
        <f>+G1662*D1662</f>
        <v>33119.799999999996</v>
      </c>
      <c r="J1662" s="1906">
        <f>+H1662+I1662</f>
        <v>82799.5</v>
      </c>
      <c r="K1662" s="1907"/>
      <c r="L1662" s="1871"/>
      <c r="M1662" s="1885" t="s">
        <v>1875</v>
      </c>
    </row>
    <row r="1663" spans="1:14" s="1862" customFormat="1">
      <c r="A1663" s="1903"/>
      <c r="B1663" s="1904"/>
      <c r="C1663" s="1905" t="s">
        <v>727</v>
      </c>
      <c r="D1663" s="1898">
        <f>D1660</f>
        <v>50</v>
      </c>
      <c r="E1663" s="1899" t="s">
        <v>86</v>
      </c>
      <c r="F1663" s="1900">
        <v>109</v>
      </c>
      <c r="G1663" s="1900">
        <v>64</v>
      </c>
      <c r="H1663" s="1906">
        <f>+F1663*D1663</f>
        <v>5450</v>
      </c>
      <c r="I1663" s="1906">
        <f>+G1663*D1663</f>
        <v>3200</v>
      </c>
      <c r="J1663" s="1906">
        <f>+H1663+I1663</f>
        <v>8650</v>
      </c>
      <c r="K1663" s="1907"/>
      <c r="L1663" s="1871"/>
      <c r="M1663" s="1885" t="s">
        <v>1878</v>
      </c>
    </row>
    <row r="1664" spans="1:14" s="1862" customFormat="1">
      <c r="A1664" s="1903"/>
      <c r="B1664" s="2386" t="s">
        <v>366</v>
      </c>
      <c r="C1664" s="2386"/>
      <c r="D1664" s="1898"/>
      <c r="E1664" s="1899"/>
      <c r="F1664" s="1900"/>
      <c r="G1664" s="1900"/>
      <c r="H1664" s="1906"/>
      <c r="I1664" s="1906"/>
      <c r="J1664" s="1906"/>
      <c r="K1664" s="1907"/>
      <c r="L1664" s="1871"/>
      <c r="M1664" s="1902"/>
    </row>
    <row r="1665" spans="1:14">
      <c r="A1665" s="2000"/>
      <c r="B1665" s="2004" t="s">
        <v>733</v>
      </c>
      <c r="C1665" s="2005" t="s">
        <v>1241</v>
      </c>
      <c r="D1665" s="2015">
        <v>626.4</v>
      </c>
      <c r="E1665" s="2016" t="s">
        <v>86</v>
      </c>
      <c r="F1665" s="2017">
        <v>273</v>
      </c>
      <c r="G1665" s="2017">
        <v>53</v>
      </c>
      <c r="H1665" s="2007">
        <f>+F1665*D1665</f>
        <v>171007.19999999998</v>
      </c>
      <c r="I1665" s="2007">
        <f>+G1665*D1665</f>
        <v>33199.199999999997</v>
      </c>
      <c r="J1665" s="2007">
        <f>+H1665+I1665</f>
        <v>204206.39999999997</v>
      </c>
      <c r="K1665" s="1908"/>
      <c r="M1665" s="1885" t="s">
        <v>1876</v>
      </c>
      <c r="N1665" s="1861"/>
    </row>
    <row r="1666" spans="1:14">
      <c r="A1666" s="1863"/>
      <c r="B1666" s="1864"/>
      <c r="C1666" s="1865"/>
      <c r="D1666" s="1866"/>
      <c r="E1666" s="1867"/>
      <c r="F1666" s="1868"/>
      <c r="G1666" s="1868"/>
      <c r="H1666" s="1868"/>
      <c r="I1666" s="1868"/>
      <c r="J1666" s="1868"/>
      <c r="K1666" s="1869"/>
      <c r="M1666" s="1885"/>
      <c r="N1666" s="1861"/>
    </row>
    <row r="1667" spans="1:14">
      <c r="B1667" s="1860"/>
      <c r="C1667" s="2133" t="s">
        <v>133</v>
      </c>
      <c r="D1667" s="2134"/>
      <c r="E1667" s="2135"/>
      <c r="F1667" s="2136"/>
      <c r="G1667" s="2137"/>
      <c r="H1667" s="2137"/>
      <c r="I1667" s="2137"/>
      <c r="J1667" s="2137"/>
      <c r="K1667" s="2137"/>
      <c r="M1667" s="1885"/>
      <c r="N1667" s="1861"/>
    </row>
    <row r="1668" spans="1:14">
      <c r="B1668" s="2138"/>
      <c r="C1668" s="2139" t="s">
        <v>1769</v>
      </c>
      <c r="D1668" s="2140"/>
      <c r="E1668" s="1861"/>
      <c r="F1668" s="2135"/>
      <c r="G1668" s="2139" t="s">
        <v>134</v>
      </c>
      <c r="H1668" s="2138"/>
      <c r="I1668" s="2138"/>
      <c r="J1668" s="2138"/>
      <c r="K1668" s="2138"/>
      <c r="M1668" s="1885"/>
      <c r="N1668" s="1861"/>
    </row>
    <row r="1669" spans="1:14">
      <c r="B1669" s="1871"/>
      <c r="C1669" s="2141" t="s">
        <v>1970</v>
      </c>
      <c r="D1669" s="2140"/>
      <c r="E1669" s="2142"/>
      <c r="F1669" s="2143"/>
      <c r="G1669" s="2144" t="s">
        <v>1971</v>
      </c>
      <c r="H1669" s="2145"/>
      <c r="I1669" s="2145"/>
      <c r="J1669" s="2145"/>
      <c r="K1669" s="2145"/>
      <c r="M1669" s="1885"/>
      <c r="N1669" s="1861"/>
    </row>
    <row r="1670" spans="1:14">
      <c r="A1670" s="1837"/>
      <c r="B1670" s="2138"/>
      <c r="C1670" s="2139" t="s">
        <v>2031</v>
      </c>
      <c r="D1670" s="2140"/>
      <c r="E1670" s="1837"/>
      <c r="F1670" s="2146"/>
      <c r="G1670" s="2139" t="s">
        <v>2031</v>
      </c>
      <c r="H1670" s="1837"/>
      <c r="I1670" s="1837"/>
      <c r="J1670" s="1837"/>
      <c r="K1670" s="1837"/>
      <c r="M1670" s="1885"/>
      <c r="N1670" s="1861"/>
    </row>
    <row r="1671" spans="1:14">
      <c r="A1671" s="1952"/>
      <c r="B1671" s="1871"/>
      <c r="C1671" s="2147" t="s">
        <v>1984</v>
      </c>
      <c r="D1671" s="2140"/>
      <c r="E1671" s="1837"/>
      <c r="F1671" s="2135"/>
      <c r="G1671" s="2147" t="s">
        <v>1985</v>
      </c>
      <c r="H1671" s="1952"/>
      <c r="I1671" s="1952"/>
      <c r="J1671" s="1952"/>
      <c r="K1671" s="1952"/>
      <c r="M1671" s="1885"/>
      <c r="N1671" s="1861"/>
    </row>
    <row r="1672" spans="1:14">
      <c r="A1672" s="1952"/>
      <c r="B1672" s="1952"/>
      <c r="C1672" s="2139" t="s">
        <v>670</v>
      </c>
      <c r="D1672" s="2139"/>
      <c r="E1672" s="2143"/>
      <c r="F1672" s="2143"/>
      <c r="G1672" s="1952"/>
      <c r="H1672" s="1952"/>
      <c r="I1672" s="1952"/>
      <c r="J1672" s="1952"/>
      <c r="K1672" s="1952"/>
      <c r="M1672" s="1885"/>
      <c r="N1672" s="1861"/>
    </row>
    <row r="1673" spans="1:14">
      <c r="C1673" s="2147" t="s">
        <v>1972</v>
      </c>
      <c r="D1673" s="2147"/>
      <c r="E1673" s="2146"/>
      <c r="F1673" s="2146"/>
      <c r="M1673" s="1885"/>
      <c r="N1673" s="1861"/>
    </row>
    <row r="1674" spans="1:14" s="1862" customFormat="1">
      <c r="A1674" s="1903"/>
      <c r="B1674" s="1904" t="s">
        <v>735</v>
      </c>
      <c r="C1674" s="1905" t="s">
        <v>1768</v>
      </c>
      <c r="D1674" s="1898">
        <v>413.1</v>
      </c>
      <c r="E1674" s="1899" t="s">
        <v>86</v>
      </c>
      <c r="F1674" s="1900">
        <v>754</v>
      </c>
      <c r="G1674" s="1900">
        <v>75</v>
      </c>
      <c r="H1674" s="1906">
        <f>+F1674*D1674</f>
        <v>311477.40000000002</v>
      </c>
      <c r="I1674" s="1906">
        <f>+G1674*D1674</f>
        <v>30982.5</v>
      </c>
      <c r="J1674" s="1906">
        <f>+H1674+I1674</f>
        <v>342459.9</v>
      </c>
      <c r="K1674" s="1907"/>
      <c r="L1674" s="1871"/>
      <c r="M1674" s="1885" t="s">
        <v>1872</v>
      </c>
    </row>
    <row r="1675" spans="1:14" s="1862" customFormat="1">
      <c r="A1675" s="1903"/>
      <c r="B1675" s="2052" t="s">
        <v>365</v>
      </c>
      <c r="C1675" s="2049"/>
      <c r="D1675" s="1898"/>
      <c r="E1675" s="1899"/>
      <c r="F1675" s="1900"/>
      <c r="G1675" s="1900"/>
      <c r="H1675" s="1906">
        <f t="shared" ref="H1675:H1704" si="238">+F1675*D1675</f>
        <v>0</v>
      </c>
      <c r="I1675" s="1906">
        <f t="shared" ref="I1675:I1704" si="239">+G1675*D1675</f>
        <v>0</v>
      </c>
      <c r="J1675" s="1906">
        <f t="shared" ref="J1675:J1704" si="240">+H1675+I1675</f>
        <v>0</v>
      </c>
      <c r="K1675" s="1907"/>
      <c r="L1675" s="1871"/>
      <c r="M1675" s="1885"/>
    </row>
    <row r="1676" spans="1:14" s="1862" customFormat="1" ht="48">
      <c r="A1676" s="1911"/>
      <c r="B1676" s="1912">
        <v>1</v>
      </c>
      <c r="C1676" s="1913" t="s">
        <v>736</v>
      </c>
      <c r="D1676" s="1914">
        <v>404.6</v>
      </c>
      <c r="E1676" s="1915" t="s">
        <v>86</v>
      </c>
      <c r="F1676" s="1916">
        <v>165</v>
      </c>
      <c r="G1676" s="1916">
        <v>240</v>
      </c>
      <c r="H1676" s="1916">
        <f t="shared" si="238"/>
        <v>66759</v>
      </c>
      <c r="I1676" s="1916">
        <f t="shared" si="239"/>
        <v>97104</v>
      </c>
      <c r="J1676" s="1916">
        <f t="shared" si="240"/>
        <v>163863</v>
      </c>
      <c r="K1676" s="1917"/>
      <c r="L1676" s="2048"/>
      <c r="M1676" s="1918" t="s">
        <v>1076</v>
      </c>
      <c r="N1676" s="1852"/>
    </row>
    <row r="1677" spans="1:14" s="1862" customFormat="1">
      <c r="A1677" s="1911"/>
      <c r="B1677" s="1912">
        <v>2</v>
      </c>
      <c r="C1677" s="1913" t="s">
        <v>738</v>
      </c>
      <c r="D1677" s="1920">
        <v>343.5</v>
      </c>
      <c r="E1677" s="1921" t="s">
        <v>86</v>
      </c>
      <c r="F1677" s="1922">
        <v>155</v>
      </c>
      <c r="G1677" s="1922">
        <v>155</v>
      </c>
      <c r="H1677" s="1916">
        <f t="shared" si="238"/>
        <v>53242.5</v>
      </c>
      <c r="I1677" s="1916">
        <f t="shared" si="239"/>
        <v>53242.5</v>
      </c>
      <c r="J1677" s="1916">
        <f t="shared" si="240"/>
        <v>106485</v>
      </c>
      <c r="K1677" s="1917"/>
      <c r="L1677" s="2048"/>
      <c r="M1677" s="1918" t="s">
        <v>1076</v>
      </c>
      <c r="N1677" s="1852"/>
    </row>
    <row r="1678" spans="1:14" s="1862" customFormat="1" ht="48">
      <c r="A1678" s="1911"/>
      <c r="B1678" s="1912">
        <v>5</v>
      </c>
      <c r="C1678" s="1913" t="s">
        <v>739</v>
      </c>
      <c r="D1678" s="1920">
        <v>338.2</v>
      </c>
      <c r="E1678" s="1921" t="s">
        <v>86</v>
      </c>
      <c r="F1678" s="1922">
        <v>165</v>
      </c>
      <c r="G1678" s="1922">
        <v>240</v>
      </c>
      <c r="H1678" s="1916">
        <f t="shared" si="238"/>
        <v>55803</v>
      </c>
      <c r="I1678" s="1916">
        <f t="shared" si="239"/>
        <v>81168</v>
      </c>
      <c r="J1678" s="1916">
        <f t="shared" si="240"/>
        <v>136971</v>
      </c>
      <c r="K1678" s="1917"/>
      <c r="L1678" s="2048"/>
      <c r="M1678" s="1918" t="s">
        <v>1076</v>
      </c>
      <c r="N1678" s="1852"/>
    </row>
    <row r="1679" spans="1:14" s="1862" customFormat="1" ht="48">
      <c r="A1679" s="1911"/>
      <c r="B1679" s="1912">
        <v>6</v>
      </c>
      <c r="C1679" s="1913" t="s">
        <v>740</v>
      </c>
      <c r="D1679" s="1920">
        <v>187.5</v>
      </c>
      <c r="E1679" s="1921" t="s">
        <v>86</v>
      </c>
      <c r="F1679" s="1922">
        <v>285</v>
      </c>
      <c r="G1679" s="1922">
        <v>240</v>
      </c>
      <c r="H1679" s="1916">
        <f t="shared" si="238"/>
        <v>53437.5</v>
      </c>
      <c r="I1679" s="1916">
        <f t="shared" si="239"/>
        <v>45000</v>
      </c>
      <c r="J1679" s="1916">
        <f t="shared" si="240"/>
        <v>98437.5</v>
      </c>
      <c r="K1679" s="1917"/>
      <c r="L1679" s="2048"/>
      <c r="M1679" s="1918" t="s">
        <v>1076</v>
      </c>
    </row>
    <row r="1680" spans="1:14">
      <c r="A1680" s="1903"/>
      <c r="B1680" s="1904">
        <v>7</v>
      </c>
      <c r="C1680" s="1905" t="s">
        <v>372</v>
      </c>
      <c r="D1680" s="1898">
        <v>165.6</v>
      </c>
      <c r="E1680" s="1899" t="s">
        <v>86</v>
      </c>
      <c r="F1680" s="1900">
        <v>151</v>
      </c>
      <c r="G1680" s="1900">
        <v>92</v>
      </c>
      <c r="H1680" s="1906">
        <f t="shared" si="238"/>
        <v>25005.599999999999</v>
      </c>
      <c r="I1680" s="1906">
        <f t="shared" si="239"/>
        <v>15235.199999999999</v>
      </c>
      <c r="J1680" s="1906">
        <f t="shared" si="240"/>
        <v>40240.799999999996</v>
      </c>
      <c r="K1680" s="1907"/>
      <c r="M1680" s="1885" t="s">
        <v>1879</v>
      </c>
      <c r="N1680" s="1861"/>
    </row>
    <row r="1681" spans="1:14">
      <c r="A1681" s="1903"/>
      <c r="B1681" s="1904">
        <v>10</v>
      </c>
      <c r="C1681" s="1905" t="s">
        <v>1747</v>
      </c>
      <c r="D1681" s="1898">
        <v>350.6</v>
      </c>
      <c r="E1681" s="1899" t="s">
        <v>86</v>
      </c>
      <c r="F1681" s="1900">
        <v>75</v>
      </c>
      <c r="G1681" s="1900">
        <v>87</v>
      </c>
      <c r="H1681" s="1906">
        <f t="shared" si="238"/>
        <v>26295</v>
      </c>
      <c r="I1681" s="1906">
        <f t="shared" si="239"/>
        <v>30502.2</v>
      </c>
      <c r="J1681" s="1906">
        <f t="shared" si="240"/>
        <v>56797.2</v>
      </c>
      <c r="K1681" s="1907"/>
      <c r="M1681" s="1885" t="s">
        <v>1879</v>
      </c>
      <c r="N1681" s="1861"/>
    </row>
    <row r="1682" spans="1:14">
      <c r="A1682" s="1903"/>
      <c r="B1682" s="1904">
        <v>11</v>
      </c>
      <c r="C1682" s="1905" t="s">
        <v>1747</v>
      </c>
      <c r="D1682" s="1898">
        <v>225.3</v>
      </c>
      <c r="E1682" s="1899" t="s">
        <v>86</v>
      </c>
      <c r="F1682" s="1900">
        <v>75</v>
      </c>
      <c r="G1682" s="1900">
        <v>87</v>
      </c>
      <c r="H1682" s="1906">
        <f t="shared" si="238"/>
        <v>16897.5</v>
      </c>
      <c r="I1682" s="1906">
        <f t="shared" si="239"/>
        <v>19601.100000000002</v>
      </c>
      <c r="J1682" s="1906">
        <f t="shared" si="240"/>
        <v>36498.600000000006</v>
      </c>
      <c r="K1682" s="1907"/>
      <c r="M1682" s="1885" t="s">
        <v>1879</v>
      </c>
      <c r="N1682" s="1861"/>
    </row>
    <row r="1683" spans="1:14">
      <c r="A1683" s="1903"/>
      <c r="B1683" s="1904">
        <v>12</v>
      </c>
      <c r="C1683" s="1905" t="s">
        <v>742</v>
      </c>
      <c r="D1683" s="1898">
        <v>73.3</v>
      </c>
      <c r="E1683" s="1899" t="s">
        <v>86</v>
      </c>
      <c r="F1683" s="1900">
        <v>1111</v>
      </c>
      <c r="G1683" s="1900">
        <v>164</v>
      </c>
      <c r="H1683" s="1906">
        <f>+F1683*D1683</f>
        <v>81436.3</v>
      </c>
      <c r="I1683" s="1906">
        <f>+G1683*D1683</f>
        <v>12021.199999999999</v>
      </c>
      <c r="J1683" s="1906">
        <f>+H1683+I1683</f>
        <v>93457.5</v>
      </c>
      <c r="K1683" s="1907"/>
      <c r="L1683" s="1907" t="s">
        <v>1938</v>
      </c>
      <c r="M1683" s="2018" t="s">
        <v>1898</v>
      </c>
    </row>
    <row r="1684" spans="1:14">
      <c r="A1684" s="1903"/>
      <c r="B1684" s="1904" t="s">
        <v>620</v>
      </c>
      <c r="C1684" s="1905" t="s">
        <v>1008</v>
      </c>
      <c r="D1684" s="1909">
        <v>520.79999999999995</v>
      </c>
      <c r="E1684" s="1910" t="s">
        <v>84</v>
      </c>
      <c r="F1684" s="1906">
        <v>79</v>
      </c>
      <c r="G1684" s="1906">
        <v>46</v>
      </c>
      <c r="H1684" s="1906">
        <f t="shared" si="238"/>
        <v>41143.199999999997</v>
      </c>
      <c r="I1684" s="1906">
        <f t="shared" si="239"/>
        <v>23956.799999999999</v>
      </c>
      <c r="J1684" s="1906">
        <f t="shared" si="240"/>
        <v>65100</v>
      </c>
      <c r="K1684" s="1907"/>
      <c r="M1684" s="1885" t="s">
        <v>1879</v>
      </c>
      <c r="N1684" s="1861"/>
    </row>
    <row r="1685" spans="1:14">
      <c r="A1685" s="1903"/>
      <c r="B1685" s="1904" t="s">
        <v>621</v>
      </c>
      <c r="C1685" s="1905" t="s">
        <v>1009</v>
      </c>
      <c r="D1685" s="1909">
        <v>383.7</v>
      </c>
      <c r="E1685" s="1910" t="s">
        <v>84</v>
      </c>
      <c r="F1685" s="1906">
        <v>120</v>
      </c>
      <c r="G1685" s="1906">
        <v>64</v>
      </c>
      <c r="H1685" s="1906">
        <f t="shared" si="238"/>
        <v>46044</v>
      </c>
      <c r="I1685" s="1906">
        <f t="shared" si="239"/>
        <v>24556.799999999999</v>
      </c>
      <c r="J1685" s="1906">
        <f t="shared" si="240"/>
        <v>70600.800000000003</v>
      </c>
      <c r="K1685" s="1907"/>
      <c r="M1685" s="1885" t="s">
        <v>1879</v>
      </c>
      <c r="N1685" s="1861"/>
    </row>
    <row r="1686" spans="1:14">
      <c r="A1686" s="2000"/>
      <c r="B1686" s="2004" t="s">
        <v>1007</v>
      </c>
      <c r="C1686" s="2005" t="s">
        <v>1010</v>
      </c>
      <c r="D1686" s="1956">
        <v>35.9</v>
      </c>
      <c r="E1686" s="1910" t="s">
        <v>84</v>
      </c>
      <c r="F1686" s="1906">
        <v>120</v>
      </c>
      <c r="G1686" s="1906">
        <v>81</v>
      </c>
      <c r="H1686" s="2007">
        <f t="shared" si="238"/>
        <v>4308</v>
      </c>
      <c r="I1686" s="2007">
        <f t="shared" si="239"/>
        <v>2907.9</v>
      </c>
      <c r="J1686" s="2007">
        <f t="shared" si="240"/>
        <v>7215.9</v>
      </c>
      <c r="K1686" s="1908"/>
      <c r="M1686" s="1885" t="s">
        <v>1879</v>
      </c>
      <c r="N1686" s="1861"/>
    </row>
    <row r="1687" spans="1:14">
      <c r="A1687" s="1903"/>
      <c r="B1687" s="1904"/>
      <c r="C1687" s="1905" t="s">
        <v>1078</v>
      </c>
      <c r="D1687" s="1909">
        <v>29</v>
      </c>
      <c r="E1687" s="1910" t="s">
        <v>113</v>
      </c>
      <c r="F1687" s="1906">
        <v>0</v>
      </c>
      <c r="G1687" s="1900">
        <v>15</v>
      </c>
      <c r="H1687" s="1906">
        <f t="shared" si="238"/>
        <v>0</v>
      </c>
      <c r="I1687" s="1906">
        <f t="shared" si="239"/>
        <v>435</v>
      </c>
      <c r="J1687" s="1906">
        <f t="shared" si="240"/>
        <v>435</v>
      </c>
      <c r="K1687" s="1907"/>
      <c r="M1687" s="1885" t="s">
        <v>1015</v>
      </c>
      <c r="N1687" s="1861"/>
    </row>
    <row r="1688" spans="1:14">
      <c r="A1688" s="1903"/>
      <c r="B1688" s="2386" t="s">
        <v>205</v>
      </c>
      <c r="C1688" s="2386"/>
      <c r="D1688" s="1909"/>
      <c r="E1688" s="1910"/>
      <c r="F1688" s="1906"/>
      <c r="G1688" s="1906"/>
      <c r="H1688" s="1906"/>
      <c r="I1688" s="1906"/>
      <c r="J1688" s="1906"/>
      <c r="K1688" s="1907"/>
    </row>
    <row r="1689" spans="1:14">
      <c r="A1689" s="1926"/>
      <c r="B1689" s="1927" t="s">
        <v>941</v>
      </c>
      <c r="C1689" s="1928" t="s">
        <v>1066</v>
      </c>
      <c r="D1689" s="1929">
        <v>330.3</v>
      </c>
      <c r="E1689" s="1926" t="s">
        <v>86</v>
      </c>
      <c r="F1689" s="1930">
        <v>35</v>
      </c>
      <c r="G1689" s="1930">
        <v>30</v>
      </c>
      <c r="H1689" s="1930">
        <f>F1689*D1689</f>
        <v>11560.5</v>
      </c>
      <c r="I1689" s="1930">
        <f>G1689*D1689</f>
        <v>9909</v>
      </c>
      <c r="J1689" s="1931">
        <f>H1689+I1689</f>
        <v>21469.5</v>
      </c>
      <c r="K1689" s="1931"/>
      <c r="L1689" s="2155"/>
      <c r="M1689" s="1885" t="s">
        <v>1879</v>
      </c>
      <c r="N1689" s="1861"/>
    </row>
    <row r="1690" spans="1:14">
      <c r="A1690" s="1926"/>
      <c r="B1690" s="1927" t="s">
        <v>942</v>
      </c>
      <c r="C1690" s="1928" t="s">
        <v>1067</v>
      </c>
      <c r="D1690" s="1929">
        <v>222</v>
      </c>
      <c r="E1690" s="1926" t="s">
        <v>86</v>
      </c>
      <c r="F1690" s="1930">
        <v>44</v>
      </c>
      <c r="G1690" s="1930">
        <v>34</v>
      </c>
      <c r="H1690" s="1930">
        <f>F1690*D1690</f>
        <v>9768</v>
      </c>
      <c r="I1690" s="1930">
        <f>G1690*D1690</f>
        <v>7548</v>
      </c>
      <c r="J1690" s="1931">
        <f>H1690+I1690</f>
        <v>17316</v>
      </c>
      <c r="K1690" s="1931"/>
      <c r="L1690" s="2155"/>
      <c r="M1690" s="1885" t="s">
        <v>1879</v>
      </c>
      <c r="N1690" s="1861"/>
    </row>
    <row r="1691" spans="1:14" s="1873" customFormat="1" ht="48">
      <c r="A1691" s="1938"/>
      <c r="B1691" s="1939" t="s">
        <v>945</v>
      </c>
      <c r="C1691" s="1940" t="s">
        <v>1070</v>
      </c>
      <c r="D1691" s="1941">
        <v>32.700000000000003</v>
      </c>
      <c r="E1691" s="1938" t="s">
        <v>86</v>
      </c>
      <c r="F1691" s="1948">
        <v>33</v>
      </c>
      <c r="G1691" s="1948">
        <v>30</v>
      </c>
      <c r="H1691" s="1942">
        <f>F1691*D1691</f>
        <v>1079.1000000000001</v>
      </c>
      <c r="I1691" s="1942">
        <f>G1691*D1691</f>
        <v>981.00000000000011</v>
      </c>
      <c r="J1691" s="1943">
        <f>H1691+I1691</f>
        <v>2060.1000000000004</v>
      </c>
      <c r="K1691" s="1943"/>
      <c r="L1691" s="2156"/>
      <c r="M1691" s="1918" t="s">
        <v>1879</v>
      </c>
    </row>
    <row r="1692" spans="1:14" s="1872" customFormat="1">
      <c r="A1692" s="1926"/>
      <c r="B1692" s="1927" t="s">
        <v>946</v>
      </c>
      <c r="C1692" s="1928" t="s">
        <v>1071</v>
      </c>
      <c r="D1692" s="1929">
        <v>163.5</v>
      </c>
      <c r="E1692" s="1926" t="s">
        <v>86</v>
      </c>
      <c r="F1692" s="1930">
        <v>58</v>
      </c>
      <c r="G1692" s="1930">
        <v>35</v>
      </c>
      <c r="H1692" s="1930">
        <f>F1692*D1692</f>
        <v>9483</v>
      </c>
      <c r="I1692" s="1930">
        <f>G1692*D1692</f>
        <v>5722.5</v>
      </c>
      <c r="J1692" s="1931">
        <f>H1692+I1692</f>
        <v>15205.5</v>
      </c>
      <c r="K1692" s="1931"/>
      <c r="L1692" s="2155"/>
      <c r="M1692" s="1885" t="s">
        <v>1879</v>
      </c>
    </row>
    <row r="1693" spans="1:14" s="1872" customFormat="1">
      <c r="A1693" s="2072"/>
      <c r="B1693" s="2073"/>
      <c r="C1693" s="2074"/>
      <c r="D1693" s="2075"/>
      <c r="E1693" s="2072"/>
      <c r="F1693" s="1950"/>
      <c r="G1693" s="1950"/>
      <c r="H1693" s="1950"/>
      <c r="I1693" s="1950"/>
      <c r="J1693" s="2076"/>
      <c r="K1693" s="2076"/>
      <c r="L1693" s="2155"/>
      <c r="M1693" s="1885"/>
    </row>
    <row r="1694" spans="1:14" s="1872" customFormat="1">
      <c r="A1694" s="1840"/>
      <c r="B1694" s="1860"/>
      <c r="C1694" s="2133" t="s">
        <v>133</v>
      </c>
      <c r="D1694" s="2134"/>
      <c r="E1694" s="2135"/>
      <c r="F1694" s="2136"/>
      <c r="G1694" s="2137"/>
      <c r="H1694" s="2137"/>
      <c r="I1694" s="2137"/>
      <c r="J1694" s="2137"/>
      <c r="K1694" s="2137"/>
      <c r="L1694" s="2155"/>
      <c r="M1694" s="1885"/>
    </row>
    <row r="1695" spans="1:14" s="1872" customFormat="1">
      <c r="A1695" s="1840"/>
      <c r="B1695" s="2138"/>
      <c r="C1695" s="2139" t="s">
        <v>1769</v>
      </c>
      <c r="D1695" s="2140"/>
      <c r="E1695" s="1861"/>
      <c r="F1695" s="2135"/>
      <c r="G1695" s="2139" t="s">
        <v>134</v>
      </c>
      <c r="H1695" s="2138"/>
      <c r="I1695" s="2138"/>
      <c r="J1695" s="2138"/>
      <c r="K1695" s="2138"/>
      <c r="L1695" s="2155"/>
      <c r="M1695" s="1885"/>
    </row>
    <row r="1696" spans="1:14" s="1872" customFormat="1">
      <c r="A1696" s="1840"/>
      <c r="B1696" s="1871"/>
      <c r="C1696" s="2141" t="s">
        <v>1970</v>
      </c>
      <c r="D1696" s="2140"/>
      <c r="E1696" s="2142"/>
      <c r="F1696" s="2143"/>
      <c r="G1696" s="2144" t="s">
        <v>1971</v>
      </c>
      <c r="H1696" s="2145"/>
      <c r="I1696" s="2145"/>
      <c r="J1696" s="2145"/>
      <c r="K1696" s="2145"/>
      <c r="L1696" s="2155"/>
      <c r="M1696" s="1885"/>
    </row>
    <row r="1697" spans="1:13" s="1872" customFormat="1">
      <c r="A1697" s="1837"/>
      <c r="B1697" s="2138"/>
      <c r="C1697" s="2139" t="s">
        <v>2031</v>
      </c>
      <c r="D1697" s="2140"/>
      <c r="E1697" s="1837"/>
      <c r="F1697" s="2146"/>
      <c r="G1697" s="2139" t="s">
        <v>2031</v>
      </c>
      <c r="H1697" s="1837"/>
      <c r="I1697" s="1837"/>
      <c r="J1697" s="1837"/>
      <c r="K1697" s="1837"/>
      <c r="L1697" s="2155"/>
      <c r="M1697" s="1885"/>
    </row>
    <row r="1698" spans="1:13" s="1872" customFormat="1">
      <c r="A1698" s="1952"/>
      <c r="B1698" s="1871"/>
      <c r="C1698" s="2147" t="s">
        <v>1984</v>
      </c>
      <c r="D1698" s="2140"/>
      <c r="E1698" s="1837"/>
      <c r="F1698" s="2135"/>
      <c r="G1698" s="2147" t="s">
        <v>1985</v>
      </c>
      <c r="H1698" s="1952"/>
      <c r="I1698" s="1952"/>
      <c r="J1698" s="1952"/>
      <c r="K1698" s="1952"/>
      <c r="L1698" s="2155"/>
      <c r="M1698" s="1885"/>
    </row>
    <row r="1699" spans="1:13" s="1872" customFormat="1">
      <c r="A1699" s="1952"/>
      <c r="B1699" s="1952"/>
      <c r="C1699" s="2139" t="s">
        <v>670</v>
      </c>
      <c r="D1699" s="2139"/>
      <c r="E1699" s="2143"/>
      <c r="F1699" s="2143"/>
      <c r="G1699" s="1952"/>
      <c r="H1699" s="1952"/>
      <c r="I1699" s="1952"/>
      <c r="J1699" s="1952"/>
      <c r="K1699" s="1952"/>
      <c r="L1699" s="2155"/>
      <c r="M1699" s="1885"/>
    </row>
    <row r="1700" spans="1:13" s="1872" customFormat="1">
      <c r="A1700" s="1840"/>
      <c r="B1700" s="1840"/>
      <c r="C1700" s="2147" t="s">
        <v>1972</v>
      </c>
      <c r="D1700" s="2147"/>
      <c r="E1700" s="2146"/>
      <c r="F1700" s="2146"/>
      <c r="G1700" s="1870"/>
      <c r="H1700" s="1870"/>
      <c r="I1700" s="1870"/>
      <c r="J1700" s="1870"/>
      <c r="K1700" s="1871"/>
      <c r="L1700" s="2155"/>
      <c r="M1700" s="1885"/>
    </row>
    <row r="1701" spans="1:13" s="1872" customFormat="1">
      <c r="A1701" s="2072"/>
      <c r="B1701" s="2073" t="s">
        <v>1102</v>
      </c>
      <c r="C1701" s="2074" t="s">
        <v>1103</v>
      </c>
      <c r="D1701" s="2075">
        <v>10.199999999999999</v>
      </c>
      <c r="E1701" s="2072" t="s">
        <v>86</v>
      </c>
      <c r="F1701" s="1950">
        <v>471</v>
      </c>
      <c r="G1701" s="1950">
        <v>30</v>
      </c>
      <c r="H1701" s="1950">
        <f>F1701*D1701</f>
        <v>4804.2</v>
      </c>
      <c r="I1701" s="1950">
        <f>G1701*D1701</f>
        <v>306</v>
      </c>
      <c r="J1701" s="2076">
        <f>H1701+I1701</f>
        <v>5110.2</v>
      </c>
      <c r="K1701" s="2076"/>
      <c r="L1701" s="2155"/>
      <c r="M1701" s="1885" t="s">
        <v>1879</v>
      </c>
    </row>
    <row r="1702" spans="1:13" s="1872" customFormat="1">
      <c r="A1702" s="1903"/>
      <c r="B1702" s="2386" t="s">
        <v>204</v>
      </c>
      <c r="C1702" s="2386"/>
      <c r="D1702" s="1909"/>
      <c r="E1702" s="1910"/>
      <c r="F1702" s="1906"/>
      <c r="G1702" s="1906"/>
      <c r="H1702" s="1906">
        <f t="shared" si="238"/>
        <v>0</v>
      </c>
      <c r="I1702" s="1906">
        <f t="shared" si="239"/>
        <v>0</v>
      </c>
      <c r="J1702" s="1906">
        <f t="shared" si="240"/>
        <v>0</v>
      </c>
      <c r="K1702" s="1907"/>
      <c r="L1702" s="1871"/>
      <c r="M1702" s="1951"/>
    </row>
    <row r="1703" spans="1:13" s="1872" customFormat="1">
      <c r="A1703" s="1903"/>
      <c r="B1703" s="1904" t="s">
        <v>197</v>
      </c>
      <c r="C1703" s="1905" t="s">
        <v>937</v>
      </c>
      <c r="D1703" s="1909">
        <v>193.7</v>
      </c>
      <c r="E1703" s="1910" t="s">
        <v>86</v>
      </c>
      <c r="F1703" s="1906">
        <v>177</v>
      </c>
      <c r="G1703" s="1906">
        <v>134</v>
      </c>
      <c r="H1703" s="1906">
        <f t="shared" si="238"/>
        <v>34284.9</v>
      </c>
      <c r="I1703" s="1906">
        <f t="shared" si="239"/>
        <v>25955.8</v>
      </c>
      <c r="J1703" s="1906">
        <f t="shared" si="240"/>
        <v>60240.7</v>
      </c>
      <c r="K1703" s="1907"/>
      <c r="L1703" s="1871"/>
      <c r="M1703" s="1885" t="s">
        <v>1879</v>
      </c>
    </row>
    <row r="1704" spans="1:13" s="1853" customFormat="1">
      <c r="A1704" s="1903"/>
      <c r="B1704" s="1904" t="s">
        <v>373</v>
      </c>
      <c r="C1704" s="1905" t="s">
        <v>938</v>
      </c>
      <c r="D1704" s="1909">
        <v>32.700000000000003</v>
      </c>
      <c r="E1704" s="1910" t="s">
        <v>86</v>
      </c>
      <c r="F1704" s="1906">
        <v>100</v>
      </c>
      <c r="G1704" s="1906">
        <v>82</v>
      </c>
      <c r="H1704" s="1906">
        <f t="shared" si="238"/>
        <v>3270.0000000000005</v>
      </c>
      <c r="I1704" s="1906">
        <f t="shared" si="239"/>
        <v>2681.4</v>
      </c>
      <c r="J1704" s="1906">
        <f t="shared" si="240"/>
        <v>5951.4000000000005</v>
      </c>
      <c r="K1704" s="1907"/>
      <c r="L1704" s="1871"/>
      <c r="M1704" s="1885" t="s">
        <v>1879</v>
      </c>
    </row>
    <row r="1705" spans="1:13" s="1853" customFormat="1">
      <c r="A1705" s="1903"/>
      <c r="B1705" s="1904" t="s">
        <v>374</v>
      </c>
      <c r="C1705" s="1905" t="s">
        <v>1236</v>
      </c>
      <c r="D1705" s="1909">
        <v>47</v>
      </c>
      <c r="E1705" s="1910" t="s">
        <v>86</v>
      </c>
      <c r="F1705" s="1906">
        <v>298</v>
      </c>
      <c r="G1705" s="1906">
        <v>75</v>
      </c>
      <c r="H1705" s="1906">
        <f>+F1705*D1705</f>
        <v>14006</v>
      </c>
      <c r="I1705" s="1906">
        <f>+G1705*D1705</f>
        <v>3525</v>
      </c>
      <c r="J1705" s="1906">
        <f>+H1705+I1705</f>
        <v>17531</v>
      </c>
      <c r="K1705" s="1907"/>
      <c r="L1705" s="1871"/>
      <c r="M1705" s="1885" t="s">
        <v>1879</v>
      </c>
    </row>
    <row r="1706" spans="1:13" s="1853" customFormat="1">
      <c r="A1706" s="1903"/>
      <c r="B1706" s="1904"/>
      <c r="C1706" s="1905" t="s">
        <v>1199</v>
      </c>
      <c r="D1706" s="1909">
        <v>2</v>
      </c>
      <c r="E1706" s="1910" t="s">
        <v>5</v>
      </c>
      <c r="F1706" s="1906">
        <v>500</v>
      </c>
      <c r="G1706" s="1906">
        <v>100</v>
      </c>
      <c r="H1706" s="1906">
        <f>+F1706*D1706</f>
        <v>1000</v>
      </c>
      <c r="I1706" s="1906">
        <f>+G1706*D1706</f>
        <v>200</v>
      </c>
      <c r="J1706" s="1906">
        <f>+H1706+I1706</f>
        <v>1200</v>
      </c>
      <c r="K1706" s="1907"/>
      <c r="L1706" s="1871"/>
      <c r="M1706" s="1885" t="s">
        <v>1879</v>
      </c>
    </row>
    <row r="1707" spans="1:13" s="1853" customFormat="1">
      <c r="A1707" s="1903"/>
      <c r="B1707" s="2064" t="s">
        <v>202</v>
      </c>
      <c r="C1707" s="1905"/>
      <c r="D1707" s="1909"/>
      <c r="E1707" s="1910"/>
      <c r="F1707" s="1906"/>
      <c r="G1707" s="1906"/>
      <c r="H1707" s="1906"/>
      <c r="I1707" s="1906"/>
      <c r="J1707" s="1906"/>
      <c r="K1707" s="1907"/>
      <c r="L1707" s="1871"/>
      <c r="M1707" s="1885"/>
    </row>
    <row r="1708" spans="1:13" s="1853" customFormat="1">
      <c r="A1708" s="1903"/>
      <c r="B1708" s="2386" t="s">
        <v>110</v>
      </c>
      <c r="C1708" s="2386"/>
      <c r="D1708" s="1909"/>
      <c r="E1708" s="1910"/>
      <c r="F1708" s="1906"/>
      <c r="G1708" s="1906"/>
      <c r="H1708" s="1906"/>
      <c r="I1708" s="1906"/>
      <c r="J1708" s="2077"/>
      <c r="K1708" s="1907"/>
      <c r="L1708" s="1871"/>
      <c r="M1708" s="1902"/>
    </row>
    <row r="1709" spans="1:13" s="1853" customFormat="1">
      <c r="A1709" s="1903"/>
      <c r="B1709" s="1904" t="s">
        <v>888</v>
      </c>
      <c r="C1709" s="1905" t="s">
        <v>892</v>
      </c>
      <c r="D1709" s="1909">
        <v>3</v>
      </c>
      <c r="E1709" s="1910" t="s">
        <v>5</v>
      </c>
      <c r="F1709" s="1906">
        <v>21891</v>
      </c>
      <c r="G1709" s="1906">
        <v>450</v>
      </c>
      <c r="H1709" s="1906">
        <f>+F1709*D1709</f>
        <v>65673</v>
      </c>
      <c r="I1709" s="1906">
        <f>+G1709*D1709</f>
        <v>1350</v>
      </c>
      <c r="J1709" s="2077">
        <f>+H1709+I1709</f>
        <v>67023</v>
      </c>
      <c r="K1709" s="1907"/>
      <c r="L1709" s="1871"/>
      <c r="M1709" s="1952" t="s">
        <v>1926</v>
      </c>
    </row>
    <row r="1710" spans="1:13">
      <c r="A1710" s="1903"/>
      <c r="B1710" s="1904" t="s">
        <v>612</v>
      </c>
      <c r="C1710" s="1905" t="s">
        <v>893</v>
      </c>
      <c r="D1710" s="1909">
        <v>1</v>
      </c>
      <c r="E1710" s="1910" t="s">
        <v>5</v>
      </c>
      <c r="F1710" s="1900">
        <v>12306</v>
      </c>
      <c r="G1710" s="1900">
        <v>450</v>
      </c>
      <c r="H1710" s="1906">
        <f>+F1710*D1710</f>
        <v>12306</v>
      </c>
      <c r="I1710" s="1906">
        <f>+G1710*D1710</f>
        <v>450</v>
      </c>
      <c r="J1710" s="2077">
        <f>+H1710+I1710</f>
        <v>12756</v>
      </c>
      <c r="K1710" s="1907"/>
      <c r="M1710" s="1952" t="s">
        <v>1926</v>
      </c>
    </row>
    <row r="1711" spans="1:13">
      <c r="A1711" s="1903"/>
      <c r="B1711" s="1904" t="s">
        <v>604</v>
      </c>
      <c r="C1711" s="1905" t="s">
        <v>990</v>
      </c>
      <c r="D1711" s="1909">
        <v>5</v>
      </c>
      <c r="E1711" s="1910" t="s">
        <v>5</v>
      </c>
      <c r="F1711" s="1900">
        <v>22000</v>
      </c>
      <c r="G1711" s="1900">
        <f>F1711*0.3</f>
        <v>6600</v>
      </c>
      <c r="H1711" s="1906">
        <f>+F1711*D1711</f>
        <v>110000</v>
      </c>
      <c r="I1711" s="1906">
        <f>+G1711*D1711</f>
        <v>33000</v>
      </c>
      <c r="J1711" s="2077">
        <f>+H1711+I1711</f>
        <v>143000</v>
      </c>
      <c r="K1711" s="1907"/>
      <c r="L1711" s="1907" t="s">
        <v>1968</v>
      </c>
      <c r="M1711" s="1952" t="s">
        <v>622</v>
      </c>
    </row>
    <row r="1712" spans="1:13" s="1874" customFormat="1">
      <c r="A1712" s="1903"/>
      <c r="B1712" s="1904" t="s">
        <v>935</v>
      </c>
      <c r="C1712" s="1905" t="s">
        <v>892</v>
      </c>
      <c r="D1712" s="1909">
        <v>1</v>
      </c>
      <c r="E1712" s="1910" t="s">
        <v>5</v>
      </c>
      <c r="F1712" s="1906">
        <v>20251</v>
      </c>
      <c r="G1712" s="1906">
        <v>450</v>
      </c>
      <c r="H1712" s="1906">
        <f>+F1712*D1712</f>
        <v>20251</v>
      </c>
      <c r="I1712" s="1906">
        <f>+G1712*D1712</f>
        <v>450</v>
      </c>
      <c r="J1712" s="2077">
        <f>+H1712+I1712</f>
        <v>20701</v>
      </c>
      <c r="K1712" s="1907"/>
      <c r="L1712" s="1901"/>
      <c r="M1712" s="1902" t="s">
        <v>1926</v>
      </c>
    </row>
    <row r="1713" spans="1:13">
      <c r="A1713" s="1903"/>
      <c r="B1713" s="2386" t="s">
        <v>111</v>
      </c>
      <c r="C1713" s="2386"/>
      <c r="D1713" s="1898"/>
      <c r="E1713" s="1899"/>
      <c r="F1713" s="1900"/>
      <c r="G1713" s="1900"/>
      <c r="H1713" s="1906"/>
      <c r="I1713" s="1906"/>
      <c r="J1713" s="2077"/>
      <c r="K1713" s="1907"/>
      <c r="L1713" s="1907"/>
    </row>
    <row r="1714" spans="1:13">
      <c r="A1714" s="1903"/>
      <c r="B1714" s="1904" t="s">
        <v>908</v>
      </c>
      <c r="C1714" s="1905" t="s">
        <v>899</v>
      </c>
      <c r="D1714" s="1909">
        <v>1</v>
      </c>
      <c r="E1714" s="1910" t="s">
        <v>5</v>
      </c>
      <c r="F1714" s="1906">
        <v>28900</v>
      </c>
      <c r="G1714" s="1906">
        <f>F1714*0.3</f>
        <v>8670</v>
      </c>
      <c r="H1714" s="1906">
        <f>+F1714*D1714</f>
        <v>28900</v>
      </c>
      <c r="I1714" s="1906">
        <f>+G1714*D1714</f>
        <v>8670</v>
      </c>
      <c r="J1714" s="2077">
        <f>+H1714+I1714</f>
        <v>37570</v>
      </c>
      <c r="K1714" s="1907"/>
      <c r="L1714" s="1907" t="s">
        <v>1935</v>
      </c>
      <c r="M1714" s="1952" t="s">
        <v>622</v>
      </c>
    </row>
    <row r="1715" spans="1:13" s="1874" customFormat="1">
      <c r="A1715" s="1903"/>
      <c r="B1715" s="1904" t="s">
        <v>7</v>
      </c>
      <c r="C1715" s="1905" t="s">
        <v>900</v>
      </c>
      <c r="D1715" s="1909">
        <v>1</v>
      </c>
      <c r="E1715" s="1910" t="s">
        <v>5</v>
      </c>
      <c r="F1715" s="1906">
        <v>6600</v>
      </c>
      <c r="G1715" s="1906">
        <f>F1715*0.3</f>
        <v>1980</v>
      </c>
      <c r="H1715" s="1906">
        <f>+F1715*D1715</f>
        <v>6600</v>
      </c>
      <c r="I1715" s="1906">
        <f>+G1715*D1715</f>
        <v>1980</v>
      </c>
      <c r="J1715" s="2077">
        <f>+H1715+I1715</f>
        <v>8580</v>
      </c>
      <c r="K1715" s="1907"/>
      <c r="L1715" s="1907" t="s">
        <v>1935</v>
      </c>
      <c r="M1715" s="1952" t="s">
        <v>622</v>
      </c>
    </row>
    <row r="1716" spans="1:13" s="1874" customFormat="1">
      <c r="A1716" s="1903"/>
      <c r="B1716" s="1904" t="s">
        <v>897</v>
      </c>
      <c r="C1716" s="1905" t="s">
        <v>901</v>
      </c>
      <c r="D1716" s="1909">
        <v>2</v>
      </c>
      <c r="E1716" s="1910" t="s">
        <v>5</v>
      </c>
      <c r="F1716" s="1906">
        <v>5715</v>
      </c>
      <c r="G1716" s="1906">
        <f>F1716*0.3</f>
        <v>1714.5</v>
      </c>
      <c r="H1716" s="1906">
        <f>+F1716*D1716</f>
        <v>11430</v>
      </c>
      <c r="I1716" s="1906">
        <f>+G1716*D1716</f>
        <v>3429</v>
      </c>
      <c r="J1716" s="2077">
        <f>+H1716+I1716</f>
        <v>14859</v>
      </c>
      <c r="K1716" s="1907"/>
      <c r="L1716" s="1907"/>
      <c r="M1716" s="1952" t="s">
        <v>622</v>
      </c>
    </row>
    <row r="1717" spans="1:13">
      <c r="A1717" s="1903"/>
      <c r="B1717" s="1904" t="s">
        <v>911</v>
      </c>
      <c r="C1717" s="1905" t="s">
        <v>900</v>
      </c>
      <c r="D1717" s="1909">
        <v>6</v>
      </c>
      <c r="E1717" s="1910" t="s">
        <v>5</v>
      </c>
      <c r="F1717" s="1906">
        <v>10400</v>
      </c>
      <c r="G1717" s="1906">
        <f>F1717*0.3</f>
        <v>3120</v>
      </c>
      <c r="H1717" s="1906">
        <f>+F1717*D1717</f>
        <v>62400</v>
      </c>
      <c r="I1717" s="1906">
        <f>+G1717*D1717</f>
        <v>18720</v>
      </c>
      <c r="J1717" s="2077">
        <f>+H1717+I1717</f>
        <v>81120</v>
      </c>
      <c r="K1717" s="1907"/>
      <c r="L1717" s="1907" t="s">
        <v>1935</v>
      </c>
      <c r="M1717" s="1952" t="s">
        <v>622</v>
      </c>
    </row>
    <row r="1718" spans="1:13">
      <c r="A1718" s="1903"/>
      <c r="B1718" s="1904" t="s">
        <v>934</v>
      </c>
      <c r="C1718" s="1905" t="s">
        <v>900</v>
      </c>
      <c r="D1718" s="1909">
        <v>1</v>
      </c>
      <c r="E1718" s="1910" t="s">
        <v>5</v>
      </c>
      <c r="F1718" s="1906">
        <v>29700</v>
      </c>
      <c r="G1718" s="1906">
        <f>F1718*0.3</f>
        <v>8910</v>
      </c>
      <c r="H1718" s="1906">
        <f>+F1718*D1718</f>
        <v>29700</v>
      </c>
      <c r="I1718" s="1906">
        <f>+G1718*D1718</f>
        <v>8910</v>
      </c>
      <c r="J1718" s="2077">
        <f>+H1718+I1718</f>
        <v>38610</v>
      </c>
      <c r="K1718" s="1907"/>
      <c r="L1718" s="1907" t="s">
        <v>1935</v>
      </c>
      <c r="M1718" s="1952" t="s">
        <v>622</v>
      </c>
    </row>
    <row r="1719" spans="1:13">
      <c r="A1719" s="1903"/>
      <c r="B1719" s="2386" t="s">
        <v>249</v>
      </c>
      <c r="C1719" s="2386"/>
      <c r="D1719" s="1909"/>
      <c r="E1719" s="1910"/>
      <c r="F1719" s="1906"/>
      <c r="G1719" s="1906"/>
      <c r="H1719" s="1906"/>
      <c r="I1719" s="1906"/>
      <c r="J1719" s="2077"/>
      <c r="K1719" s="1907"/>
      <c r="M1719" s="1952"/>
    </row>
    <row r="1720" spans="1:13">
      <c r="A1720" s="1903"/>
      <c r="B1720" s="2406" t="s">
        <v>1042</v>
      </c>
      <c r="C1720" s="2406"/>
      <c r="D1720" s="1909"/>
      <c r="E1720" s="1910"/>
      <c r="F1720" s="1906"/>
      <c r="G1720" s="1906"/>
      <c r="H1720" s="1906"/>
      <c r="I1720" s="1906"/>
      <c r="J1720" s="2077"/>
      <c r="K1720" s="1907"/>
    </row>
    <row r="1721" spans="1:13">
      <c r="A1721" s="1965"/>
      <c r="B1721" s="1904" t="s">
        <v>107</v>
      </c>
      <c r="C1721" s="1993" t="s">
        <v>1074</v>
      </c>
      <c r="D1721" s="1991">
        <v>8.1999999999999993</v>
      </c>
      <c r="E1721" s="1903" t="s">
        <v>86</v>
      </c>
      <c r="F1721" s="1900">
        <v>1200</v>
      </c>
      <c r="G1721" s="1900">
        <v>180</v>
      </c>
      <c r="H1721" s="1906">
        <f>+F1721*D1721</f>
        <v>9840</v>
      </c>
      <c r="I1721" s="1906">
        <f>+G1721*D1721</f>
        <v>1475.9999999999998</v>
      </c>
      <c r="J1721" s="2077">
        <f>+H1721+I1721</f>
        <v>11316</v>
      </c>
      <c r="K1721" s="1907"/>
      <c r="M1721" s="1885" t="s">
        <v>1076</v>
      </c>
    </row>
    <row r="1722" spans="1:13">
      <c r="A1722" s="1903"/>
      <c r="B1722" s="2406" t="s">
        <v>1043</v>
      </c>
      <c r="C1722" s="2406"/>
      <c r="D1722" s="1909"/>
      <c r="E1722" s="1910"/>
      <c r="F1722" s="1906"/>
      <c r="G1722" s="1906"/>
      <c r="H1722" s="1906"/>
      <c r="I1722" s="1906"/>
      <c r="J1722" s="2077"/>
      <c r="K1722" s="1907"/>
    </row>
    <row r="1723" spans="1:13">
      <c r="A1723" s="1965"/>
      <c r="B1723" s="1904" t="s">
        <v>107</v>
      </c>
      <c r="C1723" s="1993" t="s">
        <v>1073</v>
      </c>
      <c r="D1723" s="1991">
        <v>18.2</v>
      </c>
      <c r="E1723" s="1903" t="s">
        <v>86</v>
      </c>
      <c r="F1723" s="1900">
        <v>1200</v>
      </c>
      <c r="G1723" s="1900">
        <v>180</v>
      </c>
      <c r="H1723" s="1906">
        <f>+F1723*D1723</f>
        <v>21840</v>
      </c>
      <c r="I1723" s="1906">
        <f>+G1723*D1723</f>
        <v>3276</v>
      </c>
      <c r="J1723" s="2077">
        <f>+H1723+I1723</f>
        <v>25116</v>
      </c>
      <c r="K1723" s="1907"/>
      <c r="M1723" s="1885" t="s">
        <v>1076</v>
      </c>
    </row>
    <row r="1724" spans="1:13">
      <c r="A1724" s="1965"/>
      <c r="B1724" s="1904"/>
      <c r="C1724" s="1993"/>
      <c r="D1724" s="1991"/>
      <c r="E1724" s="1903"/>
      <c r="F1724" s="1900"/>
      <c r="G1724" s="1900"/>
      <c r="H1724" s="1906"/>
      <c r="I1724" s="1906"/>
      <c r="J1724" s="2077"/>
      <c r="K1724" s="1907"/>
      <c r="M1724" s="1885"/>
    </row>
    <row r="1725" spans="1:13">
      <c r="B1725" s="1860"/>
      <c r="C1725" s="2133" t="s">
        <v>133</v>
      </c>
      <c r="D1725" s="2134"/>
      <c r="E1725" s="2135"/>
      <c r="F1725" s="2136"/>
      <c r="G1725" s="2137"/>
      <c r="H1725" s="2137"/>
      <c r="I1725" s="2137"/>
      <c r="J1725" s="2137"/>
      <c r="K1725" s="2137"/>
      <c r="M1725" s="1885"/>
    </row>
    <row r="1726" spans="1:13">
      <c r="B1726" s="2138"/>
      <c r="C1726" s="2139" t="s">
        <v>1769</v>
      </c>
      <c r="D1726" s="2140"/>
      <c r="E1726" s="1861"/>
      <c r="F1726" s="2135"/>
      <c r="G1726" s="2139" t="s">
        <v>134</v>
      </c>
      <c r="H1726" s="2138"/>
      <c r="I1726" s="2138"/>
      <c r="J1726" s="2138"/>
      <c r="K1726" s="2138"/>
      <c r="M1726" s="1885"/>
    </row>
    <row r="1727" spans="1:13">
      <c r="B1727" s="1871"/>
      <c r="C1727" s="2141" t="s">
        <v>1970</v>
      </c>
      <c r="D1727" s="2140"/>
      <c r="E1727" s="2142"/>
      <c r="F1727" s="2143"/>
      <c r="G1727" s="2144" t="s">
        <v>1971</v>
      </c>
      <c r="H1727" s="2145"/>
      <c r="I1727" s="2145"/>
      <c r="J1727" s="2145"/>
      <c r="K1727" s="2145"/>
      <c r="M1727" s="1885"/>
    </row>
    <row r="1728" spans="1:13">
      <c r="A1728" s="1837"/>
      <c r="B1728" s="2138"/>
      <c r="C1728" s="2139" t="s">
        <v>2031</v>
      </c>
      <c r="D1728" s="2140"/>
      <c r="E1728" s="1837"/>
      <c r="F1728" s="2146"/>
      <c r="G1728" s="2139" t="s">
        <v>2031</v>
      </c>
      <c r="H1728" s="1837"/>
      <c r="I1728" s="1837"/>
      <c r="J1728" s="1837"/>
      <c r="K1728" s="1837"/>
      <c r="M1728" s="1885"/>
    </row>
    <row r="1729" spans="1:13">
      <c r="A1729" s="1952"/>
      <c r="B1729" s="1871"/>
      <c r="C1729" s="2147" t="s">
        <v>1984</v>
      </c>
      <c r="D1729" s="2140"/>
      <c r="E1729" s="1837"/>
      <c r="F1729" s="2135"/>
      <c r="G1729" s="2147" t="s">
        <v>1985</v>
      </c>
      <c r="H1729" s="1952"/>
      <c r="I1729" s="1952"/>
      <c r="J1729" s="1952"/>
      <c r="K1729" s="1952"/>
      <c r="M1729" s="1885"/>
    </row>
    <row r="1730" spans="1:13">
      <c r="A1730" s="1952"/>
      <c r="B1730" s="1952"/>
      <c r="C1730" s="2139" t="s">
        <v>670</v>
      </c>
      <c r="D1730" s="2139"/>
      <c r="E1730" s="2143"/>
      <c r="F1730" s="2143"/>
      <c r="G1730" s="1952"/>
      <c r="H1730" s="1952"/>
      <c r="I1730" s="1952"/>
      <c r="J1730" s="1952"/>
      <c r="K1730" s="1952"/>
      <c r="M1730" s="1885"/>
    </row>
    <row r="1731" spans="1:13">
      <c r="C1731" s="2147" t="s">
        <v>1972</v>
      </c>
      <c r="D1731" s="2147"/>
      <c r="E1731" s="2146"/>
      <c r="F1731" s="2146"/>
      <c r="M1731" s="1885"/>
    </row>
    <row r="1732" spans="1:13">
      <c r="A1732" s="1965"/>
      <c r="B1732" s="1997" t="s">
        <v>107</v>
      </c>
      <c r="C1732" s="1993" t="s">
        <v>1065</v>
      </c>
      <c r="D1732" s="1998">
        <v>470.6</v>
      </c>
      <c r="E1732" s="1999" t="s">
        <v>87</v>
      </c>
      <c r="F1732" s="1975">
        <v>31</v>
      </c>
      <c r="G1732" s="1975">
        <v>10</v>
      </c>
      <c r="H1732" s="1906">
        <f>+F1732*D1732</f>
        <v>14588.6</v>
      </c>
      <c r="I1732" s="1906">
        <f>+G1732*D1732</f>
        <v>4706</v>
      </c>
      <c r="J1732" s="2077">
        <f>+H1732+I1732</f>
        <v>19294.599999999999</v>
      </c>
      <c r="K1732" s="1907"/>
      <c r="M1732" s="1885" t="s">
        <v>1021</v>
      </c>
    </row>
    <row r="1733" spans="1:13">
      <c r="A1733" s="1965"/>
      <c r="B1733" s="1997" t="s">
        <v>107</v>
      </c>
      <c r="C1733" s="1993" t="s">
        <v>1064</v>
      </c>
      <c r="D1733" s="1998">
        <v>262.5</v>
      </c>
      <c r="E1733" s="1999" t="s">
        <v>87</v>
      </c>
      <c r="F1733" s="1975">
        <v>31</v>
      </c>
      <c r="G1733" s="1975">
        <v>10</v>
      </c>
      <c r="H1733" s="1906">
        <f>+F1733*D1733</f>
        <v>8137.5</v>
      </c>
      <c r="I1733" s="1906">
        <f>+G1733*D1733</f>
        <v>2625</v>
      </c>
      <c r="J1733" s="2077">
        <f>+H1733+I1733</f>
        <v>10762.5</v>
      </c>
      <c r="K1733" s="1907"/>
    </row>
    <row r="1734" spans="1:13">
      <c r="A1734" s="1903"/>
      <c r="B1734" s="2386" t="s">
        <v>392</v>
      </c>
      <c r="C1734" s="2386"/>
      <c r="D1734" s="1909"/>
      <c r="E1734" s="1910"/>
      <c r="F1734" s="1906"/>
      <c r="G1734" s="1906"/>
      <c r="H1734" s="1906"/>
      <c r="I1734" s="1906"/>
      <c r="J1734" s="2077"/>
      <c r="K1734" s="1907"/>
    </row>
    <row r="1735" spans="1:13">
      <c r="A1735" s="1965"/>
      <c r="B1735" s="1997" t="s">
        <v>107</v>
      </c>
      <c r="C1735" s="1993" t="s">
        <v>1087</v>
      </c>
      <c r="D1735" s="1998">
        <v>9.6</v>
      </c>
      <c r="E1735" s="1999" t="s">
        <v>87</v>
      </c>
      <c r="F1735" s="1975">
        <v>28.9</v>
      </c>
      <c r="G1735" s="1975">
        <v>10</v>
      </c>
      <c r="H1735" s="1906">
        <f>+F1735*D1735</f>
        <v>277.44</v>
      </c>
      <c r="I1735" s="1906">
        <f>+G1735*D1735</f>
        <v>96</v>
      </c>
      <c r="J1735" s="2077">
        <f>+H1735+I1735</f>
        <v>373.44</v>
      </c>
      <c r="K1735" s="1907"/>
      <c r="M1735" s="1885" t="s">
        <v>1021</v>
      </c>
    </row>
    <row r="1736" spans="1:13">
      <c r="A1736" s="1965"/>
      <c r="B1736" s="1997" t="s">
        <v>107</v>
      </c>
      <c r="C1736" s="1993" t="s">
        <v>1082</v>
      </c>
      <c r="D1736" s="1998">
        <v>43.2</v>
      </c>
      <c r="E1736" s="1999" t="s">
        <v>87</v>
      </c>
      <c r="F1736" s="1975">
        <v>28.9</v>
      </c>
      <c r="G1736" s="1975">
        <v>10</v>
      </c>
      <c r="H1736" s="1906">
        <f>+F1736*D1736</f>
        <v>1248.48</v>
      </c>
      <c r="I1736" s="1906">
        <f>+G1736*D1736</f>
        <v>432</v>
      </c>
      <c r="J1736" s="2077">
        <f>+H1736+I1736</f>
        <v>1680.48</v>
      </c>
      <c r="K1736" s="1907"/>
      <c r="M1736" s="1885" t="s">
        <v>1021</v>
      </c>
    </row>
    <row r="1737" spans="1:13">
      <c r="A1737" s="1965"/>
      <c r="B1737" s="1997" t="s">
        <v>107</v>
      </c>
      <c r="C1737" s="1993" t="s">
        <v>1083</v>
      </c>
      <c r="D1737" s="1998">
        <v>12.2</v>
      </c>
      <c r="E1737" s="1999" t="s">
        <v>87</v>
      </c>
      <c r="F1737" s="1975">
        <v>31</v>
      </c>
      <c r="G1737" s="1975">
        <v>10</v>
      </c>
      <c r="H1737" s="1906">
        <f>+F1737*D1737</f>
        <v>378.2</v>
      </c>
      <c r="I1737" s="1906">
        <f>+G1737*D1737</f>
        <v>122</v>
      </c>
      <c r="J1737" s="2077">
        <f>+H1737+I1737</f>
        <v>500.2</v>
      </c>
      <c r="K1737" s="1907"/>
      <c r="M1737" s="1885" t="s">
        <v>1016</v>
      </c>
    </row>
    <row r="1738" spans="1:13">
      <c r="A1738" s="1965"/>
      <c r="B1738" s="1997" t="s">
        <v>107</v>
      </c>
      <c r="C1738" s="1993" t="s">
        <v>956</v>
      </c>
      <c r="D1738" s="1998">
        <v>4</v>
      </c>
      <c r="E1738" s="1999" t="s">
        <v>109</v>
      </c>
      <c r="F1738" s="1975">
        <v>108</v>
      </c>
      <c r="G1738" s="1975">
        <v>18</v>
      </c>
      <c r="H1738" s="1906">
        <f>+F1738*D1738</f>
        <v>432</v>
      </c>
      <c r="I1738" s="1906">
        <f>+G1738*D1738</f>
        <v>72</v>
      </c>
      <c r="J1738" s="2077">
        <f>+H1738+I1738</f>
        <v>504</v>
      </c>
      <c r="K1738" s="1907"/>
      <c r="M1738" s="1885" t="s">
        <v>1021</v>
      </c>
    </row>
    <row r="1739" spans="1:13">
      <c r="A1739" s="1965"/>
      <c r="B1739" s="1997" t="s">
        <v>107</v>
      </c>
      <c r="C1739" s="1993" t="s">
        <v>1059</v>
      </c>
      <c r="D1739" s="1998">
        <f>D1738*4</f>
        <v>16</v>
      </c>
      <c r="E1739" s="1999" t="s">
        <v>27</v>
      </c>
      <c r="F1739" s="1975">
        <v>131.32</v>
      </c>
      <c r="G1739" s="1975">
        <v>0</v>
      </c>
      <c r="H1739" s="1906">
        <f>+F1739*D1739</f>
        <v>2101.12</v>
      </c>
      <c r="I1739" s="1906">
        <f>+G1739*D1739</f>
        <v>0</v>
      </c>
      <c r="J1739" s="2077">
        <f>+H1739+I1739</f>
        <v>2101.12</v>
      </c>
      <c r="K1739" s="1907"/>
      <c r="M1739" s="1885" t="s">
        <v>654</v>
      </c>
    </row>
    <row r="1740" spans="1:13">
      <c r="A1740" s="1897"/>
      <c r="B1740" s="2388" t="s">
        <v>384</v>
      </c>
      <c r="C1740" s="2388"/>
      <c r="D1740" s="1898"/>
      <c r="E1740" s="1899"/>
      <c r="F1740" s="1900"/>
      <c r="G1740" s="1900"/>
      <c r="H1740" s="1900"/>
      <c r="I1740" s="1900"/>
      <c r="J1740" s="1900"/>
      <c r="K1740" s="1907"/>
    </row>
    <row r="1741" spans="1:13">
      <c r="A1741" s="1903"/>
      <c r="B1741" s="1997" t="s">
        <v>107</v>
      </c>
      <c r="C1741" s="1980" t="s">
        <v>1026</v>
      </c>
      <c r="D1741" s="1998">
        <v>656</v>
      </c>
      <c r="E1741" s="1999" t="s">
        <v>1027</v>
      </c>
      <c r="F1741" s="1975">
        <v>48</v>
      </c>
      <c r="G1741" s="1975">
        <v>19</v>
      </c>
      <c r="H1741" s="1906">
        <f>+F1741*D1741</f>
        <v>31488</v>
      </c>
      <c r="I1741" s="1906">
        <f>+G1741*D1741</f>
        <v>12464</v>
      </c>
      <c r="J1741" s="1906">
        <f>+H1741+I1741</f>
        <v>43952</v>
      </c>
      <c r="K1741" s="1907"/>
      <c r="L1741" s="1907" t="s">
        <v>1967</v>
      </c>
      <c r="M1741" s="1885" t="s">
        <v>622</v>
      </c>
    </row>
    <row r="1742" spans="1:13">
      <c r="A1742" s="1903"/>
      <c r="B1742" s="1997" t="s">
        <v>107</v>
      </c>
      <c r="C1742" s="1993" t="s">
        <v>1810</v>
      </c>
      <c r="D1742" s="1998">
        <v>31</v>
      </c>
      <c r="E1742" s="1999" t="s">
        <v>962</v>
      </c>
      <c r="F1742" s="1975">
        <v>3428.58</v>
      </c>
      <c r="G1742" s="1975">
        <f>F1742*0.3</f>
        <v>1028.5739999999998</v>
      </c>
      <c r="H1742" s="1906">
        <f>+F1742*D1742</f>
        <v>106285.98</v>
      </c>
      <c r="I1742" s="1906">
        <f>+G1742*D1742</f>
        <v>31885.793999999994</v>
      </c>
      <c r="J1742" s="1906">
        <f>+H1742+I1742</f>
        <v>138171.77399999998</v>
      </c>
      <c r="K1742" s="1907"/>
      <c r="L1742" s="1901" t="s">
        <v>1910</v>
      </c>
      <c r="M1742" s="1902" t="s">
        <v>622</v>
      </c>
    </row>
    <row r="1743" spans="1:13">
      <c r="A1743" s="2032"/>
      <c r="B1743" s="1878"/>
      <c r="C1743" s="2033"/>
      <c r="D1743" s="1880"/>
      <c r="E1743" s="1881"/>
      <c r="F1743" s="1882"/>
      <c r="G1743" s="1882"/>
      <c r="H1743" s="2017"/>
      <c r="I1743" s="2017"/>
      <c r="J1743" s="2017"/>
      <c r="K1743" s="1884"/>
    </row>
    <row r="1744" spans="1:13" ht="24.75" thickBot="1">
      <c r="A1744" s="2034"/>
      <c r="B1744" s="2035"/>
      <c r="C1744" s="1888" t="str">
        <f>"รวมราคา "&amp;B1658</f>
        <v>รวมราคา งานสถาปัตยกรรม ชั้น (ดาดฟ้า)</v>
      </c>
      <c r="D1744" s="1889"/>
      <c r="E1744" s="1890"/>
      <c r="F1744" s="1891"/>
      <c r="G1744" s="1891"/>
      <c r="H1744" s="1891">
        <f>SUM(H1659:H1742)</f>
        <v>1681125.62</v>
      </c>
      <c r="I1744" s="1891">
        <f>SUM(I1659:I1742)</f>
        <v>715747.99400000006</v>
      </c>
      <c r="J1744" s="1891">
        <f>SUM(J1659:J1742)</f>
        <v>2396873.6140000001</v>
      </c>
      <c r="K1744" s="1891"/>
      <c r="L1744" s="1870"/>
      <c r="M1744" s="2078"/>
    </row>
    <row r="1745" spans="1:14" ht="24.75" thickTop="1">
      <c r="A1745" s="2037">
        <v>2.11</v>
      </c>
      <c r="B1745" s="2387" t="s">
        <v>386</v>
      </c>
      <c r="C1745" s="2387"/>
      <c r="D1745" s="2038"/>
      <c r="E1745" s="2037"/>
      <c r="F1745" s="2039"/>
      <c r="G1745" s="2039"/>
      <c r="H1745" s="2039"/>
      <c r="I1745" s="2039"/>
      <c r="J1745" s="2039"/>
      <c r="K1745" s="2039"/>
      <c r="L1745" s="2175"/>
      <c r="M1745" s="2078"/>
    </row>
    <row r="1746" spans="1:14">
      <c r="A1746" s="1897"/>
      <c r="B1746" s="2388" t="s">
        <v>201</v>
      </c>
      <c r="C1746" s="2388"/>
      <c r="D1746" s="1898"/>
      <c r="E1746" s="1899"/>
      <c r="F1746" s="1900"/>
      <c r="G1746" s="1900"/>
      <c r="H1746" s="1900"/>
      <c r="I1746" s="1900"/>
      <c r="J1746" s="1900"/>
      <c r="K1746" s="1901"/>
    </row>
    <row r="1747" spans="1:14">
      <c r="A1747" s="1903"/>
      <c r="B1747" s="1904" t="s">
        <v>108</v>
      </c>
      <c r="C1747" s="1905" t="s">
        <v>725</v>
      </c>
      <c r="D1747" s="1898">
        <v>336.6</v>
      </c>
      <c r="E1747" s="1899" t="s">
        <v>86</v>
      </c>
      <c r="F1747" s="1900">
        <v>123</v>
      </c>
      <c r="G1747" s="1900">
        <v>82</v>
      </c>
      <c r="H1747" s="1906">
        <f>+F1747*D1747</f>
        <v>41401.800000000003</v>
      </c>
      <c r="I1747" s="1906">
        <f>+G1747*D1747</f>
        <v>27601.200000000001</v>
      </c>
      <c r="J1747" s="1906">
        <f>+H1747+I1747</f>
        <v>69003</v>
      </c>
      <c r="K1747" s="1907"/>
      <c r="M1747" s="1885" t="s">
        <v>1875</v>
      </c>
      <c r="N1747" s="1861"/>
    </row>
    <row r="1748" spans="1:14">
      <c r="A1748" s="1903"/>
      <c r="B1748" s="2386" t="s">
        <v>384</v>
      </c>
      <c r="C1748" s="2392"/>
      <c r="D1748" s="1909"/>
      <c r="E1748" s="1910"/>
      <c r="F1748" s="1906"/>
      <c r="G1748" s="1906"/>
      <c r="H1748" s="1906"/>
      <c r="I1748" s="1906"/>
      <c r="J1748" s="1906"/>
      <c r="K1748" s="1907"/>
    </row>
    <row r="1749" spans="1:14">
      <c r="A1749" s="1903"/>
      <c r="B1749" s="1997" t="s">
        <v>107</v>
      </c>
      <c r="C1749" s="1993" t="s">
        <v>385</v>
      </c>
      <c r="D1749" s="1998">
        <v>1</v>
      </c>
      <c r="E1749" s="1999" t="s">
        <v>105</v>
      </c>
      <c r="F1749" s="1975">
        <v>208800</v>
      </c>
      <c r="G1749" s="1975">
        <v>34200</v>
      </c>
      <c r="H1749" s="1906">
        <f>+F1749*D1749</f>
        <v>208800</v>
      </c>
      <c r="I1749" s="1906">
        <f>+G1749*D1749</f>
        <v>34200</v>
      </c>
      <c r="J1749" s="1906">
        <f>+H1749+I1749</f>
        <v>243000</v>
      </c>
      <c r="K1749" s="1907"/>
      <c r="L1749" s="1907" t="s">
        <v>1911</v>
      </c>
      <c r="M1749" s="2018" t="s">
        <v>644</v>
      </c>
    </row>
    <row r="1750" spans="1:14">
      <c r="A1750" s="1903"/>
      <c r="B1750" s="1997" t="s">
        <v>107</v>
      </c>
      <c r="C1750" s="1993" t="s">
        <v>1141</v>
      </c>
      <c r="D1750" s="1998">
        <v>136.19999999999999</v>
      </c>
      <c r="E1750" s="1999" t="s">
        <v>86</v>
      </c>
      <c r="F1750" s="1975">
        <v>3500</v>
      </c>
      <c r="G1750" s="1975">
        <v>500</v>
      </c>
      <c r="H1750" s="1906">
        <f>+F1750*D1750</f>
        <v>476699.99999999994</v>
      </c>
      <c r="I1750" s="1906">
        <f>+G1750*D1750</f>
        <v>68100</v>
      </c>
      <c r="J1750" s="1906">
        <f>+H1750+I1750</f>
        <v>544800</v>
      </c>
      <c r="K1750" s="1907"/>
      <c r="L1750" s="1907" t="s">
        <v>1923</v>
      </c>
      <c r="M1750" s="2013" t="s">
        <v>1913</v>
      </c>
    </row>
    <row r="1751" spans="1:14" s="1875" customFormat="1">
      <c r="A1751" s="1972"/>
      <c r="B1751" s="2001"/>
      <c r="C1751" s="2014" t="s">
        <v>1809</v>
      </c>
      <c r="D1751" s="1930"/>
      <c r="E1751" s="1909"/>
      <c r="F1751" s="1909"/>
      <c r="G1751" s="1930"/>
      <c r="H1751" s="1930"/>
      <c r="I1751" s="1930"/>
      <c r="J1751" s="1930"/>
      <c r="K1751" s="1907"/>
    </row>
    <row r="1752" spans="1:14" s="1875" customFormat="1">
      <c r="A1752" s="1972"/>
      <c r="B1752" s="2001"/>
      <c r="C1752" s="2014" t="s">
        <v>1140</v>
      </c>
      <c r="D1752" s="1930"/>
      <c r="E1752" s="1909"/>
      <c r="F1752" s="1909"/>
      <c r="G1752" s="1930"/>
      <c r="H1752" s="1930"/>
      <c r="I1752" s="1930"/>
      <c r="J1752" s="1930"/>
      <c r="K1752" s="1907"/>
    </row>
    <row r="1753" spans="1:14" s="1875" customFormat="1">
      <c r="A1753" s="1972"/>
      <c r="B1753" s="2001" t="s">
        <v>107</v>
      </c>
      <c r="C1753" s="2014" t="s">
        <v>1920</v>
      </c>
      <c r="D1753" s="1998">
        <v>136.19999999999999</v>
      </c>
      <c r="E1753" s="1999" t="s">
        <v>86</v>
      </c>
      <c r="F1753" s="1975">
        <v>420</v>
      </c>
      <c r="G1753" s="1975">
        <v>0</v>
      </c>
      <c r="H1753" s="1906">
        <f>+F1753*D1753</f>
        <v>57203.999999999993</v>
      </c>
      <c r="I1753" s="1906">
        <f>+G1753*D1753</f>
        <v>0</v>
      </c>
      <c r="J1753" s="1906">
        <f>+H1753+I1753</f>
        <v>57203.999999999993</v>
      </c>
      <c r="K1753" s="1907"/>
      <c r="L1753" s="1871"/>
      <c r="M1753" s="2018" t="s">
        <v>1016</v>
      </c>
    </row>
    <row r="1754" spans="1:14" s="1873" customFormat="1">
      <c r="A1754" s="2079"/>
      <c r="B1754" s="2080" t="s">
        <v>107</v>
      </c>
      <c r="C1754" s="2081" t="s">
        <v>1921</v>
      </c>
      <c r="D1754" s="2082">
        <v>136.19999999999999</v>
      </c>
      <c r="E1754" s="2083" t="s">
        <v>86</v>
      </c>
      <c r="F1754" s="2084">
        <v>0</v>
      </c>
      <c r="G1754" s="2084">
        <v>525</v>
      </c>
      <c r="H1754" s="2085">
        <f>+F1754*D1754</f>
        <v>0</v>
      </c>
      <c r="I1754" s="2085">
        <f>+G1754*D1754</f>
        <v>71505</v>
      </c>
      <c r="J1754" s="2085">
        <f>+H1754+I1754</f>
        <v>71505</v>
      </c>
      <c r="K1754" s="2086"/>
      <c r="L1754" s="2048"/>
      <c r="M1754" s="1992" t="s">
        <v>1016</v>
      </c>
    </row>
    <row r="1755" spans="1:14" s="1873" customFormat="1">
      <c r="A1755" s="1840"/>
      <c r="B1755" s="1860"/>
      <c r="C1755" s="2133" t="s">
        <v>133</v>
      </c>
      <c r="D1755" s="2134"/>
      <c r="E1755" s="2135"/>
      <c r="F1755" s="2136"/>
      <c r="G1755" s="2137"/>
      <c r="H1755" s="2137"/>
      <c r="I1755" s="2137"/>
      <c r="J1755" s="2137"/>
      <c r="K1755" s="2137"/>
      <c r="L1755" s="2048"/>
      <c r="M1755" s="1992"/>
    </row>
    <row r="1756" spans="1:14" s="1873" customFormat="1">
      <c r="A1756" s="1840"/>
      <c r="B1756" s="2138"/>
      <c r="C1756" s="2139" t="s">
        <v>1769</v>
      </c>
      <c r="D1756" s="2140"/>
      <c r="E1756" s="1861"/>
      <c r="F1756" s="2135"/>
      <c r="G1756" s="2139" t="s">
        <v>134</v>
      </c>
      <c r="H1756" s="2138"/>
      <c r="I1756" s="2138"/>
      <c r="J1756" s="2138"/>
      <c r="K1756" s="2138"/>
      <c r="L1756" s="2048"/>
      <c r="M1756" s="1992"/>
    </row>
    <row r="1757" spans="1:14" s="1873" customFormat="1">
      <c r="A1757" s="1840"/>
      <c r="B1757" s="1871"/>
      <c r="C1757" s="2141" t="s">
        <v>1970</v>
      </c>
      <c r="D1757" s="2140"/>
      <c r="E1757" s="2142"/>
      <c r="F1757" s="2143"/>
      <c r="G1757" s="2144" t="s">
        <v>1971</v>
      </c>
      <c r="H1757" s="2145"/>
      <c r="I1757" s="2145"/>
      <c r="J1757" s="2145"/>
      <c r="K1757" s="2145"/>
      <c r="L1757" s="2048"/>
      <c r="M1757" s="1992"/>
    </row>
    <row r="1758" spans="1:14" s="1873" customFormat="1">
      <c r="A1758" s="1837"/>
      <c r="B1758" s="2138"/>
      <c r="C1758" s="2139" t="s">
        <v>2031</v>
      </c>
      <c r="D1758" s="2140"/>
      <c r="E1758" s="1837"/>
      <c r="F1758" s="2146"/>
      <c r="G1758" s="2139" t="s">
        <v>2031</v>
      </c>
      <c r="H1758" s="1837"/>
      <c r="I1758" s="1837"/>
      <c r="J1758" s="1837"/>
      <c r="K1758" s="1837"/>
      <c r="L1758" s="2048"/>
      <c r="M1758" s="1992"/>
    </row>
    <row r="1759" spans="1:14" s="1873" customFormat="1">
      <c r="A1759" s="1952"/>
      <c r="B1759" s="1871"/>
      <c r="C1759" s="2147" t="s">
        <v>1984</v>
      </c>
      <c r="D1759" s="2140"/>
      <c r="E1759" s="1837"/>
      <c r="F1759" s="2135"/>
      <c r="G1759" s="2147" t="s">
        <v>1985</v>
      </c>
      <c r="H1759" s="1952"/>
      <c r="I1759" s="1952"/>
      <c r="J1759" s="1952"/>
      <c r="K1759" s="1952"/>
      <c r="L1759" s="2048"/>
      <c r="M1759" s="1992"/>
    </row>
    <row r="1760" spans="1:14" s="1873" customFormat="1">
      <c r="A1760" s="1952"/>
      <c r="B1760" s="1952"/>
      <c r="C1760" s="2139" t="s">
        <v>670</v>
      </c>
      <c r="D1760" s="2139"/>
      <c r="E1760" s="2143"/>
      <c r="F1760" s="2143"/>
      <c r="G1760" s="1952"/>
      <c r="H1760" s="1952"/>
      <c r="I1760" s="1952"/>
      <c r="J1760" s="1952"/>
      <c r="K1760" s="1952"/>
      <c r="L1760" s="2048"/>
      <c r="M1760" s="1992"/>
    </row>
    <row r="1761" spans="1:13" s="1873" customFormat="1">
      <c r="A1761" s="1840"/>
      <c r="B1761" s="1840"/>
      <c r="C1761" s="2147" t="s">
        <v>1972</v>
      </c>
      <c r="D1761" s="2147"/>
      <c r="E1761" s="2146"/>
      <c r="F1761" s="2146"/>
      <c r="G1761" s="1870"/>
      <c r="H1761" s="1870"/>
      <c r="I1761" s="1870"/>
      <c r="J1761" s="1870"/>
      <c r="K1761" s="1871"/>
      <c r="L1761" s="2048"/>
      <c r="M1761" s="1992"/>
    </row>
    <row r="1762" spans="1:13" s="1873" customFormat="1">
      <c r="A1762" s="1897"/>
      <c r="B1762" s="2388" t="s">
        <v>384</v>
      </c>
      <c r="C1762" s="2388"/>
      <c r="D1762" s="1898"/>
      <c r="E1762" s="1899"/>
      <c r="F1762" s="1900"/>
      <c r="G1762" s="1900"/>
      <c r="H1762" s="1900"/>
      <c r="I1762" s="1900"/>
      <c r="J1762" s="1900"/>
      <c r="K1762" s="1901"/>
      <c r="L1762" s="2048"/>
      <c r="M1762" s="1992"/>
    </row>
    <row r="1763" spans="1:13">
      <c r="A1763" s="1903"/>
      <c r="B1763" s="1997" t="s">
        <v>107</v>
      </c>
      <c r="C1763" s="1980" t="s">
        <v>1204</v>
      </c>
      <c r="D1763" s="1998">
        <v>41.5</v>
      </c>
      <c r="E1763" s="1999" t="s">
        <v>84</v>
      </c>
      <c r="F1763" s="1975">
        <v>160</v>
      </c>
      <c r="G1763" s="1975">
        <v>0</v>
      </c>
      <c r="H1763" s="1906">
        <f>+F1763*D1763</f>
        <v>6640</v>
      </c>
      <c r="I1763" s="1906">
        <f>+G1763*D1763</f>
        <v>0</v>
      </c>
      <c r="J1763" s="1906">
        <f>+H1763+I1763</f>
        <v>6640</v>
      </c>
      <c r="K1763" s="1907"/>
    </row>
    <row r="1764" spans="1:13">
      <c r="A1764" s="1903"/>
      <c r="B1764" s="1997" t="s">
        <v>107</v>
      </c>
      <c r="C1764" s="1980" t="s">
        <v>1205</v>
      </c>
      <c r="D1764" s="1998">
        <v>44.5</v>
      </c>
      <c r="E1764" s="1999" t="s">
        <v>87</v>
      </c>
      <c r="F1764" s="1975">
        <v>30</v>
      </c>
      <c r="G1764" s="1975">
        <v>10</v>
      </c>
      <c r="H1764" s="1906">
        <f>+F1764*D1764</f>
        <v>1335</v>
      </c>
      <c r="I1764" s="1906">
        <f>+G1764*D1764</f>
        <v>445</v>
      </c>
      <c r="J1764" s="1906">
        <f>+H1764+I1764</f>
        <v>1780</v>
      </c>
      <c r="K1764" s="1907"/>
      <c r="M1764" s="1885" t="s">
        <v>660</v>
      </c>
    </row>
    <row r="1765" spans="1:13">
      <c r="A1765" s="1903"/>
      <c r="B1765" s="1997" t="s">
        <v>107</v>
      </c>
      <c r="C1765" s="1980" t="s">
        <v>1206</v>
      </c>
      <c r="D1765" s="1998">
        <v>17.3</v>
      </c>
      <c r="E1765" s="1999" t="s">
        <v>86</v>
      </c>
      <c r="F1765" s="1975">
        <v>50</v>
      </c>
      <c r="G1765" s="1975">
        <v>15</v>
      </c>
      <c r="H1765" s="1906">
        <f>+F1765*D1765</f>
        <v>865</v>
      </c>
      <c r="I1765" s="1906">
        <f>+G1765*D1765</f>
        <v>259.5</v>
      </c>
      <c r="J1765" s="1906">
        <f>+H1765+I1765</f>
        <v>1124.5</v>
      </c>
      <c r="K1765" s="1907"/>
      <c r="M1765" s="1885" t="s">
        <v>1016</v>
      </c>
    </row>
    <row r="1766" spans="1:13">
      <c r="A1766" s="2032"/>
      <c r="B1766" s="1878"/>
      <c r="C1766" s="1879"/>
      <c r="D1766" s="1880"/>
      <c r="E1766" s="1881"/>
      <c r="F1766" s="1882"/>
      <c r="G1766" s="1882"/>
      <c r="H1766" s="2017"/>
      <c r="I1766" s="2017"/>
      <c r="J1766" s="2017"/>
      <c r="K1766" s="1884"/>
      <c r="M1766" s="1885" t="s">
        <v>644</v>
      </c>
    </row>
    <row r="1767" spans="1:13" ht="24.75" thickBot="1">
      <c r="A1767" s="2034"/>
      <c r="B1767" s="2035"/>
      <c r="C1767" s="1888" t="str">
        <f>"รวมราคา "&amp;B1745</f>
        <v>รวมราคา งานสถาปัตยกรรม ชั้นหลังคา</v>
      </c>
      <c r="D1767" s="1889"/>
      <c r="E1767" s="1890"/>
      <c r="F1767" s="1891"/>
      <c r="G1767" s="1891"/>
      <c r="H1767" s="1891">
        <f>SUM(H1746:H1766)</f>
        <v>792945.79999999993</v>
      </c>
      <c r="I1767" s="1891">
        <f>SUM(I1746:I1766)</f>
        <v>202110.7</v>
      </c>
      <c r="J1767" s="1891">
        <f>SUM(J1746:J1766)</f>
        <v>995056.5</v>
      </c>
      <c r="K1767" s="1891"/>
      <c r="M1767" s="1885"/>
    </row>
    <row r="1768" spans="1:13" ht="25.5" thickTop="1" thickBot="1">
      <c r="A1768" s="2088"/>
      <c r="B1768" s="2089"/>
      <c r="C1768" s="2090" t="s">
        <v>172</v>
      </c>
      <c r="D1768" s="2091"/>
      <c r="E1768" s="2092"/>
      <c r="F1768" s="2093"/>
      <c r="G1768" s="2093"/>
      <c r="H1768" s="2093">
        <f>SUM(H1767,H1744,H1657,H1481,H1299,H1118,H934,H750,H574,H398,H191)</f>
        <v>46965316.261000007</v>
      </c>
      <c r="I1768" s="2093">
        <f>SUM(I1767,I1744,I1657,I1481,I1299,I1118,I934,I750,I574,I398,I191)</f>
        <v>14098150.262</v>
      </c>
      <c r="J1768" s="2093">
        <f>SUM(J1767,J1744,J1657,J1481,J1299,J1118,J934,J750,J574,J398,J191)</f>
        <v>61063466.523000009</v>
      </c>
      <c r="K1768" s="2094"/>
      <c r="L1768" s="1870"/>
      <c r="M1768" s="2078"/>
    </row>
    <row r="1769" spans="1:13" ht="24.75" thickTop="1">
      <c r="A1769" s="2391"/>
      <c r="B1769" s="2391"/>
      <c r="C1769" s="2391"/>
      <c r="D1769" s="2391"/>
      <c r="E1769" s="2391"/>
      <c r="F1769" s="2391"/>
      <c r="G1769" s="2391"/>
      <c r="H1769" s="2391"/>
      <c r="I1769" s="2391"/>
      <c r="J1769" s="2391"/>
      <c r="K1769" s="2391"/>
      <c r="M1769" s="2095">
        <v>300000000</v>
      </c>
    </row>
    <row r="1770" spans="1:13">
      <c r="B1770" s="1860"/>
      <c r="C1770" s="2133" t="s">
        <v>133</v>
      </c>
      <c r="D1770" s="2134"/>
      <c r="E1770" s="2135"/>
      <c r="F1770" s="2136"/>
      <c r="G1770" s="2137"/>
      <c r="H1770" s="2137"/>
      <c r="I1770" s="2137"/>
      <c r="J1770" s="2137"/>
      <c r="K1770" s="2137"/>
      <c r="L1770" s="2176"/>
      <c r="M1770" s="1853">
        <f>M1769*0.1</f>
        <v>30000000</v>
      </c>
    </row>
    <row r="1771" spans="1:13" ht="24" customHeight="1">
      <c r="B1771" s="2138"/>
      <c r="C1771" s="2139" t="s">
        <v>1769</v>
      </c>
      <c r="D1771" s="2140"/>
      <c r="E1771" s="1861"/>
      <c r="F1771" s="2135"/>
      <c r="G1771" s="2139" t="s">
        <v>134</v>
      </c>
      <c r="H1771" s="2138"/>
      <c r="I1771" s="2138"/>
      <c r="J1771" s="2138"/>
      <c r="K1771" s="2138"/>
      <c r="L1771" s="2177"/>
      <c r="M1771" s="1837"/>
    </row>
    <row r="1772" spans="1:13">
      <c r="B1772" s="1871"/>
      <c r="C1772" s="2141" t="s">
        <v>1970</v>
      </c>
      <c r="D1772" s="2140"/>
      <c r="E1772" s="2142"/>
      <c r="F1772" s="2143"/>
      <c r="G1772" s="2144" t="s">
        <v>1971</v>
      </c>
      <c r="H1772" s="2145"/>
      <c r="I1772" s="2145"/>
      <c r="J1772" s="2145"/>
      <c r="K1772" s="2145"/>
      <c r="L1772" s="2178"/>
      <c r="M1772" s="1837"/>
    </row>
    <row r="1773" spans="1:13" s="2142" customFormat="1">
      <c r="A1773" s="1837"/>
      <c r="B1773" s="2138"/>
      <c r="C1773" s="2139" t="s">
        <v>2031</v>
      </c>
      <c r="D1773" s="2140"/>
      <c r="E1773" s="1837"/>
      <c r="F1773" s="2146"/>
      <c r="G1773" s="2139" t="s">
        <v>2031</v>
      </c>
      <c r="H1773" s="1837"/>
      <c r="I1773" s="1837"/>
      <c r="J1773" s="1837"/>
      <c r="K1773" s="1837"/>
      <c r="L1773" s="2179"/>
      <c r="M1773" s="1837"/>
    </row>
    <row r="1774" spans="1:13" s="1837" customFormat="1">
      <c r="A1774" s="1952"/>
      <c r="B1774" s="1871"/>
      <c r="C1774" s="2147" t="s">
        <v>1984</v>
      </c>
      <c r="D1774" s="2140"/>
      <c r="F1774" s="2135"/>
      <c r="G1774" s="2147" t="s">
        <v>1985</v>
      </c>
      <c r="H1774" s="1952"/>
      <c r="I1774" s="1952"/>
      <c r="J1774" s="1952"/>
      <c r="K1774" s="1952"/>
      <c r="L1774" s="1840"/>
      <c r="M1774" s="1902"/>
    </row>
    <row r="1775" spans="1:13" s="1837" customFormat="1">
      <c r="A1775" s="1952"/>
      <c r="B1775" s="1952"/>
      <c r="C1775" s="2139" t="s">
        <v>670</v>
      </c>
      <c r="D1775" s="2139"/>
      <c r="E1775" s="2143"/>
      <c r="F1775" s="2143"/>
      <c r="G1775" s="1952"/>
      <c r="H1775" s="1952"/>
      <c r="I1775" s="1952"/>
      <c r="J1775" s="1952"/>
      <c r="K1775" s="1952"/>
      <c r="L1775" s="2176"/>
    </row>
    <row r="1776" spans="1:13" s="1837" customFormat="1">
      <c r="A1776" s="1840"/>
      <c r="B1776" s="1840"/>
      <c r="C1776" s="2147" t="s">
        <v>1972</v>
      </c>
      <c r="D1776" s="2147"/>
      <c r="E1776" s="2146"/>
      <c r="F1776" s="2146"/>
      <c r="G1776" s="1870"/>
      <c r="H1776" s="1870"/>
      <c r="I1776" s="1870"/>
      <c r="J1776" s="1870"/>
      <c r="K1776" s="1871"/>
      <c r="L1776" s="2176"/>
    </row>
  </sheetData>
  <autoFilter ref="C1:C1776" xr:uid="{00000000-0001-0000-0900-000000000000}"/>
  <mergeCells count="124">
    <mergeCell ref="B1359:C1359"/>
    <mergeCell ref="B1507:C1507"/>
    <mergeCell ref="B1658:C1658"/>
    <mergeCell ref="B1545:C1545"/>
    <mergeCell ref="B1570:C1570"/>
    <mergeCell ref="B1762:C1762"/>
    <mergeCell ref="B1748:C1748"/>
    <mergeCell ref="B1740:C1740"/>
    <mergeCell ref="B1746:C1746"/>
    <mergeCell ref="B1745:C1745"/>
    <mergeCell ref="B1708:C1708"/>
    <mergeCell ref="B1713:C1713"/>
    <mergeCell ref="B1734:C1734"/>
    <mergeCell ref="B1722:C1722"/>
    <mergeCell ref="B1719:C1719"/>
    <mergeCell ref="B1720:C1720"/>
    <mergeCell ref="B1653:C1653"/>
    <mergeCell ref="B1546:C1546"/>
    <mergeCell ref="B1318:C1318"/>
    <mergeCell ref="B1358:C1358"/>
    <mergeCell ref="B1702:C1702"/>
    <mergeCell ref="B1664:C1664"/>
    <mergeCell ref="B923:C923"/>
    <mergeCell ref="B1288:C1288"/>
    <mergeCell ref="B1470:C1470"/>
    <mergeCell ref="B1647:C1647"/>
    <mergeCell ref="B1113:C1113"/>
    <mergeCell ref="B1119:C1119"/>
    <mergeCell ref="B1120:C1120"/>
    <mergeCell ref="B1137:C1137"/>
    <mergeCell ref="B1141:C1141"/>
    <mergeCell ref="B1107:C1107"/>
    <mergeCell ref="B1300:C1300"/>
    <mergeCell ref="B1393:C1393"/>
    <mergeCell ref="B1476:C1476"/>
    <mergeCell ref="B1482:C1482"/>
    <mergeCell ref="B1219:C1219"/>
    <mergeCell ref="B1483:C1483"/>
    <mergeCell ref="B1369:C1369"/>
    <mergeCell ref="B1301:C1301"/>
    <mergeCell ref="B1294:C1294"/>
    <mergeCell ref="B1322:C1322"/>
    <mergeCell ref="B1012:C1012"/>
    <mergeCell ref="B1194:C1194"/>
    <mergeCell ref="B419:C419"/>
    <mergeCell ref="B400:C400"/>
    <mergeCell ref="B449:C449"/>
    <mergeCell ref="B374:C374"/>
    <mergeCell ref="B563:C563"/>
    <mergeCell ref="B472:C472"/>
    <mergeCell ref="A1:K1"/>
    <mergeCell ref="A2:A8"/>
    <mergeCell ref="A9:A10"/>
    <mergeCell ref="B9:C10"/>
    <mergeCell ref="D9:D10"/>
    <mergeCell ref="E9:E10"/>
    <mergeCell ref="F9:G9"/>
    <mergeCell ref="H9:I9"/>
    <mergeCell ref="K9:K10"/>
    <mergeCell ref="B14:C14"/>
    <mergeCell ref="B399:C399"/>
    <mergeCell ref="B250:C250"/>
    <mergeCell ref="B280:C280"/>
    <mergeCell ref="B15:C15"/>
    <mergeCell ref="B55:C55"/>
    <mergeCell ref="B214:C214"/>
    <mergeCell ref="B210:C210"/>
    <mergeCell ref="B193:C193"/>
    <mergeCell ref="B180:C180"/>
    <mergeCell ref="B125:C125"/>
    <mergeCell ref="B244:C244"/>
    <mergeCell ref="B165:C165"/>
    <mergeCell ref="B236:C236"/>
    <mergeCell ref="B269:C269"/>
    <mergeCell ref="B96:C96"/>
    <mergeCell ref="B192:C192"/>
    <mergeCell ref="A1769:K1769"/>
    <mergeCell ref="B621:C621"/>
    <mergeCell ref="B628:C628"/>
    <mergeCell ref="B634:C634"/>
    <mergeCell ref="B662:C662"/>
    <mergeCell ref="B712:C712"/>
    <mergeCell ref="B635:C635"/>
    <mergeCell ref="B650:C650"/>
    <mergeCell ref="B810:C810"/>
    <mergeCell ref="B828:C828"/>
    <mergeCell ref="B739:C739"/>
    <mergeCell ref="B929:C929"/>
    <mergeCell ref="B943:C943"/>
    <mergeCell ref="B944:C944"/>
    <mergeCell ref="B953:C953"/>
    <mergeCell ref="B957:C957"/>
    <mergeCell ref="B1185:C1185"/>
    <mergeCell ref="B1688:C1688"/>
    <mergeCell ref="B1659:C1659"/>
    <mergeCell ref="B979:C979"/>
    <mergeCell ref="B987:C987"/>
    <mergeCell ref="B1001:C1001"/>
    <mergeCell ref="B1563:C1563"/>
    <mergeCell ref="B1002:C1002"/>
    <mergeCell ref="N2:N8"/>
    <mergeCell ref="N9:N10"/>
    <mergeCell ref="B896:C896"/>
    <mergeCell ref="B745:C745"/>
    <mergeCell ref="B751:C751"/>
    <mergeCell ref="B752:C752"/>
    <mergeCell ref="B769:C769"/>
    <mergeCell ref="B773:C773"/>
    <mergeCell ref="B803:C803"/>
    <mergeCell ref="B809:C809"/>
    <mergeCell ref="B494:C494"/>
    <mergeCell ref="B536:C536"/>
    <mergeCell ref="B569:C569"/>
    <mergeCell ref="B583:C583"/>
    <mergeCell ref="B473:C473"/>
    <mergeCell ref="B483:C483"/>
    <mergeCell ref="B584:C584"/>
    <mergeCell ref="B854:C854"/>
    <mergeCell ref="B594:C594"/>
    <mergeCell ref="B598:C598"/>
    <mergeCell ref="B13:C13"/>
    <mergeCell ref="B329:C329"/>
    <mergeCell ref="B251:C251"/>
    <mergeCell ref="B388:C388"/>
  </mergeCells>
  <phoneticPr fontId="17" type="noConversion"/>
  <printOptions horizontalCentered="1"/>
  <pageMargins left="0.43307086614173229" right="0.23622047244094491" top="0.51181102362204722" bottom="0.27559055118110237" header="0.51181102362204722" footer="0.31496062992125984"/>
  <pageSetup paperSize="9" scale="42" fitToHeight="0" orientation="landscape" r:id="rId1"/>
  <headerFooter alignWithMargins="0">
    <oddHeader>&amp;R&amp;"TH Sarabun New,ตัวหนา"&amp;16แบบ ปร.4 หน้าที่ &amp;P จาก &amp;N</oddHeader>
  </headerFooter>
  <rowBreaks count="58" manualBreakCount="58">
    <brk id="39" max="10" man="1"/>
    <brk id="65" max="10" man="1"/>
    <brk id="95" max="10" man="1"/>
    <brk id="124" max="10" man="1"/>
    <brk id="150" max="10" man="1"/>
    <brk id="179" max="10" man="1"/>
    <brk id="209" max="10" man="1"/>
    <brk id="235" max="10" man="1"/>
    <brk id="263" max="10" man="1"/>
    <brk id="294" max="10" man="1"/>
    <brk id="325" max="10" man="1"/>
    <brk id="354" max="10" man="1"/>
    <brk id="385" max="10" man="1"/>
    <brk id="415" max="10" man="1"/>
    <brk id="442" max="10" man="1"/>
    <brk id="470" max="10" man="1"/>
    <brk id="510" max="10" man="1"/>
    <brk id="547" max="10" man="1"/>
    <brk id="582" max="10" man="1"/>
    <brk id="620" max="10" man="1"/>
    <brk id="649" max="10" man="1"/>
    <brk id="683" max="10" man="1"/>
    <brk id="711" max="10" man="1"/>
    <brk id="738" max="10" man="1"/>
    <brk id="768" max="10" man="1"/>
    <brk id="792" max="10" man="1"/>
    <brk id="820" max="10" man="1"/>
    <brk id="851" max="10" man="1"/>
    <brk id="882" max="10" man="1"/>
    <brk id="912" max="10" man="1"/>
    <brk id="942" max="10" man="1"/>
    <brk id="970" max="10" man="1"/>
    <brk id="997" max="10" man="1"/>
    <brk id="1028" max="10" man="1"/>
    <brk id="1059" max="10" man="1"/>
    <brk id="1096" max="10" man="1"/>
    <brk id="1128" max="10" man="1"/>
    <brk id="1157" max="10" man="1"/>
    <brk id="1184" max="10" man="1"/>
    <brk id="1218" max="10" man="1"/>
    <brk id="1248" max="10" man="1"/>
    <brk id="1280" max="10" man="1"/>
    <brk id="1314" max="10" man="1"/>
    <brk id="1345" max="10" man="1"/>
    <brk id="1381" max="10" man="1"/>
    <brk id="1411" max="10" man="1"/>
    <brk id="1440" max="10" man="1"/>
    <brk id="1465" max="10" man="1"/>
    <brk id="1493" max="10" man="1"/>
    <brk id="1529" max="10" man="1"/>
    <brk id="1556" max="10" man="1"/>
    <brk id="1589" max="10" man="1"/>
    <brk id="1612" max="10" man="1"/>
    <brk id="1642" max="10" man="1"/>
    <brk id="1673" max="10" man="1"/>
    <brk id="1700" max="10" man="1"/>
    <brk id="1731" max="10" man="1"/>
    <brk id="1761" max="10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M306"/>
  <sheetViews>
    <sheetView showGridLines="0" showWhiteSpace="0" view="pageBreakPreview" zoomScale="85" zoomScaleNormal="60" zoomScaleSheetLayoutView="85" zoomScalePageLayoutView="40" workbookViewId="0">
      <selection activeCell="C45" sqref="C45"/>
    </sheetView>
  </sheetViews>
  <sheetFormatPr defaultColWidth="9.42578125" defaultRowHeight="24" customHeight="1"/>
  <cols>
    <col min="1" max="1" width="15.28515625" style="1022" customWidth="1"/>
    <col min="2" max="2" width="6.28515625" style="1022" customWidth="1"/>
    <col min="3" max="3" width="58.140625" style="1025" customWidth="1"/>
    <col min="4" max="4" width="10" style="1023" bestFit="1" customWidth="1"/>
    <col min="5" max="5" width="10.42578125" style="1022" customWidth="1"/>
    <col min="6" max="9" width="15.7109375" style="1024" customWidth="1"/>
    <col min="10" max="10" width="16.42578125" style="1024" bestFit="1" customWidth="1"/>
    <col min="11" max="11" width="13.5703125" style="1015" customWidth="1"/>
    <col min="12" max="12" width="13.28515625" style="1015" customWidth="1"/>
    <col min="13" max="13" width="52.5703125" style="1015" customWidth="1"/>
    <col min="14" max="16384" width="9.42578125" style="1015"/>
  </cols>
  <sheetData>
    <row r="1" spans="1:13" s="910" customFormat="1" ht="24" customHeight="1">
      <c r="A1" s="2418" t="str">
        <f>'[2]กลุ่มงานที่1 '!A1:F1</f>
        <v xml:space="preserve">แบบแสดงรายการ ปริมาณงาน และราคา  </v>
      </c>
      <c r="B1" s="2418"/>
      <c r="C1" s="2418"/>
      <c r="D1" s="2418"/>
      <c r="E1" s="2418"/>
      <c r="F1" s="2418"/>
      <c r="G1" s="2418"/>
      <c r="H1" s="2418"/>
      <c r="I1" s="2418"/>
      <c r="J1" s="2418"/>
      <c r="K1" s="2418"/>
      <c r="L1" s="878"/>
    </row>
    <row r="2" spans="1:13" s="866" customFormat="1" ht="24" customHeight="1">
      <c r="A2" s="2429"/>
      <c r="B2" s="911"/>
      <c r="C2" s="867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G2" s="869"/>
      <c r="I2" s="868"/>
      <c r="J2" s="401"/>
      <c r="K2" s="912"/>
      <c r="L2" s="912"/>
    </row>
    <row r="3" spans="1:13" s="866" customFormat="1" ht="24" customHeight="1">
      <c r="A3" s="2429"/>
      <c r="B3" s="911"/>
      <c r="C3" s="871" t="str">
        <f>[2]ปร6!B3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I3" s="868"/>
      <c r="J3" s="401"/>
      <c r="K3" s="913"/>
      <c r="L3" s="913"/>
    </row>
    <row r="4" spans="1:13" s="866" customFormat="1" ht="24" customHeight="1">
      <c r="A4" s="2429"/>
      <c r="B4" s="911"/>
      <c r="C4" s="871" t="str">
        <f>[2]ปร6!B4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I4" s="868"/>
      <c r="J4" s="401"/>
      <c r="K4" s="913"/>
      <c r="L4" s="913"/>
    </row>
    <row r="5" spans="1:13" s="866" customFormat="1" ht="24" customHeight="1">
      <c r="A5" s="2429"/>
      <c r="B5" s="911"/>
      <c r="C5" s="866" t="str">
        <f>[2]ปร6!B5</f>
        <v>แบบเลขที่  RMUTP-DOA-63-4-PL001.</v>
      </c>
      <c r="I5" s="868"/>
      <c r="J5" s="401"/>
      <c r="K5" s="913"/>
      <c r="L5" s="913"/>
    </row>
    <row r="6" spans="1:13" s="872" customFormat="1" ht="24" customHeight="1">
      <c r="A6" s="2429"/>
      <c r="B6" s="911"/>
      <c r="C6" s="872" t="str">
        <f>[2]ปร6!B6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875"/>
      <c r="E6" s="875"/>
      <c r="F6" s="875"/>
      <c r="G6" s="876"/>
      <c r="I6" s="874"/>
      <c r="K6" s="914"/>
      <c r="L6" s="914"/>
    </row>
    <row r="7" spans="1:13" s="872" customFormat="1" ht="24" customHeight="1">
      <c r="A7" s="2429"/>
      <c r="B7" s="911"/>
      <c r="C7" s="872" t="str">
        <f>ปร6!B7</f>
        <v>คำนวณราคากลาง   เมื่อวันที่ 16  เดือน สิงหาคม พ.ศ. 2567</v>
      </c>
      <c r="D7" s="875"/>
      <c r="E7" s="875"/>
      <c r="F7" s="877"/>
      <c r="G7" s="876"/>
      <c r="I7" s="874"/>
      <c r="K7" s="912" t="s">
        <v>146</v>
      </c>
      <c r="L7" s="912"/>
    </row>
    <row r="8" spans="1:13" s="915" customFormat="1" ht="24" customHeight="1">
      <c r="A8" s="2429"/>
      <c r="B8" s="911"/>
      <c r="C8" s="871"/>
      <c r="E8" s="916"/>
      <c r="F8" s="917"/>
      <c r="H8" s="868"/>
      <c r="I8" s="868"/>
      <c r="J8" s="868"/>
      <c r="K8" s="918"/>
      <c r="L8" s="918"/>
    </row>
    <row r="9" spans="1:13" s="920" customFormat="1" ht="24" customHeight="1">
      <c r="A9" s="2419" t="s">
        <v>52</v>
      </c>
      <c r="B9" s="2420" t="s">
        <v>53</v>
      </c>
      <c r="C9" s="2421"/>
      <c r="D9" s="2428" t="s">
        <v>54</v>
      </c>
      <c r="E9" s="2419" t="s">
        <v>55</v>
      </c>
      <c r="F9" s="2426" t="s">
        <v>1772</v>
      </c>
      <c r="G9" s="2426"/>
      <c r="H9" s="2426" t="s">
        <v>1772</v>
      </c>
      <c r="I9" s="2426"/>
      <c r="J9" s="2424" t="s">
        <v>64</v>
      </c>
      <c r="K9" s="2419" t="s">
        <v>58</v>
      </c>
      <c r="L9" s="919"/>
    </row>
    <row r="10" spans="1:13" s="922" customFormat="1" ht="24" customHeight="1">
      <c r="A10" s="2419"/>
      <c r="B10" s="2422"/>
      <c r="C10" s="2423"/>
      <c r="D10" s="2428"/>
      <c r="E10" s="2419"/>
      <c r="F10" s="921" t="s">
        <v>59</v>
      </c>
      <c r="G10" s="921" t="s">
        <v>60</v>
      </c>
      <c r="H10" s="921" t="s">
        <v>62</v>
      </c>
      <c r="I10" s="921" t="s">
        <v>63</v>
      </c>
      <c r="J10" s="2425"/>
      <c r="K10" s="2419"/>
      <c r="L10" s="919"/>
    </row>
    <row r="11" spans="1:13" s="922" customFormat="1" ht="24" customHeight="1">
      <c r="A11" s="923"/>
      <c r="B11" s="2427" t="s">
        <v>81</v>
      </c>
      <c r="C11" s="2427"/>
      <c r="D11" s="924"/>
      <c r="E11" s="925"/>
      <c r="F11" s="926"/>
      <c r="G11" s="926"/>
      <c r="H11" s="926"/>
      <c r="I11" s="926"/>
      <c r="J11" s="926"/>
      <c r="K11" s="927"/>
      <c r="L11" s="928"/>
    </row>
    <row r="12" spans="1:13" s="922" customFormat="1" ht="24" customHeight="1">
      <c r="A12" s="929">
        <v>3</v>
      </c>
      <c r="B12" s="2430" t="s">
        <v>1243</v>
      </c>
      <c r="C12" s="2430"/>
      <c r="D12" s="930"/>
      <c r="E12" s="926"/>
      <c r="F12" s="931"/>
      <c r="G12" s="931"/>
      <c r="H12" s="931"/>
      <c r="I12" s="931"/>
      <c r="J12" s="931"/>
      <c r="K12" s="931"/>
      <c r="L12" s="932"/>
    </row>
    <row r="13" spans="1:13" s="922" customFormat="1" ht="24" customHeight="1">
      <c r="A13" s="929">
        <v>3.1</v>
      </c>
      <c r="B13" s="2431" t="s">
        <v>1244</v>
      </c>
      <c r="C13" s="2432"/>
      <c r="D13" s="930"/>
      <c r="E13" s="926"/>
      <c r="F13" s="931"/>
      <c r="G13" s="931"/>
      <c r="H13" s="931"/>
      <c r="I13" s="931"/>
      <c r="J13" s="931"/>
      <c r="K13" s="931"/>
      <c r="L13" s="932"/>
    </row>
    <row r="14" spans="1:13" s="922" customFormat="1" ht="24" customHeight="1">
      <c r="A14" s="933" t="s">
        <v>117</v>
      </c>
      <c r="B14" s="2433" t="s">
        <v>1245</v>
      </c>
      <c r="C14" s="2434"/>
      <c r="D14" s="406"/>
      <c r="E14" s="934"/>
      <c r="F14" s="449"/>
      <c r="G14" s="449"/>
      <c r="H14" s="449"/>
      <c r="I14" s="449"/>
      <c r="J14" s="449"/>
      <c r="K14" s="449"/>
      <c r="L14" s="932"/>
    </row>
    <row r="15" spans="1:13" s="922" customFormat="1" ht="24" customHeight="1">
      <c r="A15" s="935"/>
      <c r="B15" s="2439" t="s">
        <v>443</v>
      </c>
      <c r="C15" s="2417"/>
      <c r="D15" s="404"/>
      <c r="E15" s="936"/>
      <c r="F15" s="414"/>
      <c r="G15" s="414"/>
      <c r="H15" s="414"/>
      <c r="I15" s="414"/>
      <c r="J15" s="414"/>
      <c r="K15" s="414"/>
      <c r="L15" s="932"/>
    </row>
    <row r="16" spans="1:13" s="922" customFormat="1" ht="24" customHeight="1">
      <c r="A16" s="935"/>
      <c r="B16" s="892" t="s">
        <v>139</v>
      </c>
      <c r="C16" s="937" t="s">
        <v>444</v>
      </c>
      <c r="D16" s="404">
        <v>1</v>
      </c>
      <c r="E16" s="936" t="s">
        <v>5</v>
      </c>
      <c r="F16" s="414">
        <v>380000</v>
      </c>
      <c r="G16" s="414">
        <v>48000</v>
      </c>
      <c r="H16" s="414">
        <f>D16*F16</f>
        <v>380000</v>
      </c>
      <c r="I16" s="414">
        <f>D16*G16</f>
        <v>48000</v>
      </c>
      <c r="J16" s="414">
        <f>H16+I16</f>
        <v>428000</v>
      </c>
      <c r="K16" s="938"/>
      <c r="L16" s="414" t="s">
        <v>1954</v>
      </c>
      <c r="M16" s="939" t="s">
        <v>622</v>
      </c>
    </row>
    <row r="17" spans="1:13" s="922" customFormat="1" ht="24" customHeight="1">
      <c r="A17" s="935"/>
      <c r="B17" s="892"/>
      <c r="C17" s="937" t="s">
        <v>1844</v>
      </c>
      <c r="D17" s="404"/>
      <c r="E17" s="936"/>
      <c r="F17" s="414"/>
      <c r="G17" s="414"/>
      <c r="H17" s="414"/>
      <c r="I17" s="414"/>
      <c r="J17" s="414"/>
      <c r="K17" s="414"/>
      <c r="L17" s="932"/>
    </row>
    <row r="18" spans="1:13" s="922" customFormat="1" ht="24" customHeight="1">
      <c r="A18" s="935"/>
      <c r="B18" s="892"/>
      <c r="C18" s="937" t="s">
        <v>1845</v>
      </c>
      <c r="D18" s="404"/>
      <c r="E18" s="936"/>
      <c r="F18" s="414"/>
      <c r="G18" s="414"/>
      <c r="H18" s="414"/>
      <c r="I18" s="414"/>
      <c r="J18" s="414"/>
      <c r="K18" s="414"/>
      <c r="L18" s="932"/>
    </row>
    <row r="19" spans="1:13" s="922" customFormat="1" ht="24" customHeight="1">
      <c r="A19" s="935"/>
      <c r="B19" s="892"/>
      <c r="C19" s="937" t="s">
        <v>1246</v>
      </c>
      <c r="D19" s="404"/>
      <c r="E19" s="936"/>
      <c r="F19" s="414"/>
      <c r="G19" s="414"/>
      <c r="H19" s="414"/>
      <c r="I19" s="414"/>
      <c r="J19" s="414"/>
      <c r="K19" s="414"/>
      <c r="L19" s="932"/>
    </row>
    <row r="20" spans="1:13" s="922" customFormat="1" ht="24" customHeight="1">
      <c r="A20" s="935"/>
      <c r="B20" s="892"/>
      <c r="C20" s="940" t="s">
        <v>1247</v>
      </c>
      <c r="D20" s="404"/>
      <c r="E20" s="936"/>
      <c r="F20" s="414"/>
      <c r="G20" s="414"/>
      <c r="H20" s="414"/>
      <c r="I20" s="414"/>
      <c r="J20" s="414"/>
      <c r="K20" s="414"/>
      <c r="L20" s="932"/>
    </row>
    <row r="21" spans="1:13" s="922" customFormat="1" ht="24" customHeight="1">
      <c r="A21" s="935"/>
      <c r="B21" s="2439" t="s">
        <v>445</v>
      </c>
      <c r="C21" s="2417"/>
      <c r="D21" s="404"/>
      <c r="E21" s="936"/>
      <c r="F21" s="414"/>
      <c r="G21" s="414"/>
      <c r="H21" s="414"/>
      <c r="I21" s="414"/>
      <c r="J21" s="414"/>
      <c r="K21" s="414"/>
      <c r="L21" s="932"/>
    </row>
    <row r="22" spans="1:13" s="922" customFormat="1" ht="24" customHeight="1">
      <c r="A22" s="935"/>
      <c r="B22" s="892" t="s">
        <v>139</v>
      </c>
      <c r="C22" s="937" t="s">
        <v>446</v>
      </c>
      <c r="D22" s="404">
        <v>1</v>
      </c>
      <c r="E22" s="936" t="s">
        <v>5</v>
      </c>
      <c r="F22" s="414">
        <v>268000</v>
      </c>
      <c r="G22" s="414">
        <v>30000</v>
      </c>
      <c r="H22" s="414">
        <f>D22*F22</f>
        <v>268000</v>
      </c>
      <c r="I22" s="414">
        <f>D22*G22</f>
        <v>30000</v>
      </c>
      <c r="J22" s="414">
        <f>H22+I22</f>
        <v>298000</v>
      </c>
      <c r="K22" s="938"/>
      <c r="L22" s="414" t="s">
        <v>1954</v>
      </c>
      <c r="M22" s="939" t="s">
        <v>622</v>
      </c>
    </row>
    <row r="23" spans="1:13" s="922" customFormat="1" ht="24" customHeight="1">
      <c r="A23" s="935"/>
      <c r="B23" s="892"/>
      <c r="C23" s="940" t="s">
        <v>1248</v>
      </c>
      <c r="D23" s="404"/>
      <c r="E23" s="936"/>
      <c r="F23" s="414"/>
      <c r="G23" s="414"/>
      <c r="H23" s="414"/>
      <c r="I23" s="414"/>
      <c r="J23" s="414"/>
      <c r="K23" s="414"/>
      <c r="L23" s="932"/>
    </row>
    <row r="24" spans="1:13" s="922" customFormat="1" ht="24" customHeight="1">
      <c r="A24" s="935"/>
      <c r="B24" s="892"/>
      <c r="C24" s="937" t="s">
        <v>1249</v>
      </c>
      <c r="D24" s="404"/>
      <c r="E24" s="936"/>
      <c r="F24" s="414"/>
      <c r="G24" s="414"/>
      <c r="H24" s="414"/>
      <c r="I24" s="414"/>
      <c r="J24" s="414"/>
      <c r="K24" s="414"/>
      <c r="L24" s="932"/>
      <c r="M24" s="941"/>
    </row>
    <row r="25" spans="1:13" s="922" customFormat="1" ht="24" customHeight="1">
      <c r="A25" s="935" t="s">
        <v>118</v>
      </c>
      <c r="B25" s="2409" t="s">
        <v>447</v>
      </c>
      <c r="C25" s="2440"/>
      <c r="D25" s="404"/>
      <c r="E25" s="936"/>
      <c r="F25" s="414"/>
      <c r="G25" s="414"/>
      <c r="H25" s="414"/>
      <c r="I25" s="414"/>
      <c r="J25" s="414"/>
      <c r="K25" s="414"/>
      <c r="L25" s="932"/>
    </row>
    <row r="26" spans="1:13" s="922" customFormat="1" ht="24" customHeight="1">
      <c r="A26" s="935"/>
      <c r="B26" s="2416" t="s">
        <v>448</v>
      </c>
      <c r="C26" s="2417"/>
      <c r="D26" s="404"/>
      <c r="E26" s="936"/>
      <c r="F26" s="414"/>
      <c r="G26" s="414"/>
      <c r="H26" s="414"/>
      <c r="I26" s="414"/>
      <c r="J26" s="414"/>
      <c r="K26" s="414"/>
      <c r="L26" s="932"/>
    </row>
    <row r="27" spans="1:13" s="922" customFormat="1" ht="24" customHeight="1">
      <c r="A27" s="935"/>
      <c r="B27" s="892" t="s">
        <v>139</v>
      </c>
      <c r="C27" s="940" t="s">
        <v>1250</v>
      </c>
      <c r="D27" s="404">
        <v>50</v>
      </c>
      <c r="E27" s="936" t="s">
        <v>84</v>
      </c>
      <c r="F27" s="414">
        <v>50</v>
      </c>
      <c r="G27" s="414">
        <v>30</v>
      </c>
      <c r="H27" s="414">
        <f>D27*F27</f>
        <v>2500</v>
      </c>
      <c r="I27" s="414">
        <f>D27*G27</f>
        <v>1500</v>
      </c>
      <c r="J27" s="414">
        <f>H27+I27</f>
        <v>4000</v>
      </c>
      <c r="K27" s="414"/>
      <c r="L27" s="932"/>
      <c r="M27" s="942" t="s">
        <v>642</v>
      </c>
    </row>
    <row r="28" spans="1:13" s="922" customFormat="1" ht="24" customHeight="1">
      <c r="A28" s="935"/>
      <c r="B28" s="2416" t="s">
        <v>449</v>
      </c>
      <c r="C28" s="2417"/>
      <c r="D28" s="404"/>
      <c r="E28" s="936"/>
      <c r="F28" s="414"/>
      <c r="G28" s="414"/>
      <c r="H28" s="414"/>
      <c r="I28" s="414"/>
      <c r="J28" s="414"/>
      <c r="K28" s="414"/>
      <c r="L28" s="932"/>
    </row>
    <row r="29" spans="1:13" s="922" customFormat="1" ht="24" customHeight="1">
      <c r="A29" s="935"/>
      <c r="B29" s="892" t="s">
        <v>139</v>
      </c>
      <c r="C29" s="940" t="s">
        <v>450</v>
      </c>
      <c r="D29" s="404">
        <v>920</v>
      </c>
      <c r="E29" s="936" t="s">
        <v>84</v>
      </c>
      <c r="F29" s="414">
        <v>22</v>
      </c>
      <c r="G29" s="414">
        <v>30</v>
      </c>
      <c r="H29" s="414">
        <f t="shared" ref="H29:H42" si="0">D29*F29</f>
        <v>20240</v>
      </c>
      <c r="I29" s="414">
        <f t="shared" ref="I29:I42" si="1">D29*G29</f>
        <v>27600</v>
      </c>
      <c r="J29" s="414">
        <f t="shared" ref="J29:J42" si="2">H29+I29</f>
        <v>47840</v>
      </c>
      <c r="K29" s="414"/>
      <c r="L29" s="932"/>
      <c r="M29" s="942" t="s">
        <v>642</v>
      </c>
    </row>
    <row r="30" spans="1:13" s="922" customFormat="1" ht="24" customHeight="1">
      <c r="A30" s="935"/>
      <c r="B30" s="892" t="s">
        <v>139</v>
      </c>
      <c r="C30" s="940" t="s">
        <v>451</v>
      </c>
      <c r="D30" s="404">
        <v>60</v>
      </c>
      <c r="E30" s="936" t="s">
        <v>84</v>
      </c>
      <c r="F30" s="414">
        <v>28</v>
      </c>
      <c r="G30" s="414">
        <v>30</v>
      </c>
      <c r="H30" s="414">
        <f t="shared" si="0"/>
        <v>1680</v>
      </c>
      <c r="I30" s="414">
        <f t="shared" si="1"/>
        <v>1800</v>
      </c>
      <c r="J30" s="414">
        <f t="shared" si="2"/>
        <v>3480</v>
      </c>
      <c r="K30" s="414"/>
      <c r="L30" s="932"/>
      <c r="M30" s="942" t="s">
        <v>642</v>
      </c>
    </row>
    <row r="31" spans="1:13" s="922" customFormat="1" ht="24" customHeight="1">
      <c r="A31" s="935"/>
      <c r="B31" s="892" t="s">
        <v>139</v>
      </c>
      <c r="C31" s="940" t="s">
        <v>452</v>
      </c>
      <c r="D31" s="404">
        <v>580</v>
      </c>
      <c r="E31" s="936" t="s">
        <v>84</v>
      </c>
      <c r="F31" s="414">
        <v>36</v>
      </c>
      <c r="G31" s="414">
        <v>40</v>
      </c>
      <c r="H31" s="414">
        <f t="shared" si="0"/>
        <v>20880</v>
      </c>
      <c r="I31" s="414">
        <f t="shared" si="1"/>
        <v>23200</v>
      </c>
      <c r="J31" s="414">
        <f t="shared" si="2"/>
        <v>44080</v>
      </c>
      <c r="K31" s="414"/>
      <c r="L31" s="932"/>
      <c r="M31" s="942" t="s">
        <v>642</v>
      </c>
    </row>
    <row r="32" spans="1:13" s="922" customFormat="1" ht="24" customHeight="1">
      <c r="A32" s="935"/>
      <c r="B32" s="892" t="s">
        <v>139</v>
      </c>
      <c r="C32" s="940" t="s">
        <v>1251</v>
      </c>
      <c r="D32" s="404">
        <v>280</v>
      </c>
      <c r="E32" s="936" t="s">
        <v>84</v>
      </c>
      <c r="F32" s="414">
        <v>60</v>
      </c>
      <c r="G32" s="414">
        <v>40</v>
      </c>
      <c r="H32" s="414">
        <f t="shared" si="0"/>
        <v>16800</v>
      </c>
      <c r="I32" s="414">
        <f t="shared" si="1"/>
        <v>11200</v>
      </c>
      <c r="J32" s="414">
        <f t="shared" si="2"/>
        <v>28000</v>
      </c>
      <c r="K32" s="414"/>
      <c r="L32" s="932"/>
      <c r="M32" s="942" t="s">
        <v>642</v>
      </c>
    </row>
    <row r="33" spans="1:13" s="922" customFormat="1" ht="24" customHeight="1">
      <c r="A33" s="1641"/>
      <c r="B33" s="1641"/>
      <c r="C33" s="1641"/>
      <c r="D33" s="1009"/>
      <c r="E33" s="1010"/>
      <c r="F33" s="1010"/>
      <c r="G33" s="1010"/>
      <c r="H33" s="1010"/>
      <c r="I33" s="1010"/>
      <c r="J33" s="1010"/>
      <c r="K33" s="1010"/>
      <c r="L33" s="932"/>
      <c r="M33" s="942"/>
    </row>
    <row r="34" spans="1:13" s="922" customFormat="1" ht="24" customHeight="1">
      <c r="A34" s="1013"/>
      <c r="B34" s="869"/>
      <c r="C34" s="1013" t="s">
        <v>133</v>
      </c>
      <c r="D34" s="418"/>
      <c r="E34" s="1014"/>
      <c r="F34" s="1014"/>
      <c r="G34" s="868"/>
      <c r="H34" s="868"/>
      <c r="I34" s="866"/>
      <c r="J34" s="866"/>
      <c r="K34" s="866"/>
      <c r="L34" s="932"/>
      <c r="M34" s="942"/>
    </row>
    <row r="35" spans="1:13" s="922" customFormat="1" ht="24" customHeight="1">
      <c r="A35" s="1642"/>
      <c r="B35" s="2407" t="s">
        <v>1769</v>
      </c>
      <c r="C35" s="2407"/>
      <c r="D35" s="1017"/>
      <c r="E35" s="1017"/>
      <c r="F35" s="1017"/>
      <c r="G35" s="1017" t="s">
        <v>134</v>
      </c>
      <c r="H35" s="1017"/>
      <c r="I35" s="1017"/>
      <c r="J35" s="1017"/>
      <c r="K35" s="1017"/>
      <c r="L35" s="932"/>
      <c r="M35" s="942"/>
    </row>
    <row r="36" spans="1:13" s="922" customFormat="1" ht="24" customHeight="1">
      <c r="A36" s="1643"/>
      <c r="B36" s="2408" t="s">
        <v>1970</v>
      </c>
      <c r="C36" s="2408"/>
      <c r="D36" s="419"/>
      <c r="E36" s="419"/>
      <c r="F36" s="419"/>
      <c r="G36" s="1019" t="s">
        <v>1971</v>
      </c>
      <c r="H36" s="419"/>
      <c r="I36" s="419"/>
      <c r="J36" s="419"/>
      <c r="K36" s="419"/>
      <c r="L36" s="932"/>
      <c r="M36" s="942"/>
    </row>
    <row r="37" spans="1:13" s="922" customFormat="1" ht="24" customHeight="1">
      <c r="A37" s="866"/>
      <c r="B37" s="1017" t="s">
        <v>2031</v>
      </c>
      <c r="C37" s="866"/>
      <c r="D37" s="419"/>
      <c r="E37" s="419"/>
      <c r="F37" s="419"/>
      <c r="G37" s="1017" t="s">
        <v>2031</v>
      </c>
      <c r="H37" s="419"/>
      <c r="I37" s="419"/>
      <c r="J37" s="419"/>
      <c r="K37" s="419"/>
      <c r="L37" s="932"/>
      <c r="M37" s="942"/>
    </row>
    <row r="38" spans="1:13" s="922" customFormat="1" ht="24" customHeight="1">
      <c r="A38" s="1017"/>
      <c r="B38" s="419" t="s">
        <v>1984</v>
      </c>
      <c r="C38" s="866"/>
      <c r="D38" s="1017"/>
      <c r="E38" s="1017"/>
      <c r="F38" s="1017"/>
      <c r="G38" s="419" t="s">
        <v>1985</v>
      </c>
      <c r="H38" s="1017"/>
      <c r="I38" s="1017"/>
      <c r="J38" s="1017"/>
      <c r="K38" s="1017"/>
      <c r="L38" s="932"/>
      <c r="M38" s="942"/>
    </row>
    <row r="39" spans="1:13" s="922" customFormat="1" ht="24" customHeight="1">
      <c r="A39" s="869"/>
      <c r="B39" s="1017" t="s">
        <v>670</v>
      </c>
      <c r="C39" s="407"/>
      <c r="D39" s="1021"/>
      <c r="E39" s="869"/>
      <c r="F39" s="401"/>
      <c r="G39" s="401"/>
      <c r="H39" s="401"/>
      <c r="I39" s="401"/>
      <c r="J39" s="401"/>
      <c r="K39" s="866"/>
      <c r="L39" s="932"/>
      <c r="M39" s="942"/>
    </row>
    <row r="40" spans="1:13" s="922" customFormat="1" ht="24" customHeight="1">
      <c r="A40" s="1022"/>
      <c r="B40" s="419" t="s">
        <v>1972</v>
      </c>
      <c r="C40" s="407"/>
      <c r="D40" s="1023"/>
      <c r="E40" s="1022"/>
      <c r="F40" s="1024"/>
      <c r="G40" s="1024"/>
      <c r="H40" s="1024"/>
      <c r="I40" s="1024"/>
      <c r="J40" s="1024"/>
      <c r="K40" s="1015"/>
      <c r="L40" s="932"/>
      <c r="M40" s="942"/>
    </row>
    <row r="41" spans="1:13" s="922" customFormat="1" ht="24" customHeight="1">
      <c r="A41" s="935"/>
      <c r="B41" s="892" t="s">
        <v>139</v>
      </c>
      <c r="C41" s="940" t="s">
        <v>453</v>
      </c>
      <c r="D41" s="404">
        <v>180</v>
      </c>
      <c r="E41" s="936" t="s">
        <v>84</v>
      </c>
      <c r="F41" s="414">
        <v>229</v>
      </c>
      <c r="G41" s="414">
        <v>80</v>
      </c>
      <c r="H41" s="414">
        <f t="shared" si="0"/>
        <v>41220</v>
      </c>
      <c r="I41" s="414">
        <f t="shared" si="1"/>
        <v>14400</v>
      </c>
      <c r="J41" s="414">
        <f t="shared" si="2"/>
        <v>55620</v>
      </c>
      <c r="K41" s="414"/>
      <c r="L41" s="932"/>
      <c r="M41" s="942" t="s">
        <v>642</v>
      </c>
    </row>
    <row r="42" spans="1:13" s="922" customFormat="1" ht="24" customHeight="1">
      <c r="A42" s="933"/>
      <c r="B42" s="896" t="s">
        <v>139</v>
      </c>
      <c r="C42" s="943" t="s">
        <v>473</v>
      </c>
      <c r="D42" s="406">
        <v>68</v>
      </c>
      <c r="E42" s="934" t="s">
        <v>84</v>
      </c>
      <c r="F42" s="449">
        <v>562</v>
      </c>
      <c r="G42" s="449">
        <v>120</v>
      </c>
      <c r="H42" s="449">
        <f t="shared" si="0"/>
        <v>38216</v>
      </c>
      <c r="I42" s="449">
        <f t="shared" si="1"/>
        <v>8160</v>
      </c>
      <c r="J42" s="449">
        <f t="shared" si="2"/>
        <v>46376</v>
      </c>
      <c r="K42" s="449"/>
      <c r="L42" s="932"/>
      <c r="M42" s="942" t="s">
        <v>642</v>
      </c>
    </row>
    <row r="43" spans="1:13" s="922" customFormat="1" ht="24" customHeight="1">
      <c r="A43" s="935"/>
      <c r="B43" s="2414" t="s">
        <v>1252</v>
      </c>
      <c r="C43" s="2415"/>
      <c r="D43" s="404"/>
      <c r="E43" s="936"/>
      <c r="F43" s="414"/>
      <c r="G43" s="414"/>
      <c r="H43" s="414"/>
      <c r="I43" s="414"/>
      <c r="J43" s="414"/>
      <c r="K43" s="414"/>
      <c r="L43" s="932"/>
    </row>
    <row r="44" spans="1:13" s="922" customFormat="1" ht="24" customHeight="1">
      <c r="A44" s="935"/>
      <c r="B44" s="892" t="s">
        <v>139</v>
      </c>
      <c r="C44" s="944" t="s">
        <v>456</v>
      </c>
      <c r="D44" s="404">
        <v>20</v>
      </c>
      <c r="E44" s="945" t="s">
        <v>85</v>
      </c>
      <c r="F44" s="414">
        <v>350</v>
      </c>
      <c r="G44" s="414">
        <v>60</v>
      </c>
      <c r="H44" s="414">
        <f>D44*F44</f>
        <v>7000</v>
      </c>
      <c r="I44" s="414">
        <f>D44*G44</f>
        <v>1200</v>
      </c>
      <c r="J44" s="414">
        <f>H44+I44</f>
        <v>8200</v>
      </c>
      <c r="K44" s="414"/>
      <c r="L44" s="932"/>
      <c r="M44" s="942" t="s">
        <v>642</v>
      </c>
    </row>
    <row r="45" spans="1:13" s="952" customFormat="1" ht="72">
      <c r="A45" s="946"/>
      <c r="B45" s="947" t="s">
        <v>139</v>
      </c>
      <c r="C45" s="948" t="s">
        <v>1846</v>
      </c>
      <c r="D45" s="670">
        <v>1</v>
      </c>
      <c r="E45" s="945" t="s">
        <v>105</v>
      </c>
      <c r="F45" s="949">
        <f>ROUND(SUM(H27:H42)*0.4,2)</f>
        <v>56614.400000000001</v>
      </c>
      <c r="G45" s="949">
        <f>ROUND(F45*0.3,0)</f>
        <v>16984</v>
      </c>
      <c r="H45" s="949">
        <f>D45*F45</f>
        <v>56614.400000000001</v>
      </c>
      <c r="I45" s="949">
        <f>D45*G45</f>
        <v>16984</v>
      </c>
      <c r="J45" s="949">
        <f>H45+I45</f>
        <v>73598.399999999994</v>
      </c>
      <c r="K45" s="949"/>
      <c r="L45" s="950"/>
      <c r="M45" s="951" t="s">
        <v>282</v>
      </c>
    </row>
    <row r="46" spans="1:13" s="952" customFormat="1" ht="48">
      <c r="A46" s="946"/>
      <c r="B46" s="947" t="s">
        <v>139</v>
      </c>
      <c r="C46" s="948" t="s">
        <v>1847</v>
      </c>
      <c r="D46" s="670">
        <v>1</v>
      </c>
      <c r="E46" s="945" t="s">
        <v>105</v>
      </c>
      <c r="F46" s="949">
        <f>ROUND(SUM(H27:H42)*0.2,2)</f>
        <v>28307.200000000001</v>
      </c>
      <c r="G46" s="949">
        <f>ROUND(F46*0.3,0)</f>
        <v>8492</v>
      </c>
      <c r="H46" s="949">
        <f>D46*F46</f>
        <v>28307.200000000001</v>
      </c>
      <c r="I46" s="949">
        <f>D46*G46</f>
        <v>8492</v>
      </c>
      <c r="J46" s="949">
        <f>H46+I46</f>
        <v>36799.199999999997</v>
      </c>
      <c r="K46" s="949"/>
      <c r="L46" s="950"/>
      <c r="M46" s="951" t="s">
        <v>282</v>
      </c>
    </row>
    <row r="47" spans="1:13" s="952" customFormat="1" ht="48">
      <c r="A47" s="946"/>
      <c r="B47" s="947" t="s">
        <v>139</v>
      </c>
      <c r="C47" s="948" t="s">
        <v>1848</v>
      </c>
      <c r="D47" s="670">
        <v>1</v>
      </c>
      <c r="E47" s="945" t="s">
        <v>105</v>
      </c>
      <c r="F47" s="949">
        <f>ROUND(SUM(H27:H42)*0.05,2)</f>
        <v>7076.8</v>
      </c>
      <c r="G47" s="949">
        <f>ROUND(F47*0.3,0)</f>
        <v>2123</v>
      </c>
      <c r="H47" s="949">
        <f>D47*F47</f>
        <v>7076.8</v>
      </c>
      <c r="I47" s="949">
        <f>D47*G47</f>
        <v>2123</v>
      </c>
      <c r="J47" s="949">
        <f>H47+I47</f>
        <v>9199.7999999999993</v>
      </c>
      <c r="K47" s="949"/>
      <c r="L47" s="950"/>
      <c r="M47" s="951" t="s">
        <v>282</v>
      </c>
    </row>
    <row r="48" spans="1:13" s="952" customFormat="1" ht="24" customHeight="1">
      <c r="A48" s="935" t="s">
        <v>119</v>
      </c>
      <c r="B48" s="2409" t="s">
        <v>22</v>
      </c>
      <c r="C48" s="2410"/>
      <c r="D48" s="404"/>
      <c r="E48" s="936"/>
      <c r="F48" s="414"/>
      <c r="G48" s="414"/>
      <c r="H48" s="414"/>
      <c r="I48" s="414"/>
      <c r="J48" s="414"/>
      <c r="K48" s="414"/>
      <c r="L48" s="932"/>
      <c r="M48" s="922"/>
    </row>
    <row r="49" spans="1:13" s="922" customFormat="1" ht="24" customHeight="1">
      <c r="A49" s="935"/>
      <c r="B49" s="892" t="s">
        <v>139</v>
      </c>
      <c r="C49" s="940" t="s">
        <v>457</v>
      </c>
      <c r="D49" s="404">
        <v>9</v>
      </c>
      <c r="E49" s="936" t="s">
        <v>5</v>
      </c>
      <c r="F49" s="414">
        <v>664</v>
      </c>
      <c r="G49" s="414">
        <v>60</v>
      </c>
      <c r="H49" s="414">
        <f t="shared" ref="H49:H54" si="3">D49*F49</f>
        <v>5976</v>
      </c>
      <c r="I49" s="414">
        <f t="shared" ref="I49:I54" si="4">D49*G49</f>
        <v>540</v>
      </c>
      <c r="J49" s="414">
        <f t="shared" ref="J49:J54" si="5">H49+I49</f>
        <v>6516</v>
      </c>
      <c r="K49" s="414"/>
      <c r="L49" s="414" t="s">
        <v>1955</v>
      </c>
      <c r="M49" s="407" t="s">
        <v>1816</v>
      </c>
    </row>
    <row r="50" spans="1:13" s="922" customFormat="1" ht="24" customHeight="1">
      <c r="A50" s="935"/>
      <c r="B50" s="892" t="s">
        <v>139</v>
      </c>
      <c r="C50" s="940" t="s">
        <v>458</v>
      </c>
      <c r="D50" s="404">
        <v>1</v>
      </c>
      <c r="E50" s="936" t="s">
        <v>5</v>
      </c>
      <c r="F50" s="414">
        <v>880</v>
      </c>
      <c r="G50" s="414">
        <v>90</v>
      </c>
      <c r="H50" s="414">
        <f t="shared" si="3"/>
        <v>880</v>
      </c>
      <c r="I50" s="414">
        <f t="shared" si="4"/>
        <v>90</v>
      </c>
      <c r="J50" s="414">
        <f t="shared" si="5"/>
        <v>970</v>
      </c>
      <c r="K50" s="414"/>
      <c r="L50" s="932"/>
      <c r="M50" s="407" t="s">
        <v>1816</v>
      </c>
    </row>
    <row r="51" spans="1:13" s="922" customFormat="1" ht="24" customHeight="1">
      <c r="A51" s="935"/>
      <c r="B51" s="892" t="s">
        <v>139</v>
      </c>
      <c r="C51" s="940" t="s">
        <v>452</v>
      </c>
      <c r="D51" s="404">
        <v>22</v>
      </c>
      <c r="E51" s="936" t="s">
        <v>5</v>
      </c>
      <c r="F51" s="414">
        <v>1316</v>
      </c>
      <c r="G51" s="414">
        <v>120</v>
      </c>
      <c r="H51" s="414">
        <f t="shared" si="3"/>
        <v>28952</v>
      </c>
      <c r="I51" s="414">
        <f t="shared" si="4"/>
        <v>2640</v>
      </c>
      <c r="J51" s="414">
        <f t="shared" si="5"/>
        <v>31592</v>
      </c>
      <c r="K51" s="414"/>
      <c r="L51" s="932"/>
      <c r="M51" s="407" t="s">
        <v>1816</v>
      </c>
    </row>
    <row r="52" spans="1:13" s="922" customFormat="1" ht="24" customHeight="1">
      <c r="A52" s="933"/>
      <c r="B52" s="896" t="s">
        <v>139</v>
      </c>
      <c r="C52" s="943" t="s">
        <v>459</v>
      </c>
      <c r="D52" s="406">
        <v>3</v>
      </c>
      <c r="E52" s="934" t="s">
        <v>5</v>
      </c>
      <c r="F52" s="449">
        <v>1984</v>
      </c>
      <c r="G52" s="449">
        <v>150</v>
      </c>
      <c r="H52" s="449">
        <f t="shared" si="3"/>
        <v>5952</v>
      </c>
      <c r="I52" s="449">
        <f t="shared" si="4"/>
        <v>450</v>
      </c>
      <c r="J52" s="449">
        <f t="shared" si="5"/>
        <v>6402</v>
      </c>
      <c r="K52" s="414"/>
      <c r="L52" s="932"/>
      <c r="M52" s="407" t="s">
        <v>1816</v>
      </c>
    </row>
    <row r="53" spans="1:13" s="922" customFormat="1" ht="24" customHeight="1">
      <c r="A53" s="935"/>
      <c r="B53" s="892" t="s">
        <v>139</v>
      </c>
      <c r="C53" s="940" t="s">
        <v>453</v>
      </c>
      <c r="D53" s="404">
        <f>10+4+2</f>
        <v>16</v>
      </c>
      <c r="E53" s="936" t="s">
        <v>5</v>
      </c>
      <c r="F53" s="414">
        <v>4040</v>
      </c>
      <c r="G53" s="414">
        <v>240</v>
      </c>
      <c r="H53" s="414">
        <f t="shared" si="3"/>
        <v>64640</v>
      </c>
      <c r="I53" s="414">
        <f t="shared" si="4"/>
        <v>3840</v>
      </c>
      <c r="J53" s="414">
        <f t="shared" si="5"/>
        <v>68480</v>
      </c>
      <c r="K53" s="414"/>
      <c r="L53" s="932"/>
      <c r="M53" s="407" t="s">
        <v>1816</v>
      </c>
    </row>
    <row r="54" spans="1:13" s="922" customFormat="1" ht="24" customHeight="1">
      <c r="A54" s="935"/>
      <c r="B54" s="892" t="s">
        <v>139</v>
      </c>
      <c r="C54" s="940" t="s">
        <v>455</v>
      </c>
      <c r="D54" s="404"/>
      <c r="E54" s="936" t="s">
        <v>5</v>
      </c>
      <c r="F54" s="414">
        <v>26500</v>
      </c>
      <c r="G54" s="414">
        <v>1200</v>
      </c>
      <c r="H54" s="414">
        <f t="shared" si="3"/>
        <v>0</v>
      </c>
      <c r="I54" s="414">
        <f t="shared" si="4"/>
        <v>0</v>
      </c>
      <c r="J54" s="414">
        <f t="shared" si="5"/>
        <v>0</v>
      </c>
      <c r="K54" s="414"/>
      <c r="L54" s="932"/>
      <c r="M54" s="942"/>
    </row>
    <row r="55" spans="1:13" s="922" customFormat="1" ht="24" customHeight="1">
      <c r="A55" s="935" t="s">
        <v>120</v>
      </c>
      <c r="B55" s="2409" t="s">
        <v>460</v>
      </c>
      <c r="C55" s="2410"/>
      <c r="D55" s="404"/>
      <c r="E55" s="936"/>
      <c r="F55" s="414"/>
      <c r="G55" s="414"/>
      <c r="H55" s="414"/>
      <c r="I55" s="414"/>
      <c r="J55" s="414"/>
      <c r="K55" s="414"/>
      <c r="L55" s="932"/>
    </row>
    <row r="56" spans="1:13" s="922" customFormat="1" ht="24" customHeight="1">
      <c r="A56" s="935"/>
      <c r="B56" s="892" t="s">
        <v>139</v>
      </c>
      <c r="C56" s="940" t="s">
        <v>462</v>
      </c>
      <c r="D56" s="404">
        <v>1</v>
      </c>
      <c r="E56" s="936" t="s">
        <v>5</v>
      </c>
      <c r="F56" s="414">
        <v>24200</v>
      </c>
      <c r="G56" s="414">
        <v>400</v>
      </c>
      <c r="H56" s="414">
        <f>D56*F56</f>
        <v>24200</v>
      </c>
      <c r="I56" s="414">
        <f>D56*G56</f>
        <v>400</v>
      </c>
      <c r="J56" s="414">
        <f>H56+I56</f>
        <v>24600</v>
      </c>
      <c r="K56" s="414"/>
      <c r="L56" s="932"/>
      <c r="M56" s="407" t="s">
        <v>1816</v>
      </c>
    </row>
    <row r="57" spans="1:13" s="922" customFormat="1" ht="24" customHeight="1">
      <c r="A57" s="1641"/>
      <c r="B57" s="1641"/>
      <c r="C57" s="1641"/>
      <c r="D57" s="1009"/>
      <c r="E57" s="1010"/>
      <c r="F57" s="1010"/>
      <c r="G57" s="1010"/>
      <c r="H57" s="1010"/>
      <c r="I57" s="1010"/>
      <c r="J57" s="1010"/>
      <c r="K57" s="1010"/>
      <c r="L57" s="932"/>
      <c r="M57" s="407"/>
    </row>
    <row r="58" spans="1:13" s="922" customFormat="1" ht="24" customHeight="1">
      <c r="A58" s="1013"/>
      <c r="B58" s="869"/>
      <c r="C58" s="1013" t="s">
        <v>133</v>
      </c>
      <c r="D58" s="418"/>
      <c r="E58" s="1014"/>
      <c r="F58" s="1014"/>
      <c r="G58" s="868"/>
      <c r="H58" s="868"/>
      <c r="I58" s="866"/>
      <c r="J58" s="866"/>
      <c r="K58" s="866"/>
      <c r="L58" s="932"/>
      <c r="M58" s="407"/>
    </row>
    <row r="59" spans="1:13" s="922" customFormat="1" ht="24" customHeight="1">
      <c r="A59" s="1642"/>
      <c r="B59" s="2407" t="s">
        <v>1769</v>
      </c>
      <c r="C59" s="2407"/>
      <c r="D59" s="1017"/>
      <c r="E59" s="1017"/>
      <c r="F59" s="1017"/>
      <c r="G59" s="1017" t="s">
        <v>134</v>
      </c>
      <c r="H59" s="1017"/>
      <c r="I59" s="1017"/>
      <c r="J59" s="1017"/>
      <c r="K59" s="1017"/>
      <c r="L59" s="932"/>
      <c r="M59" s="407"/>
    </row>
    <row r="60" spans="1:13" s="922" customFormat="1" ht="24" customHeight="1">
      <c r="A60" s="1643"/>
      <c r="B60" s="2408" t="s">
        <v>1970</v>
      </c>
      <c r="C60" s="2408"/>
      <c r="D60" s="419"/>
      <c r="E60" s="419"/>
      <c r="F60" s="419"/>
      <c r="G60" s="1019" t="s">
        <v>1971</v>
      </c>
      <c r="H60" s="419"/>
      <c r="I60" s="419"/>
      <c r="J60" s="419"/>
      <c r="K60" s="419"/>
      <c r="L60" s="932"/>
      <c r="M60" s="407"/>
    </row>
    <row r="61" spans="1:13" s="922" customFormat="1" ht="24" customHeight="1">
      <c r="A61" s="866"/>
      <c r="B61" s="1017" t="s">
        <v>2031</v>
      </c>
      <c r="C61" s="866"/>
      <c r="D61" s="419"/>
      <c r="E61" s="419"/>
      <c r="F61" s="419"/>
      <c r="G61" s="1017" t="s">
        <v>2031</v>
      </c>
      <c r="H61" s="419"/>
      <c r="I61" s="419"/>
      <c r="J61" s="419"/>
      <c r="K61" s="419"/>
      <c r="L61" s="932"/>
      <c r="M61" s="407"/>
    </row>
    <row r="62" spans="1:13" s="922" customFormat="1" ht="24" customHeight="1">
      <c r="A62" s="1017"/>
      <c r="B62" s="419" t="s">
        <v>1984</v>
      </c>
      <c r="C62" s="866"/>
      <c r="D62" s="1017"/>
      <c r="E62" s="1017"/>
      <c r="F62" s="1017"/>
      <c r="G62" s="419" t="s">
        <v>1985</v>
      </c>
      <c r="H62" s="1017"/>
      <c r="I62" s="1017"/>
      <c r="J62" s="1017"/>
      <c r="K62" s="1017"/>
      <c r="L62" s="932"/>
      <c r="M62" s="407"/>
    </row>
    <row r="63" spans="1:13" s="922" customFormat="1" ht="24" customHeight="1">
      <c r="A63" s="869"/>
      <c r="B63" s="1017" t="s">
        <v>670</v>
      </c>
      <c r="C63" s="407"/>
      <c r="D63" s="1021"/>
      <c r="E63" s="869"/>
      <c r="F63" s="401"/>
      <c r="G63" s="401"/>
      <c r="H63" s="401"/>
      <c r="I63" s="401"/>
      <c r="J63" s="401"/>
      <c r="K63" s="866"/>
      <c r="L63" s="932"/>
      <c r="M63" s="407"/>
    </row>
    <row r="64" spans="1:13" s="922" customFormat="1" ht="24" customHeight="1">
      <c r="A64" s="1022"/>
      <c r="B64" s="419" t="s">
        <v>1972</v>
      </c>
      <c r="C64" s="407"/>
      <c r="D64" s="1023"/>
      <c r="E64" s="1022"/>
      <c r="F64" s="1024"/>
      <c r="G64" s="1024"/>
      <c r="H64" s="1024"/>
      <c r="I64" s="1024"/>
      <c r="J64" s="1024"/>
      <c r="K64" s="1015"/>
      <c r="L64" s="932"/>
      <c r="M64" s="407"/>
    </row>
    <row r="65" spans="1:13" s="922" customFormat="1" ht="24" customHeight="1">
      <c r="A65" s="935" t="s">
        <v>214</v>
      </c>
      <c r="B65" s="2409" t="s">
        <v>23</v>
      </c>
      <c r="C65" s="2410"/>
      <c r="D65" s="404"/>
      <c r="E65" s="936"/>
      <c r="F65" s="414"/>
      <c r="G65" s="414"/>
      <c r="H65" s="414"/>
      <c r="I65" s="414"/>
      <c r="J65" s="414"/>
      <c r="K65" s="414"/>
      <c r="L65" s="932"/>
    </row>
    <row r="66" spans="1:13" s="922" customFormat="1" ht="24" customHeight="1">
      <c r="A66" s="935"/>
      <c r="B66" s="892" t="s">
        <v>139</v>
      </c>
      <c r="C66" s="940" t="s">
        <v>462</v>
      </c>
      <c r="D66" s="404">
        <v>6</v>
      </c>
      <c r="E66" s="936" t="s">
        <v>5</v>
      </c>
      <c r="F66" s="414">
        <v>1860</v>
      </c>
      <c r="G66" s="414">
        <v>400</v>
      </c>
      <c r="H66" s="414">
        <f>D66*F66</f>
        <v>11160</v>
      </c>
      <c r="I66" s="414">
        <f>D66*G66</f>
        <v>2400</v>
      </c>
      <c r="J66" s="414">
        <f>H66+I66</f>
        <v>13560</v>
      </c>
      <c r="K66" s="414"/>
      <c r="L66" s="932"/>
      <c r="M66" s="407" t="s">
        <v>1816</v>
      </c>
    </row>
    <row r="67" spans="1:13" s="922" customFormat="1" ht="24" customHeight="1">
      <c r="A67" s="935" t="s">
        <v>121</v>
      </c>
      <c r="B67" s="2409" t="s">
        <v>461</v>
      </c>
      <c r="C67" s="2410"/>
      <c r="D67" s="404"/>
      <c r="E67" s="936"/>
      <c r="F67" s="414"/>
      <c r="G67" s="414"/>
      <c r="H67" s="414"/>
      <c r="I67" s="414"/>
      <c r="J67" s="414"/>
      <c r="K67" s="414"/>
      <c r="L67" s="932"/>
    </row>
    <row r="68" spans="1:13" s="922" customFormat="1" ht="24" customHeight="1">
      <c r="A68" s="935"/>
      <c r="B68" s="892" t="s">
        <v>139</v>
      </c>
      <c r="C68" s="940" t="s">
        <v>462</v>
      </c>
      <c r="D68" s="404">
        <v>1</v>
      </c>
      <c r="E68" s="936" t="s">
        <v>5</v>
      </c>
      <c r="F68" s="414">
        <v>9800</v>
      </c>
      <c r="G68" s="414">
        <v>400</v>
      </c>
      <c r="H68" s="414">
        <f>D68*F68</f>
        <v>9800</v>
      </c>
      <c r="I68" s="414">
        <f>D68*G68</f>
        <v>400</v>
      </c>
      <c r="J68" s="414">
        <f>H68+I68</f>
        <v>10200</v>
      </c>
      <c r="K68" s="414"/>
      <c r="L68" s="932"/>
      <c r="M68" s="407" t="s">
        <v>1816</v>
      </c>
    </row>
    <row r="69" spans="1:13" s="922" customFormat="1" ht="24" customHeight="1">
      <c r="A69" s="935" t="s">
        <v>122</v>
      </c>
      <c r="B69" s="2409" t="s">
        <v>24</v>
      </c>
      <c r="C69" s="2410"/>
      <c r="D69" s="404"/>
      <c r="E69" s="936"/>
      <c r="F69" s="414"/>
      <c r="G69" s="414"/>
      <c r="H69" s="414"/>
      <c r="I69" s="414"/>
      <c r="J69" s="414"/>
      <c r="K69" s="414"/>
      <c r="L69" s="932"/>
    </row>
    <row r="70" spans="1:13" s="922" customFormat="1" ht="24" customHeight="1">
      <c r="A70" s="935"/>
      <c r="B70" s="892" t="s">
        <v>139</v>
      </c>
      <c r="C70" s="940" t="s">
        <v>462</v>
      </c>
      <c r="D70" s="404">
        <v>6</v>
      </c>
      <c r="E70" s="936" t="s">
        <v>5</v>
      </c>
      <c r="F70" s="414">
        <v>7500</v>
      </c>
      <c r="G70" s="414">
        <v>400</v>
      </c>
      <c r="H70" s="414">
        <f>D70*F70</f>
        <v>45000</v>
      </c>
      <c r="I70" s="414">
        <f>D70*G70</f>
        <v>2400</v>
      </c>
      <c r="J70" s="414">
        <f>H70+I70</f>
        <v>47400</v>
      </c>
      <c r="K70" s="414"/>
      <c r="L70" s="932"/>
      <c r="M70" s="407" t="s">
        <v>1816</v>
      </c>
    </row>
    <row r="71" spans="1:13" s="922" customFormat="1" ht="24" customHeight="1">
      <c r="A71" s="935" t="s">
        <v>123</v>
      </c>
      <c r="B71" s="2409" t="s">
        <v>463</v>
      </c>
      <c r="C71" s="2410"/>
      <c r="D71" s="404"/>
      <c r="E71" s="936"/>
      <c r="F71" s="414"/>
      <c r="G71" s="414"/>
      <c r="H71" s="414"/>
      <c r="I71" s="414"/>
      <c r="J71" s="414"/>
      <c r="K71" s="414"/>
      <c r="L71" s="932"/>
    </row>
    <row r="72" spans="1:13" s="922" customFormat="1" ht="24" customHeight="1">
      <c r="A72" s="935"/>
      <c r="B72" s="892" t="s">
        <v>139</v>
      </c>
      <c r="C72" s="940" t="s">
        <v>462</v>
      </c>
      <c r="D72" s="404">
        <v>10</v>
      </c>
      <c r="E72" s="936" t="s">
        <v>5</v>
      </c>
      <c r="F72" s="414">
        <v>2250</v>
      </c>
      <c r="G72" s="414">
        <v>400</v>
      </c>
      <c r="H72" s="414">
        <f>D72*F72</f>
        <v>22500</v>
      </c>
      <c r="I72" s="414">
        <f>D72*G72</f>
        <v>4000</v>
      </c>
      <c r="J72" s="414">
        <f>H72+I72</f>
        <v>26500</v>
      </c>
      <c r="K72" s="414"/>
      <c r="L72" s="932"/>
      <c r="M72" s="407" t="s">
        <v>1816</v>
      </c>
    </row>
    <row r="73" spans="1:13" s="922" customFormat="1" ht="24" customHeight="1">
      <c r="A73" s="935" t="s">
        <v>182</v>
      </c>
      <c r="B73" s="953" t="s">
        <v>25</v>
      </c>
      <c r="C73" s="940"/>
      <c r="D73" s="404"/>
      <c r="E73" s="936"/>
      <c r="F73" s="414"/>
      <c r="G73" s="414"/>
      <c r="H73" s="414"/>
      <c r="I73" s="414"/>
      <c r="J73" s="414"/>
      <c r="K73" s="414"/>
      <c r="L73" s="932"/>
      <c r="M73" s="407"/>
    </row>
    <row r="74" spans="1:13" s="922" customFormat="1" ht="24" customHeight="1">
      <c r="A74" s="935"/>
      <c r="B74" s="892" t="s">
        <v>139</v>
      </c>
      <c r="C74" s="940" t="s">
        <v>464</v>
      </c>
      <c r="D74" s="404">
        <v>21</v>
      </c>
      <c r="E74" s="936" t="s">
        <v>5</v>
      </c>
      <c r="F74" s="414">
        <v>280</v>
      </c>
      <c r="G74" s="414">
        <v>120</v>
      </c>
      <c r="H74" s="414">
        <f>D74*F74</f>
        <v>5880</v>
      </c>
      <c r="I74" s="414">
        <f>D74*G74</f>
        <v>2520</v>
      </c>
      <c r="J74" s="414">
        <f>H74+I74</f>
        <v>8400</v>
      </c>
      <c r="K74" s="414"/>
      <c r="L74" s="932"/>
      <c r="M74" s="407" t="s">
        <v>1816</v>
      </c>
    </row>
    <row r="75" spans="1:13" s="922" customFormat="1" ht="24" customHeight="1">
      <c r="A75" s="935" t="s">
        <v>183</v>
      </c>
      <c r="B75" s="954" t="s">
        <v>465</v>
      </c>
      <c r="C75" s="937"/>
      <c r="D75" s="404">
        <v>6</v>
      </c>
      <c r="E75" s="936" t="s">
        <v>5</v>
      </c>
      <c r="F75" s="414">
        <v>6000</v>
      </c>
      <c r="G75" s="414">
        <v>300</v>
      </c>
      <c r="H75" s="414">
        <f>D75*F75</f>
        <v>36000</v>
      </c>
      <c r="I75" s="414">
        <f>D75*G75</f>
        <v>1800</v>
      </c>
      <c r="J75" s="414">
        <f>H75+I75</f>
        <v>37800</v>
      </c>
      <c r="K75" s="414"/>
      <c r="L75" s="932"/>
      <c r="M75" s="407" t="s">
        <v>1816</v>
      </c>
    </row>
    <row r="76" spans="1:13" s="922" customFormat="1" ht="24" customHeight="1">
      <c r="A76" s="935"/>
      <c r="B76" s="892"/>
      <c r="C76" s="940"/>
      <c r="D76" s="404"/>
      <c r="E76" s="936"/>
      <c r="F76" s="414"/>
      <c r="G76" s="414"/>
      <c r="H76" s="414"/>
      <c r="I76" s="414"/>
      <c r="J76" s="414"/>
      <c r="K76" s="414"/>
      <c r="L76" s="932"/>
    </row>
    <row r="77" spans="1:13" s="922" customFormat="1" ht="24" customHeight="1">
      <c r="A77" s="935" t="s">
        <v>184</v>
      </c>
      <c r="B77" s="954" t="s">
        <v>466</v>
      </c>
      <c r="C77" s="937"/>
      <c r="D77" s="404">
        <v>1</v>
      </c>
      <c r="E77" s="936" t="s">
        <v>5</v>
      </c>
      <c r="F77" s="414">
        <v>7500</v>
      </c>
      <c r="G77" s="414">
        <v>500</v>
      </c>
      <c r="H77" s="414">
        <f>D77*F77</f>
        <v>7500</v>
      </c>
      <c r="I77" s="414">
        <f>D77*G77</f>
        <v>500</v>
      </c>
      <c r="J77" s="414">
        <f>H77+I77</f>
        <v>8000</v>
      </c>
      <c r="K77" s="414"/>
      <c r="L77" s="932"/>
      <c r="M77" s="407" t="s">
        <v>1816</v>
      </c>
    </row>
    <row r="78" spans="1:13" s="922" customFormat="1" ht="24" customHeight="1">
      <c r="A78" s="935"/>
      <c r="B78" s="892"/>
      <c r="C78" s="937"/>
      <c r="D78" s="404"/>
      <c r="E78" s="936"/>
      <c r="F78" s="414"/>
      <c r="G78" s="414"/>
      <c r="H78" s="414"/>
      <c r="I78" s="414"/>
      <c r="J78" s="414"/>
      <c r="K78" s="414"/>
      <c r="L78" s="932"/>
    </row>
    <row r="79" spans="1:13" s="922" customFormat="1" ht="24" customHeight="1">
      <c r="A79" s="935" t="s">
        <v>468</v>
      </c>
      <c r="B79" s="2409" t="s">
        <v>467</v>
      </c>
      <c r="C79" s="2410"/>
      <c r="D79" s="404"/>
      <c r="E79" s="936"/>
      <c r="F79" s="414"/>
      <c r="G79" s="414"/>
      <c r="H79" s="414"/>
      <c r="I79" s="414"/>
      <c r="J79" s="414"/>
      <c r="K79" s="414"/>
      <c r="L79" s="932"/>
      <c r="M79" s="942"/>
    </row>
    <row r="80" spans="1:13" s="922" customFormat="1" ht="24" customHeight="1">
      <c r="A80" s="935"/>
      <c r="B80" s="892" t="s">
        <v>139</v>
      </c>
      <c r="C80" s="940" t="s">
        <v>1253</v>
      </c>
      <c r="D80" s="404">
        <v>6</v>
      </c>
      <c r="E80" s="936" t="s">
        <v>5</v>
      </c>
      <c r="F80" s="414">
        <v>2400</v>
      </c>
      <c r="G80" s="414">
        <v>400</v>
      </c>
      <c r="H80" s="414">
        <f>D80*F80</f>
        <v>14400</v>
      </c>
      <c r="I80" s="414">
        <f>D80*G80</f>
        <v>2400</v>
      </c>
      <c r="J80" s="414">
        <f>H80+I80</f>
        <v>16800</v>
      </c>
      <c r="K80" s="414"/>
      <c r="L80" s="932"/>
      <c r="M80" s="407" t="s">
        <v>1816</v>
      </c>
    </row>
    <row r="81" spans="1:13" s="922" customFormat="1" ht="24" customHeight="1">
      <c r="A81" s="935" t="s">
        <v>470</v>
      </c>
      <c r="B81" s="2441" t="s">
        <v>1254</v>
      </c>
      <c r="C81" s="2442"/>
      <c r="D81" s="404">
        <v>16</v>
      </c>
      <c r="E81" s="936" t="s">
        <v>5</v>
      </c>
      <c r="F81" s="414">
        <v>2600</v>
      </c>
      <c r="G81" s="414">
        <v>400</v>
      </c>
      <c r="H81" s="414">
        <f>D81*F81</f>
        <v>41600</v>
      </c>
      <c r="I81" s="414">
        <f>D81*G81</f>
        <v>6400</v>
      </c>
      <c r="J81" s="414">
        <f>H81+I81</f>
        <v>48000</v>
      </c>
      <c r="K81" s="414"/>
      <c r="L81" s="932"/>
      <c r="M81" s="407" t="s">
        <v>1816</v>
      </c>
    </row>
    <row r="82" spans="1:13" s="922" customFormat="1" ht="24" customHeight="1">
      <c r="A82" s="935" t="s">
        <v>1255</v>
      </c>
      <c r="B82" s="2411" t="s">
        <v>20</v>
      </c>
      <c r="C82" s="2412"/>
      <c r="D82" s="404"/>
      <c r="E82" s="936"/>
      <c r="F82" s="414"/>
      <c r="G82" s="414"/>
      <c r="H82" s="414"/>
      <c r="I82" s="414"/>
      <c r="J82" s="414"/>
      <c r="K82" s="414"/>
      <c r="L82" s="932"/>
    </row>
    <row r="83" spans="1:13" s="922" customFormat="1" ht="24" customHeight="1">
      <c r="A83" s="935"/>
      <c r="B83" s="957"/>
      <c r="C83" s="958" t="s">
        <v>486</v>
      </c>
      <c r="D83" s="404">
        <v>3</v>
      </c>
      <c r="E83" s="936" t="s">
        <v>5</v>
      </c>
      <c r="F83" s="414">
        <v>4800</v>
      </c>
      <c r="G83" s="414">
        <v>150</v>
      </c>
      <c r="H83" s="414">
        <f>D83*F83</f>
        <v>14400</v>
      </c>
      <c r="I83" s="414">
        <f>D83*G83</f>
        <v>450</v>
      </c>
      <c r="J83" s="414">
        <f>H83+I83</f>
        <v>14850</v>
      </c>
      <c r="K83" s="414"/>
      <c r="L83" s="932"/>
      <c r="M83" s="407" t="s">
        <v>1816</v>
      </c>
    </row>
    <row r="84" spans="1:13" s="922" customFormat="1" ht="24" customHeight="1">
      <c r="A84" s="935" t="s">
        <v>1256</v>
      </c>
      <c r="B84" s="2413" t="s">
        <v>469</v>
      </c>
      <c r="C84" s="2410"/>
      <c r="D84" s="404"/>
      <c r="E84" s="936"/>
      <c r="F84" s="414"/>
      <c r="G84" s="414"/>
      <c r="H84" s="414"/>
      <c r="I84" s="414"/>
      <c r="J84" s="414"/>
      <c r="K84" s="414"/>
      <c r="L84" s="932"/>
    </row>
    <row r="85" spans="1:13" s="922" customFormat="1" ht="24" customHeight="1">
      <c r="A85" s="935"/>
      <c r="B85" s="892" t="s">
        <v>139</v>
      </c>
      <c r="C85" s="940" t="s">
        <v>464</v>
      </c>
      <c r="D85" s="404">
        <v>166</v>
      </c>
      <c r="E85" s="936" t="s">
        <v>5</v>
      </c>
      <c r="F85" s="414">
        <v>150</v>
      </c>
      <c r="G85" s="414">
        <v>20</v>
      </c>
      <c r="H85" s="414">
        <f>D85*F85</f>
        <v>24900</v>
      </c>
      <c r="I85" s="414">
        <f>D85*G85</f>
        <v>3320</v>
      </c>
      <c r="J85" s="414">
        <f>H85+I85</f>
        <v>28220</v>
      </c>
      <c r="K85" s="414"/>
      <c r="L85" s="932"/>
      <c r="M85" s="407" t="s">
        <v>1816</v>
      </c>
    </row>
    <row r="86" spans="1:13" s="922" customFormat="1" ht="24" customHeight="1">
      <c r="A86" s="1641"/>
      <c r="B86" s="1641"/>
      <c r="C86" s="1641"/>
      <c r="D86" s="1009"/>
      <c r="E86" s="1010"/>
      <c r="F86" s="1010"/>
      <c r="G86" s="1010"/>
      <c r="H86" s="1010"/>
      <c r="I86" s="1010"/>
      <c r="J86" s="1010"/>
      <c r="K86" s="1010"/>
      <c r="L86" s="932"/>
      <c r="M86" s="407"/>
    </row>
    <row r="87" spans="1:13" s="922" customFormat="1" ht="24" customHeight="1">
      <c r="A87" s="1013"/>
      <c r="B87" s="869"/>
      <c r="C87" s="1013" t="s">
        <v>133</v>
      </c>
      <c r="D87" s="418"/>
      <c r="E87" s="1014"/>
      <c r="F87" s="1014"/>
      <c r="G87" s="868"/>
      <c r="H87" s="868"/>
      <c r="I87" s="866"/>
      <c r="J87" s="866"/>
      <c r="K87" s="866"/>
      <c r="L87" s="932"/>
      <c r="M87" s="407"/>
    </row>
    <row r="88" spans="1:13" s="922" customFormat="1" ht="24" customHeight="1">
      <c r="A88" s="1642"/>
      <c r="B88" s="2407" t="s">
        <v>1769</v>
      </c>
      <c r="C88" s="2407"/>
      <c r="D88" s="1017"/>
      <c r="E88" s="1017"/>
      <c r="F88" s="1017"/>
      <c r="G88" s="1017" t="s">
        <v>134</v>
      </c>
      <c r="H88" s="1017"/>
      <c r="I88" s="1017"/>
      <c r="J88" s="1017"/>
      <c r="K88" s="1017"/>
      <c r="L88" s="932"/>
      <c r="M88" s="407"/>
    </row>
    <row r="89" spans="1:13" s="922" customFormat="1" ht="24" customHeight="1">
      <c r="A89" s="1643"/>
      <c r="B89" s="2408" t="s">
        <v>1970</v>
      </c>
      <c r="C89" s="2408"/>
      <c r="D89" s="419"/>
      <c r="E89" s="419"/>
      <c r="F89" s="419"/>
      <c r="G89" s="1019" t="s">
        <v>1971</v>
      </c>
      <c r="H89" s="419"/>
      <c r="I89" s="419"/>
      <c r="J89" s="419"/>
      <c r="K89" s="419"/>
      <c r="L89" s="932"/>
      <c r="M89" s="407"/>
    </row>
    <row r="90" spans="1:13" s="922" customFormat="1" ht="24" customHeight="1">
      <c r="A90" s="866"/>
      <c r="B90" s="1017" t="s">
        <v>2031</v>
      </c>
      <c r="C90" s="866"/>
      <c r="D90" s="419"/>
      <c r="E90" s="419"/>
      <c r="F90" s="419"/>
      <c r="G90" s="1017" t="s">
        <v>2031</v>
      </c>
      <c r="H90" s="419"/>
      <c r="I90" s="419"/>
      <c r="J90" s="419"/>
      <c r="K90" s="419"/>
      <c r="L90" s="932"/>
      <c r="M90" s="407"/>
    </row>
    <row r="91" spans="1:13" s="922" customFormat="1" ht="24" customHeight="1">
      <c r="A91" s="1017"/>
      <c r="B91" s="419" t="s">
        <v>1984</v>
      </c>
      <c r="C91" s="866"/>
      <c r="D91" s="1017"/>
      <c r="E91" s="1017"/>
      <c r="F91" s="1017"/>
      <c r="G91" s="419" t="s">
        <v>1985</v>
      </c>
      <c r="H91" s="1017"/>
      <c r="I91" s="1017"/>
      <c r="J91" s="1017"/>
      <c r="K91" s="1017"/>
      <c r="L91" s="932"/>
      <c r="M91" s="407"/>
    </row>
    <row r="92" spans="1:13" s="922" customFormat="1" ht="24" customHeight="1">
      <c r="A92" s="869"/>
      <c r="B92" s="1017" t="s">
        <v>670</v>
      </c>
      <c r="C92" s="407"/>
      <c r="D92" s="1021"/>
      <c r="E92" s="869"/>
      <c r="F92" s="401"/>
      <c r="G92" s="401"/>
      <c r="H92" s="401"/>
      <c r="I92" s="401"/>
      <c r="J92" s="401"/>
      <c r="K92" s="866"/>
      <c r="L92" s="932"/>
      <c r="M92" s="407"/>
    </row>
    <row r="93" spans="1:13" s="922" customFormat="1" ht="24" customHeight="1">
      <c r="A93" s="1022"/>
      <c r="B93" s="419" t="s">
        <v>1972</v>
      </c>
      <c r="C93" s="407"/>
      <c r="D93" s="1023"/>
      <c r="E93" s="1022"/>
      <c r="F93" s="1024"/>
      <c r="G93" s="1024"/>
      <c r="H93" s="1024"/>
      <c r="I93" s="1024"/>
      <c r="J93" s="1024"/>
      <c r="K93" s="1015"/>
      <c r="L93" s="932"/>
      <c r="M93" s="407"/>
    </row>
    <row r="94" spans="1:13" s="922" customFormat="1" ht="24" customHeight="1">
      <c r="A94" s="935" t="s">
        <v>1257</v>
      </c>
      <c r="B94" s="2413" t="s">
        <v>1258</v>
      </c>
      <c r="C94" s="2410"/>
      <c r="D94" s="404"/>
      <c r="E94" s="936"/>
      <c r="F94" s="414"/>
      <c r="G94" s="414"/>
      <c r="H94" s="414"/>
      <c r="I94" s="414"/>
      <c r="J94" s="414"/>
      <c r="K94" s="414"/>
      <c r="L94" s="932"/>
    </row>
    <row r="95" spans="1:13" s="922" customFormat="1" ht="24" customHeight="1">
      <c r="A95" s="935"/>
      <c r="B95" s="892" t="s">
        <v>139</v>
      </c>
      <c r="C95" s="940" t="s">
        <v>1259</v>
      </c>
      <c r="D95" s="404">
        <v>9</v>
      </c>
      <c r="E95" s="936" t="s">
        <v>5</v>
      </c>
      <c r="F95" s="414">
        <v>450</v>
      </c>
      <c r="G95" s="414">
        <v>150</v>
      </c>
      <c r="H95" s="414">
        <f>D95*F95</f>
        <v>4050</v>
      </c>
      <c r="I95" s="414">
        <f>D95*G95</f>
        <v>1350</v>
      </c>
      <c r="J95" s="414">
        <f>H95+I95</f>
        <v>5400</v>
      </c>
      <c r="K95" s="414"/>
      <c r="L95" s="932"/>
      <c r="M95" s="407" t="s">
        <v>1816</v>
      </c>
    </row>
    <row r="96" spans="1:13" s="922" customFormat="1" ht="24" customHeight="1">
      <c r="A96" s="935" t="s">
        <v>1260</v>
      </c>
      <c r="B96" s="2446" t="s">
        <v>1252</v>
      </c>
      <c r="C96" s="2447"/>
      <c r="D96" s="404"/>
      <c r="E96" s="936"/>
      <c r="F96" s="414"/>
      <c r="G96" s="414"/>
      <c r="H96" s="414"/>
      <c r="I96" s="414"/>
      <c r="J96" s="414"/>
      <c r="K96" s="414"/>
      <c r="L96" s="932"/>
    </row>
    <row r="97" spans="1:13" s="922" customFormat="1" ht="24" customHeight="1">
      <c r="A97" s="935"/>
      <c r="B97" s="892" t="s">
        <v>139</v>
      </c>
      <c r="C97" s="944" t="s">
        <v>471</v>
      </c>
      <c r="D97" s="404">
        <v>6</v>
      </c>
      <c r="E97" s="936" t="s">
        <v>5</v>
      </c>
      <c r="F97" s="414">
        <v>28000</v>
      </c>
      <c r="G97" s="414">
        <v>2500</v>
      </c>
      <c r="H97" s="414">
        <f>D97*F97</f>
        <v>168000</v>
      </c>
      <c r="I97" s="414">
        <f>D97*G97</f>
        <v>15000</v>
      </c>
      <c r="J97" s="414">
        <f>H97+I97</f>
        <v>183000</v>
      </c>
      <c r="K97" s="414"/>
      <c r="L97" s="932"/>
      <c r="M97" s="407" t="s">
        <v>1816</v>
      </c>
    </row>
    <row r="98" spans="1:13" s="922" customFormat="1" ht="24" customHeight="1">
      <c r="A98" s="935"/>
      <c r="B98" s="892" t="s">
        <v>139</v>
      </c>
      <c r="C98" s="944" t="s">
        <v>1261</v>
      </c>
      <c r="D98" s="404">
        <v>1</v>
      </c>
      <c r="E98" s="936" t="s">
        <v>105</v>
      </c>
      <c r="F98" s="414">
        <v>15000</v>
      </c>
      <c r="G98" s="414">
        <v>5000</v>
      </c>
      <c r="H98" s="414">
        <f>D98*F98</f>
        <v>15000</v>
      </c>
      <c r="I98" s="414">
        <f>D98*G98</f>
        <v>5000</v>
      </c>
      <c r="J98" s="414">
        <f>H98+I98</f>
        <v>20000</v>
      </c>
      <c r="K98" s="414"/>
      <c r="L98" s="932"/>
      <c r="M98" s="942" t="s">
        <v>642</v>
      </c>
    </row>
    <row r="99" spans="1:13" s="1451" customFormat="1" ht="24" customHeight="1">
      <c r="A99" s="1447"/>
      <c r="B99" s="892" t="s">
        <v>139</v>
      </c>
      <c r="C99" s="1544" t="s">
        <v>1262</v>
      </c>
      <c r="D99" s="404">
        <v>1</v>
      </c>
      <c r="E99" s="936" t="s">
        <v>105</v>
      </c>
      <c r="F99" s="414">
        <v>15000</v>
      </c>
      <c r="G99" s="414">
        <v>5000</v>
      </c>
      <c r="H99" s="414">
        <f>D99*F99</f>
        <v>15000</v>
      </c>
      <c r="I99" s="414">
        <f>D99*G99</f>
        <v>5000</v>
      </c>
      <c r="J99" s="414">
        <f>H99+I99</f>
        <v>20000</v>
      </c>
      <c r="K99" s="1448"/>
      <c r="L99" s="1449"/>
      <c r="M99" s="1450" t="s">
        <v>642</v>
      </c>
    </row>
    <row r="100" spans="1:13" s="922" customFormat="1" ht="24" customHeight="1">
      <c r="A100" s="935"/>
      <c r="B100" s="892" t="s">
        <v>139</v>
      </c>
      <c r="C100" s="944" t="s">
        <v>472</v>
      </c>
      <c r="D100" s="404">
        <v>1</v>
      </c>
      <c r="E100" s="936" t="s">
        <v>105</v>
      </c>
      <c r="F100" s="414">
        <v>0</v>
      </c>
      <c r="G100" s="414">
        <v>0</v>
      </c>
      <c r="H100" s="414">
        <f>D100*F100</f>
        <v>0</v>
      </c>
      <c r="I100" s="414">
        <f>D100*G100</f>
        <v>0</v>
      </c>
      <c r="J100" s="414">
        <f>H100+I100</f>
        <v>0</v>
      </c>
      <c r="K100" s="414"/>
      <c r="L100" s="932"/>
      <c r="M100" s="942"/>
    </row>
    <row r="101" spans="1:13" s="922" customFormat="1" ht="24" customHeight="1">
      <c r="A101" s="959"/>
      <c r="B101" s="894"/>
      <c r="C101" s="960"/>
      <c r="D101" s="412"/>
      <c r="E101" s="961"/>
      <c r="F101" s="415"/>
      <c r="G101" s="415"/>
      <c r="H101" s="415"/>
      <c r="I101" s="415"/>
      <c r="J101" s="415"/>
      <c r="K101" s="415"/>
      <c r="L101" s="932"/>
      <c r="M101" s="942"/>
    </row>
    <row r="102" spans="1:13" s="968" customFormat="1" ht="24" customHeight="1" thickBot="1">
      <c r="A102" s="962"/>
      <c r="B102" s="963"/>
      <c r="C102" s="964" t="str">
        <f>"รวมราคา "&amp;B13</f>
        <v>รวมราคา งานระบบน้ำดี</v>
      </c>
      <c r="D102" s="965"/>
      <c r="E102" s="966"/>
      <c r="F102" s="966"/>
      <c r="G102" s="966"/>
      <c r="H102" s="966">
        <f>SUBTOTAL(9,H14:H100)</f>
        <v>1454324.4</v>
      </c>
      <c r="I102" s="966">
        <f>SUBTOTAL(9,I14:I100)</f>
        <v>255559</v>
      </c>
      <c r="J102" s="966">
        <f>SUBTOTAL(9,J14:J100)</f>
        <v>1709883.4000000001</v>
      </c>
      <c r="K102" s="966"/>
      <c r="L102" s="967"/>
    </row>
    <row r="103" spans="1:13" s="968" customFormat="1" ht="24" customHeight="1" thickTop="1">
      <c r="A103" s="969">
        <v>3.2</v>
      </c>
      <c r="B103" s="2443" t="s">
        <v>1263</v>
      </c>
      <c r="C103" s="2444"/>
      <c r="D103" s="970"/>
      <c r="E103" s="971"/>
      <c r="F103" s="972"/>
      <c r="G103" s="973"/>
      <c r="H103" s="974"/>
      <c r="I103" s="973"/>
      <c r="J103" s="973"/>
      <c r="K103" s="975"/>
      <c r="L103" s="976"/>
    </row>
    <row r="104" spans="1:13" s="922" customFormat="1" ht="24" customHeight="1">
      <c r="A104" s="933" t="s">
        <v>159</v>
      </c>
      <c r="B104" s="2445" t="s">
        <v>1849</v>
      </c>
      <c r="C104" s="2434"/>
      <c r="D104" s="406"/>
      <c r="E104" s="934"/>
      <c r="F104" s="449"/>
      <c r="G104" s="449"/>
      <c r="H104" s="449"/>
      <c r="I104" s="449"/>
      <c r="J104" s="449"/>
      <c r="K104" s="414"/>
      <c r="L104" s="932"/>
    </row>
    <row r="105" spans="1:13" s="922" customFormat="1" ht="24" customHeight="1">
      <c r="A105" s="935"/>
      <c r="B105" s="892" t="s">
        <v>139</v>
      </c>
      <c r="C105" s="940" t="s">
        <v>1264</v>
      </c>
      <c r="D105" s="404">
        <v>1</v>
      </c>
      <c r="E105" s="936" t="s">
        <v>5</v>
      </c>
      <c r="F105" s="414">
        <v>960000</v>
      </c>
      <c r="G105" s="414">
        <v>60000</v>
      </c>
      <c r="H105" s="414">
        <f>D105*F105</f>
        <v>960000</v>
      </c>
      <c r="I105" s="414">
        <f>D105*G105</f>
        <v>60000</v>
      </c>
      <c r="J105" s="414">
        <f>H105+I105</f>
        <v>1020000</v>
      </c>
      <c r="K105" s="414"/>
      <c r="L105" s="414" t="s">
        <v>1956</v>
      </c>
      <c r="M105" s="407" t="s">
        <v>1816</v>
      </c>
    </row>
    <row r="106" spans="1:13" s="922" customFormat="1" ht="24" customHeight="1">
      <c r="A106" s="935"/>
      <c r="B106" s="892" t="s">
        <v>139</v>
      </c>
      <c r="C106" s="940" t="s">
        <v>1265</v>
      </c>
      <c r="D106" s="404">
        <v>1</v>
      </c>
      <c r="E106" s="936" t="s">
        <v>5</v>
      </c>
      <c r="F106" s="414">
        <v>12500</v>
      </c>
      <c r="G106" s="414">
        <v>2000</v>
      </c>
      <c r="H106" s="414">
        <f>D106*F106</f>
        <v>12500</v>
      </c>
      <c r="I106" s="414">
        <f>D106*G106</f>
        <v>2000</v>
      </c>
      <c r="J106" s="414">
        <f>H106+I106</f>
        <v>14500</v>
      </c>
      <c r="K106" s="414"/>
      <c r="L106" s="932"/>
      <c r="M106" s="407" t="s">
        <v>1816</v>
      </c>
    </row>
    <row r="107" spans="1:13" s="922" customFormat="1" ht="24" customHeight="1">
      <c r="A107" s="935"/>
      <c r="B107" s="892" t="s">
        <v>139</v>
      </c>
      <c r="C107" s="940" t="s">
        <v>1266</v>
      </c>
      <c r="D107" s="404">
        <v>6</v>
      </c>
      <c r="E107" s="936" t="s">
        <v>5</v>
      </c>
      <c r="F107" s="414">
        <v>6500</v>
      </c>
      <c r="G107" s="414">
        <v>1500</v>
      </c>
      <c r="H107" s="414">
        <f>D107*F107</f>
        <v>39000</v>
      </c>
      <c r="I107" s="414">
        <f>D107*G107</f>
        <v>9000</v>
      </c>
      <c r="J107" s="414">
        <f>H107+I107</f>
        <v>48000</v>
      </c>
      <c r="K107" s="414"/>
      <c r="L107" s="932"/>
      <c r="M107" s="407" t="s">
        <v>1816</v>
      </c>
    </row>
    <row r="108" spans="1:13" s="922" customFormat="1" ht="24" customHeight="1">
      <c r="A108" s="935"/>
      <c r="B108" s="892" t="s">
        <v>139</v>
      </c>
      <c r="C108" s="940" t="s">
        <v>1267</v>
      </c>
      <c r="D108" s="404">
        <v>8</v>
      </c>
      <c r="E108" s="936" t="s">
        <v>5</v>
      </c>
      <c r="F108" s="414">
        <v>4500</v>
      </c>
      <c r="G108" s="414">
        <v>750</v>
      </c>
      <c r="H108" s="414">
        <f>D108*F108</f>
        <v>36000</v>
      </c>
      <c r="I108" s="414">
        <f>D108*G108</f>
        <v>6000</v>
      </c>
      <c r="J108" s="414">
        <f>H108+I108</f>
        <v>42000</v>
      </c>
      <c r="K108" s="414"/>
      <c r="L108" s="932"/>
      <c r="M108" s="407" t="s">
        <v>1816</v>
      </c>
    </row>
    <row r="109" spans="1:13" s="922" customFormat="1" ht="24" customHeight="1">
      <c r="A109" s="935" t="s">
        <v>160</v>
      </c>
      <c r="B109" s="2409" t="s">
        <v>1462</v>
      </c>
      <c r="C109" s="2410"/>
      <c r="D109" s="404"/>
      <c r="E109" s="936"/>
      <c r="F109" s="414"/>
      <c r="G109" s="414"/>
      <c r="H109" s="414"/>
      <c r="I109" s="414"/>
      <c r="J109" s="414"/>
      <c r="K109" s="414"/>
      <c r="L109" s="932"/>
    </row>
    <row r="110" spans="1:13" s="922" customFormat="1" ht="24" customHeight="1">
      <c r="A110" s="935"/>
      <c r="B110" s="2439" t="s">
        <v>1463</v>
      </c>
      <c r="C110" s="2417"/>
      <c r="D110" s="404"/>
      <c r="E110" s="936"/>
      <c r="F110" s="414"/>
      <c r="G110" s="414"/>
      <c r="H110" s="414"/>
      <c r="I110" s="414"/>
      <c r="J110" s="414"/>
      <c r="K110" s="414"/>
      <c r="L110" s="932"/>
    </row>
    <row r="111" spans="1:13" s="922" customFormat="1" ht="24" customHeight="1">
      <c r="A111" s="935"/>
      <c r="B111" s="892" t="s">
        <v>139</v>
      </c>
      <c r="C111" s="940" t="s">
        <v>453</v>
      </c>
      <c r="D111" s="404">
        <v>50</v>
      </c>
      <c r="E111" s="936" t="s">
        <v>84</v>
      </c>
      <c r="F111" s="414">
        <v>45</v>
      </c>
      <c r="G111" s="414">
        <v>40</v>
      </c>
      <c r="H111" s="414">
        <f>D111*F111</f>
        <v>2250</v>
      </c>
      <c r="I111" s="414">
        <f>D111*G111</f>
        <v>2000</v>
      </c>
      <c r="J111" s="414">
        <f>H111+I111</f>
        <v>4250</v>
      </c>
      <c r="K111" s="414"/>
      <c r="L111" s="932"/>
      <c r="M111" s="942" t="s">
        <v>642</v>
      </c>
    </row>
    <row r="112" spans="1:13" s="922" customFormat="1" ht="24" customHeight="1">
      <c r="A112" s="935"/>
      <c r="B112" s="892" t="s">
        <v>139</v>
      </c>
      <c r="C112" s="940" t="s">
        <v>473</v>
      </c>
      <c r="D112" s="404">
        <v>100</v>
      </c>
      <c r="E112" s="936" t="s">
        <v>84</v>
      </c>
      <c r="F112" s="414">
        <v>100</v>
      </c>
      <c r="G112" s="414">
        <v>75</v>
      </c>
      <c r="H112" s="414">
        <f>D112*F112</f>
        <v>10000</v>
      </c>
      <c r="I112" s="414">
        <f>D112*G112</f>
        <v>7500</v>
      </c>
      <c r="J112" s="414">
        <f>H112+I112</f>
        <v>17500</v>
      </c>
      <c r="K112" s="414"/>
      <c r="L112" s="932"/>
      <c r="M112" s="942" t="s">
        <v>642</v>
      </c>
    </row>
    <row r="113" spans="1:13" s="922" customFormat="1" ht="24" customHeight="1">
      <c r="A113" s="935"/>
      <c r="B113" s="892" t="s">
        <v>139</v>
      </c>
      <c r="C113" s="940" t="s">
        <v>454</v>
      </c>
      <c r="D113" s="404">
        <v>50</v>
      </c>
      <c r="E113" s="936" t="s">
        <v>84</v>
      </c>
      <c r="F113" s="414">
        <v>215</v>
      </c>
      <c r="G113" s="414">
        <v>100</v>
      </c>
      <c r="H113" s="414">
        <f>D113*F113</f>
        <v>10750</v>
      </c>
      <c r="I113" s="414">
        <f>D113*G113</f>
        <v>5000</v>
      </c>
      <c r="J113" s="414">
        <f>H113+I113</f>
        <v>15750</v>
      </c>
      <c r="K113" s="414"/>
      <c r="L113" s="932"/>
      <c r="M113" s="942" t="s">
        <v>642</v>
      </c>
    </row>
    <row r="114" spans="1:13" s="922" customFormat="1" ht="24" customHeight="1">
      <c r="A114" s="935"/>
      <c r="B114" s="892" t="s">
        <v>139</v>
      </c>
      <c r="C114" s="940" t="s">
        <v>455</v>
      </c>
      <c r="D114" s="404">
        <v>50</v>
      </c>
      <c r="E114" s="936" t="s">
        <v>84</v>
      </c>
      <c r="F114" s="414">
        <v>450</v>
      </c>
      <c r="G114" s="414">
        <v>200</v>
      </c>
      <c r="H114" s="414">
        <f>D114*F114</f>
        <v>22500</v>
      </c>
      <c r="I114" s="414">
        <f>D114*G114</f>
        <v>10000</v>
      </c>
      <c r="J114" s="414">
        <f>H114+I114</f>
        <v>32500</v>
      </c>
      <c r="K114" s="414"/>
      <c r="L114" s="932"/>
      <c r="M114" s="942" t="s">
        <v>642</v>
      </c>
    </row>
    <row r="115" spans="1:13" s="922" customFormat="1" ht="24" customHeight="1">
      <c r="A115" s="1641"/>
      <c r="B115" s="1641"/>
      <c r="C115" s="1641"/>
      <c r="D115" s="1009"/>
      <c r="E115" s="1010"/>
      <c r="F115" s="1010"/>
      <c r="G115" s="1010"/>
      <c r="H115" s="1010"/>
      <c r="I115" s="1010"/>
      <c r="J115" s="1010"/>
      <c r="K115" s="1010"/>
      <c r="L115" s="932"/>
      <c r="M115" s="942"/>
    </row>
    <row r="116" spans="1:13" s="922" customFormat="1" ht="24" customHeight="1">
      <c r="A116" s="1013"/>
      <c r="B116" s="869"/>
      <c r="C116" s="1013" t="s">
        <v>133</v>
      </c>
      <c r="D116" s="418"/>
      <c r="E116" s="1014"/>
      <c r="F116" s="1014"/>
      <c r="G116" s="868"/>
      <c r="H116" s="868"/>
      <c r="I116" s="866"/>
      <c r="J116" s="866"/>
      <c r="K116" s="866"/>
      <c r="L116" s="932"/>
      <c r="M116" s="942"/>
    </row>
    <row r="117" spans="1:13" s="922" customFormat="1" ht="24" customHeight="1">
      <c r="A117" s="1642"/>
      <c r="B117" s="2407" t="s">
        <v>1769</v>
      </c>
      <c r="C117" s="2407"/>
      <c r="D117" s="1017"/>
      <c r="E117" s="1017"/>
      <c r="F117" s="1017"/>
      <c r="G117" s="1017" t="s">
        <v>134</v>
      </c>
      <c r="H117" s="1017"/>
      <c r="I117" s="1017"/>
      <c r="J117" s="1017"/>
      <c r="K117" s="1017"/>
      <c r="L117" s="932"/>
      <c r="M117" s="942"/>
    </row>
    <row r="118" spans="1:13" s="922" customFormat="1" ht="24" customHeight="1">
      <c r="A118" s="1643"/>
      <c r="B118" s="2408" t="s">
        <v>1970</v>
      </c>
      <c r="C118" s="2408"/>
      <c r="D118" s="419"/>
      <c r="E118" s="419"/>
      <c r="F118" s="419"/>
      <c r="G118" s="1019" t="s">
        <v>1971</v>
      </c>
      <c r="H118" s="419"/>
      <c r="I118" s="419"/>
      <c r="J118" s="419"/>
      <c r="K118" s="419"/>
      <c r="L118" s="932"/>
      <c r="M118" s="942"/>
    </row>
    <row r="119" spans="1:13" s="922" customFormat="1" ht="24" customHeight="1">
      <c r="A119" s="866"/>
      <c r="B119" s="1017" t="s">
        <v>2031</v>
      </c>
      <c r="C119" s="866"/>
      <c r="D119" s="419"/>
      <c r="E119" s="419"/>
      <c r="F119" s="419"/>
      <c r="G119" s="1017" t="s">
        <v>2031</v>
      </c>
      <c r="H119" s="419"/>
      <c r="I119" s="419"/>
      <c r="J119" s="419"/>
      <c r="K119" s="419"/>
      <c r="L119" s="932"/>
      <c r="M119" s="942"/>
    </row>
    <row r="120" spans="1:13" s="922" customFormat="1" ht="24" customHeight="1">
      <c r="A120" s="1017"/>
      <c r="B120" s="419" t="s">
        <v>1984</v>
      </c>
      <c r="C120" s="866"/>
      <c r="D120" s="1017"/>
      <c r="E120" s="1017"/>
      <c r="F120" s="1017"/>
      <c r="G120" s="419" t="s">
        <v>1985</v>
      </c>
      <c r="H120" s="1017"/>
      <c r="I120" s="1017"/>
      <c r="J120" s="1017"/>
      <c r="K120" s="1017"/>
      <c r="L120" s="932"/>
      <c r="M120" s="942"/>
    </row>
    <row r="121" spans="1:13" s="922" customFormat="1" ht="24" customHeight="1">
      <c r="A121" s="869"/>
      <c r="B121" s="1017" t="s">
        <v>670</v>
      </c>
      <c r="C121" s="407"/>
      <c r="D121" s="1021"/>
      <c r="E121" s="869"/>
      <c r="F121" s="401"/>
      <c r="G121" s="401"/>
      <c r="H121" s="401"/>
      <c r="I121" s="401"/>
      <c r="J121" s="401"/>
      <c r="K121" s="866"/>
      <c r="L121" s="932"/>
      <c r="M121" s="942"/>
    </row>
    <row r="122" spans="1:13" s="922" customFormat="1" ht="24" customHeight="1">
      <c r="A122" s="1022"/>
      <c r="B122" s="419" t="s">
        <v>1972</v>
      </c>
      <c r="C122" s="407"/>
      <c r="D122" s="1023"/>
      <c r="E122" s="1022"/>
      <c r="F122" s="1024"/>
      <c r="G122" s="1024"/>
      <c r="H122" s="1024"/>
      <c r="I122" s="1024"/>
      <c r="J122" s="1024"/>
      <c r="K122" s="1015"/>
      <c r="L122" s="932"/>
      <c r="M122" s="942"/>
    </row>
    <row r="123" spans="1:13" s="922" customFormat="1" ht="24" customHeight="1">
      <c r="A123" s="935"/>
      <c r="B123" s="2439" t="s">
        <v>1464</v>
      </c>
      <c r="C123" s="2417"/>
      <c r="D123" s="404"/>
      <c r="E123" s="936"/>
      <c r="F123" s="414"/>
      <c r="G123" s="414"/>
      <c r="H123" s="414"/>
      <c r="I123" s="414"/>
      <c r="J123" s="414"/>
      <c r="K123" s="414"/>
      <c r="L123" s="932"/>
    </row>
    <row r="124" spans="1:13" s="922" customFormat="1" ht="24" customHeight="1">
      <c r="A124" s="935"/>
      <c r="B124" s="892" t="s">
        <v>139</v>
      </c>
      <c r="C124" s="940" t="s">
        <v>1251</v>
      </c>
      <c r="D124" s="404">
        <v>340</v>
      </c>
      <c r="E124" s="936" t="s">
        <v>84</v>
      </c>
      <c r="F124" s="414">
        <v>18.75</v>
      </c>
      <c r="G124" s="414">
        <v>30</v>
      </c>
      <c r="H124" s="414">
        <f>D124*F124</f>
        <v>6375</v>
      </c>
      <c r="I124" s="414">
        <f>D124*G124</f>
        <v>10200</v>
      </c>
      <c r="J124" s="414">
        <f>H124+I124</f>
        <v>16575</v>
      </c>
      <c r="K124" s="414"/>
      <c r="L124" s="932"/>
      <c r="M124" s="942" t="s">
        <v>642</v>
      </c>
    </row>
    <row r="125" spans="1:13" s="922" customFormat="1" ht="24" customHeight="1">
      <c r="A125" s="935"/>
      <c r="B125" s="892" t="s">
        <v>139</v>
      </c>
      <c r="C125" s="940" t="s">
        <v>453</v>
      </c>
      <c r="D125" s="404">
        <v>1460</v>
      </c>
      <c r="E125" s="936" t="s">
        <v>84</v>
      </c>
      <c r="F125" s="414">
        <v>38.75</v>
      </c>
      <c r="G125" s="414">
        <v>40</v>
      </c>
      <c r="H125" s="414">
        <f>D125*F125</f>
        <v>56575</v>
      </c>
      <c r="I125" s="414">
        <f>D125*G125</f>
        <v>58400</v>
      </c>
      <c r="J125" s="414">
        <f>H125+I125</f>
        <v>114975</v>
      </c>
      <c r="K125" s="414"/>
      <c r="L125" s="932"/>
      <c r="M125" s="942" t="s">
        <v>642</v>
      </c>
    </row>
    <row r="126" spans="1:13" s="922" customFormat="1" ht="24" customHeight="1">
      <c r="A126" s="935"/>
      <c r="B126" s="892" t="s">
        <v>139</v>
      </c>
      <c r="C126" s="940" t="s">
        <v>473</v>
      </c>
      <c r="D126" s="404">
        <v>120</v>
      </c>
      <c r="E126" s="936" t="s">
        <v>84</v>
      </c>
      <c r="F126" s="414">
        <v>85</v>
      </c>
      <c r="G126" s="414">
        <v>75</v>
      </c>
      <c r="H126" s="414">
        <f>D126*F126</f>
        <v>10200</v>
      </c>
      <c r="I126" s="414">
        <f>D126*G126</f>
        <v>9000</v>
      </c>
      <c r="J126" s="414">
        <f>H126+I126</f>
        <v>19200</v>
      </c>
      <c r="K126" s="414"/>
      <c r="L126" s="932"/>
      <c r="M126" s="942" t="s">
        <v>642</v>
      </c>
    </row>
    <row r="127" spans="1:13" s="922" customFormat="1" ht="24" customHeight="1">
      <c r="A127" s="935"/>
      <c r="B127" s="892" t="s">
        <v>139</v>
      </c>
      <c r="C127" s="940" t="s">
        <v>454</v>
      </c>
      <c r="D127" s="404">
        <v>560</v>
      </c>
      <c r="E127" s="936" t="s">
        <v>84</v>
      </c>
      <c r="F127" s="414">
        <v>137.5</v>
      </c>
      <c r="G127" s="414">
        <v>120</v>
      </c>
      <c r="H127" s="414">
        <f>D127*F127</f>
        <v>77000</v>
      </c>
      <c r="I127" s="414">
        <f>D127*G127</f>
        <v>67200</v>
      </c>
      <c r="J127" s="414">
        <f>H127+I127</f>
        <v>144200</v>
      </c>
      <c r="K127" s="414"/>
      <c r="L127" s="932"/>
      <c r="M127" s="942" t="s">
        <v>642</v>
      </c>
    </row>
    <row r="128" spans="1:13" s="922" customFormat="1" ht="24" customHeight="1">
      <c r="A128" s="935"/>
      <c r="B128" s="2448" t="s">
        <v>213</v>
      </c>
      <c r="C128" s="2449"/>
      <c r="D128" s="404"/>
      <c r="E128" s="936"/>
      <c r="F128" s="414"/>
      <c r="G128" s="414"/>
      <c r="H128" s="414"/>
      <c r="I128" s="414"/>
      <c r="J128" s="414"/>
      <c r="K128" s="414"/>
      <c r="L128" s="932"/>
    </row>
    <row r="129" spans="1:13" s="922" customFormat="1" ht="24" customHeight="1">
      <c r="A129" s="935"/>
      <c r="B129" s="892" t="s">
        <v>139</v>
      </c>
      <c r="C129" s="944" t="s">
        <v>456</v>
      </c>
      <c r="D129" s="404">
        <v>60</v>
      </c>
      <c r="E129" s="945" t="s">
        <v>85</v>
      </c>
      <c r="F129" s="414">
        <v>0</v>
      </c>
      <c r="G129" s="414">
        <v>0</v>
      </c>
      <c r="H129" s="414">
        <f>D129*F129</f>
        <v>0</v>
      </c>
      <c r="I129" s="414">
        <f>D129*G129</f>
        <v>0</v>
      </c>
      <c r="J129" s="414">
        <f>H129+I129</f>
        <v>0</v>
      </c>
      <c r="K129" s="414"/>
      <c r="L129" s="932"/>
      <c r="M129" s="942"/>
    </row>
    <row r="130" spans="1:13" s="922" customFormat="1" ht="24" customHeight="1">
      <c r="A130" s="935"/>
      <c r="B130" s="892" t="s">
        <v>139</v>
      </c>
      <c r="C130" s="944" t="s">
        <v>475</v>
      </c>
      <c r="D130" s="404">
        <f>270+24</f>
        <v>294</v>
      </c>
      <c r="E130" s="945" t="s">
        <v>113</v>
      </c>
      <c r="F130" s="414">
        <v>150</v>
      </c>
      <c r="G130" s="414">
        <v>150</v>
      </c>
      <c r="H130" s="414">
        <f>D130*F130</f>
        <v>44100</v>
      </c>
      <c r="I130" s="414">
        <f>D130*G130</f>
        <v>44100</v>
      </c>
      <c r="J130" s="414">
        <f>H130+I130</f>
        <v>88200</v>
      </c>
      <c r="K130" s="414"/>
      <c r="L130" s="932"/>
      <c r="M130" s="942"/>
    </row>
    <row r="131" spans="1:13" s="952" customFormat="1" ht="72">
      <c r="A131" s="946"/>
      <c r="B131" s="947" t="s">
        <v>139</v>
      </c>
      <c r="C131" s="948" t="s">
        <v>1850</v>
      </c>
      <c r="D131" s="670">
        <v>1</v>
      </c>
      <c r="E131" s="945" t="s">
        <v>105</v>
      </c>
      <c r="F131" s="949">
        <f>ROUND(SUM(H111:H128)*0.4,2)</f>
        <v>78260</v>
      </c>
      <c r="G131" s="949">
        <f>ROUND(F131*0.3,0)</f>
        <v>23478</v>
      </c>
      <c r="H131" s="949">
        <f>D131*F131</f>
        <v>78260</v>
      </c>
      <c r="I131" s="949">
        <f>D131*G131</f>
        <v>23478</v>
      </c>
      <c r="J131" s="949">
        <f>H131+I131</f>
        <v>101738</v>
      </c>
      <c r="K131" s="949"/>
      <c r="L131" s="950"/>
      <c r="M131" s="977" t="s">
        <v>642</v>
      </c>
    </row>
    <row r="132" spans="1:13" s="952" customFormat="1" ht="48">
      <c r="A132" s="946"/>
      <c r="B132" s="947" t="s">
        <v>139</v>
      </c>
      <c r="C132" s="948" t="s">
        <v>1851</v>
      </c>
      <c r="D132" s="670">
        <v>1</v>
      </c>
      <c r="E132" s="945" t="s">
        <v>105</v>
      </c>
      <c r="F132" s="949">
        <f>ROUND(SUM(H111:H128)*0.2,2)</f>
        <v>39130</v>
      </c>
      <c r="G132" s="949">
        <f>ROUND(F132*0.3,0)</f>
        <v>11739</v>
      </c>
      <c r="H132" s="949">
        <f>D132*F132</f>
        <v>39130</v>
      </c>
      <c r="I132" s="949">
        <f>D132*G132</f>
        <v>11739</v>
      </c>
      <c r="J132" s="949">
        <f>H132+I132</f>
        <v>50869</v>
      </c>
      <c r="K132" s="949"/>
      <c r="L132" s="950"/>
      <c r="M132" s="977" t="s">
        <v>642</v>
      </c>
    </row>
    <row r="133" spans="1:13" s="952" customFormat="1" ht="48">
      <c r="A133" s="946"/>
      <c r="B133" s="947" t="s">
        <v>139</v>
      </c>
      <c r="C133" s="948" t="s">
        <v>1852</v>
      </c>
      <c r="D133" s="670">
        <v>1</v>
      </c>
      <c r="E133" s="945" t="s">
        <v>105</v>
      </c>
      <c r="F133" s="949">
        <f>ROUND(SUM(H112:H128)*0.05,2)</f>
        <v>9670</v>
      </c>
      <c r="G133" s="949">
        <f>ROUND(F133*0.3,0)</f>
        <v>2901</v>
      </c>
      <c r="H133" s="949">
        <f>D133*F133</f>
        <v>9670</v>
      </c>
      <c r="I133" s="949">
        <f>D133*G133</f>
        <v>2901</v>
      </c>
      <c r="J133" s="949">
        <f>H133+I133</f>
        <v>12571</v>
      </c>
      <c r="K133" s="949"/>
      <c r="L133" s="950"/>
      <c r="M133" s="977" t="s">
        <v>642</v>
      </c>
    </row>
    <row r="134" spans="1:13" s="922" customFormat="1" ht="24" customHeight="1">
      <c r="A134" s="933" t="s">
        <v>185</v>
      </c>
      <c r="B134" s="2433" t="s">
        <v>476</v>
      </c>
      <c r="C134" s="2434"/>
      <c r="D134" s="406"/>
      <c r="E134" s="934"/>
      <c r="F134" s="449"/>
      <c r="G134" s="449"/>
      <c r="H134" s="449"/>
      <c r="I134" s="449"/>
      <c r="J134" s="449"/>
      <c r="K134" s="449"/>
      <c r="L134" s="932"/>
    </row>
    <row r="135" spans="1:13" s="922" customFormat="1" ht="24" customHeight="1">
      <c r="A135" s="935"/>
      <c r="B135" s="892" t="s">
        <v>139</v>
      </c>
      <c r="C135" s="940" t="s">
        <v>453</v>
      </c>
      <c r="D135" s="404">
        <v>16</v>
      </c>
      <c r="E135" s="936" t="s">
        <v>5</v>
      </c>
      <c r="F135" s="414">
        <v>130</v>
      </c>
      <c r="G135" s="414">
        <v>150</v>
      </c>
      <c r="H135" s="414">
        <f>D135*F135</f>
        <v>2080</v>
      </c>
      <c r="I135" s="414">
        <f>D135*G135</f>
        <v>2400</v>
      </c>
      <c r="J135" s="414">
        <f>H135+I135</f>
        <v>4480</v>
      </c>
      <c r="K135" s="414"/>
      <c r="L135" s="932"/>
      <c r="M135" s="407" t="s">
        <v>1816</v>
      </c>
    </row>
    <row r="136" spans="1:13" s="922" customFormat="1" ht="24" customHeight="1">
      <c r="A136" s="935"/>
      <c r="B136" s="892" t="s">
        <v>139</v>
      </c>
      <c r="C136" s="940" t="s">
        <v>454</v>
      </c>
      <c r="D136" s="404">
        <v>38</v>
      </c>
      <c r="E136" s="936" t="s">
        <v>5</v>
      </c>
      <c r="F136" s="414">
        <v>235</v>
      </c>
      <c r="G136" s="414">
        <v>200</v>
      </c>
      <c r="H136" s="414">
        <f>D136*F136</f>
        <v>8930</v>
      </c>
      <c r="I136" s="414">
        <f>D136*G136</f>
        <v>7600</v>
      </c>
      <c r="J136" s="414">
        <f>H136+I136</f>
        <v>16530</v>
      </c>
      <c r="K136" s="414"/>
      <c r="L136" s="932"/>
      <c r="M136" s="407" t="s">
        <v>1816</v>
      </c>
    </row>
    <row r="137" spans="1:13" s="922" customFormat="1" ht="24" customHeight="1">
      <c r="A137" s="935" t="s">
        <v>186</v>
      </c>
      <c r="B137" s="2409" t="s">
        <v>477</v>
      </c>
      <c r="C137" s="2410"/>
      <c r="D137" s="404"/>
      <c r="E137" s="936"/>
      <c r="F137" s="414"/>
      <c r="G137" s="414"/>
      <c r="H137" s="414"/>
      <c r="I137" s="414"/>
      <c r="J137" s="414"/>
      <c r="K137" s="414"/>
      <c r="L137" s="932"/>
      <c r="M137" s="942"/>
    </row>
    <row r="138" spans="1:13" s="922" customFormat="1" ht="24" customHeight="1">
      <c r="A138" s="935"/>
      <c r="B138" s="892" t="s">
        <v>139</v>
      </c>
      <c r="C138" s="940" t="s">
        <v>454</v>
      </c>
      <c r="D138" s="404">
        <v>2</v>
      </c>
      <c r="E138" s="936" t="s">
        <v>5</v>
      </c>
      <c r="F138" s="414">
        <v>1000</v>
      </c>
      <c r="G138" s="414">
        <v>400</v>
      </c>
      <c r="H138" s="414">
        <f>D138*F138</f>
        <v>2000</v>
      </c>
      <c r="I138" s="414">
        <f>D138*G138</f>
        <v>800</v>
      </c>
      <c r="J138" s="414">
        <f>H138+I138</f>
        <v>2800</v>
      </c>
      <c r="K138" s="414"/>
      <c r="L138" s="932"/>
      <c r="M138" s="407" t="s">
        <v>1816</v>
      </c>
    </row>
    <row r="139" spans="1:13" s="922" customFormat="1" ht="24" customHeight="1">
      <c r="A139" s="935"/>
      <c r="B139" s="892" t="s">
        <v>139</v>
      </c>
      <c r="C139" s="940" t="s">
        <v>455</v>
      </c>
      <c r="D139" s="404">
        <v>1</v>
      </c>
      <c r="E139" s="936" t="s">
        <v>5</v>
      </c>
      <c r="F139" s="414">
        <v>1880</v>
      </c>
      <c r="G139" s="414">
        <v>1200</v>
      </c>
      <c r="H139" s="414">
        <f>D139*F139</f>
        <v>1880</v>
      </c>
      <c r="I139" s="414">
        <f>D139*G139</f>
        <v>1200</v>
      </c>
      <c r="J139" s="414">
        <f>H139+I139</f>
        <v>3080</v>
      </c>
      <c r="K139" s="414"/>
      <c r="L139" s="932"/>
      <c r="M139" s="407" t="s">
        <v>1816</v>
      </c>
    </row>
    <row r="140" spans="1:13" s="922" customFormat="1" ht="24" customHeight="1">
      <c r="A140" s="1641"/>
      <c r="B140" s="1641"/>
      <c r="C140" s="1641"/>
      <c r="D140" s="1009"/>
      <c r="E140" s="1010"/>
      <c r="F140" s="1010"/>
      <c r="G140" s="1010"/>
      <c r="H140" s="1010"/>
      <c r="I140" s="1010"/>
      <c r="J140" s="1010"/>
      <c r="K140" s="1010"/>
      <c r="L140" s="932"/>
      <c r="M140" s="407"/>
    </row>
    <row r="141" spans="1:13" s="922" customFormat="1" ht="24" customHeight="1">
      <c r="A141" s="1013"/>
      <c r="B141" s="869"/>
      <c r="C141" s="1013" t="s">
        <v>133</v>
      </c>
      <c r="D141" s="418"/>
      <c r="E141" s="1014"/>
      <c r="F141" s="1014"/>
      <c r="G141" s="868"/>
      <c r="H141" s="868"/>
      <c r="I141" s="866"/>
      <c r="J141" s="866"/>
      <c r="K141" s="866"/>
      <c r="L141" s="932"/>
      <c r="M141" s="407"/>
    </row>
    <row r="142" spans="1:13" s="922" customFormat="1" ht="24" customHeight="1">
      <c r="A142" s="1642"/>
      <c r="B142" s="2407" t="s">
        <v>1769</v>
      </c>
      <c r="C142" s="2407"/>
      <c r="D142" s="1017"/>
      <c r="E142" s="1017"/>
      <c r="F142" s="1017"/>
      <c r="G142" s="1017" t="s">
        <v>134</v>
      </c>
      <c r="H142" s="1017"/>
      <c r="I142" s="1017"/>
      <c r="J142" s="1017"/>
      <c r="K142" s="1017"/>
      <c r="L142" s="932"/>
      <c r="M142" s="407"/>
    </row>
    <row r="143" spans="1:13" s="922" customFormat="1" ht="24" customHeight="1">
      <c r="A143" s="1643"/>
      <c r="B143" s="2408" t="s">
        <v>1970</v>
      </c>
      <c r="C143" s="2408"/>
      <c r="D143" s="419"/>
      <c r="E143" s="419"/>
      <c r="F143" s="419"/>
      <c r="G143" s="1019" t="s">
        <v>1971</v>
      </c>
      <c r="H143" s="419"/>
      <c r="I143" s="419"/>
      <c r="J143" s="419"/>
      <c r="K143" s="419"/>
      <c r="L143" s="932"/>
      <c r="M143" s="407"/>
    </row>
    <row r="144" spans="1:13" s="922" customFormat="1" ht="24" customHeight="1">
      <c r="A144" s="866"/>
      <c r="B144" s="1017" t="s">
        <v>2031</v>
      </c>
      <c r="C144" s="866"/>
      <c r="D144" s="419"/>
      <c r="E144" s="419"/>
      <c r="F144" s="419"/>
      <c r="G144" s="1017" t="s">
        <v>2031</v>
      </c>
      <c r="H144" s="419"/>
      <c r="I144" s="419"/>
      <c r="J144" s="419"/>
      <c r="K144" s="419"/>
      <c r="L144" s="932"/>
      <c r="M144" s="407"/>
    </row>
    <row r="145" spans="1:13" s="922" customFormat="1" ht="24" customHeight="1">
      <c r="A145" s="1017"/>
      <c r="B145" s="419" t="s">
        <v>1984</v>
      </c>
      <c r="C145" s="866"/>
      <c r="D145" s="1017"/>
      <c r="E145" s="1017"/>
      <c r="F145" s="1017"/>
      <c r="G145" s="419" t="s">
        <v>1985</v>
      </c>
      <c r="H145" s="1017"/>
      <c r="I145" s="1017"/>
      <c r="J145" s="1017"/>
      <c r="K145" s="1017"/>
      <c r="L145" s="932"/>
      <c r="M145" s="407"/>
    </row>
    <row r="146" spans="1:13" s="922" customFormat="1" ht="24" customHeight="1">
      <c r="A146" s="869"/>
      <c r="B146" s="1017" t="s">
        <v>670</v>
      </c>
      <c r="C146" s="407"/>
      <c r="D146" s="1021"/>
      <c r="E146" s="869"/>
      <c r="F146" s="401"/>
      <c r="G146" s="401"/>
      <c r="H146" s="401"/>
      <c r="I146" s="401"/>
      <c r="J146" s="401"/>
      <c r="K146" s="866"/>
      <c r="L146" s="932"/>
      <c r="M146" s="407"/>
    </row>
    <row r="147" spans="1:13" s="922" customFormat="1" ht="24" customHeight="1">
      <c r="A147" s="1022"/>
      <c r="B147" s="419" t="s">
        <v>1972</v>
      </c>
      <c r="C147" s="407"/>
      <c r="D147" s="1023"/>
      <c r="E147" s="1022"/>
      <c r="F147" s="1024"/>
      <c r="G147" s="1024"/>
      <c r="H147" s="1024"/>
      <c r="I147" s="1024"/>
      <c r="J147" s="1024"/>
      <c r="K147" s="1015"/>
      <c r="L147" s="932"/>
      <c r="M147" s="407"/>
    </row>
    <row r="148" spans="1:13" s="922" customFormat="1" ht="24" customHeight="1">
      <c r="A148" s="935" t="s">
        <v>187</v>
      </c>
      <c r="B148" s="2409" t="s">
        <v>478</v>
      </c>
      <c r="C148" s="2410"/>
      <c r="D148" s="404"/>
      <c r="E148" s="936"/>
      <c r="F148" s="414"/>
      <c r="G148" s="414"/>
      <c r="H148" s="414"/>
      <c r="I148" s="414"/>
      <c r="J148" s="414"/>
      <c r="K148" s="414"/>
      <c r="L148" s="932"/>
      <c r="M148" s="407"/>
    </row>
    <row r="149" spans="1:13" s="922" customFormat="1" ht="24" customHeight="1">
      <c r="A149" s="946"/>
      <c r="B149" s="892" t="s">
        <v>139</v>
      </c>
      <c r="C149" s="940" t="s">
        <v>453</v>
      </c>
      <c r="D149" s="404">
        <v>104</v>
      </c>
      <c r="E149" s="936" t="s">
        <v>5</v>
      </c>
      <c r="F149" s="414">
        <f>700+200</f>
        <v>900</v>
      </c>
      <c r="G149" s="414">
        <v>250</v>
      </c>
      <c r="H149" s="414">
        <f>D149*F149</f>
        <v>93600</v>
      </c>
      <c r="I149" s="414">
        <f>D149*G149</f>
        <v>26000</v>
      </c>
      <c r="J149" s="414">
        <f>H149+I149</f>
        <v>119600</v>
      </c>
      <c r="K149" s="949"/>
      <c r="L149" s="950"/>
      <c r="M149" s="407" t="s">
        <v>1816</v>
      </c>
    </row>
    <row r="150" spans="1:13" s="952" customFormat="1" ht="24" customHeight="1">
      <c r="A150" s="935" t="s">
        <v>210</v>
      </c>
      <c r="B150" s="2409" t="s">
        <v>479</v>
      </c>
      <c r="C150" s="2410"/>
      <c r="D150" s="404"/>
      <c r="E150" s="936"/>
      <c r="F150" s="414"/>
      <c r="G150" s="414"/>
      <c r="H150" s="414"/>
      <c r="I150" s="414"/>
      <c r="J150" s="414"/>
      <c r="K150" s="949"/>
      <c r="L150" s="950"/>
      <c r="M150" s="942"/>
    </row>
    <row r="151" spans="1:13" s="952" customFormat="1" ht="24" customHeight="1">
      <c r="A151" s="946"/>
      <c r="B151" s="892" t="s">
        <v>139</v>
      </c>
      <c r="C151" s="940" t="s">
        <v>453</v>
      </c>
      <c r="D151" s="404">
        <v>3</v>
      </c>
      <c r="E151" s="936" t="s">
        <v>5</v>
      </c>
      <c r="F151" s="414">
        <v>700</v>
      </c>
      <c r="G151" s="414">
        <v>200</v>
      </c>
      <c r="H151" s="414">
        <f>D151*F151</f>
        <v>2100</v>
      </c>
      <c r="I151" s="414">
        <f>D151*G151</f>
        <v>600</v>
      </c>
      <c r="J151" s="414">
        <f>H151+I151</f>
        <v>2700</v>
      </c>
      <c r="K151" s="949"/>
      <c r="L151" s="950"/>
      <c r="M151" s="407" t="s">
        <v>1816</v>
      </c>
    </row>
    <row r="152" spans="1:13" s="922" customFormat="1" ht="24" customHeight="1">
      <c r="A152" s="935"/>
      <c r="B152" s="892" t="s">
        <v>139</v>
      </c>
      <c r="C152" s="940" t="s">
        <v>473</v>
      </c>
      <c r="D152" s="404">
        <v>11</v>
      </c>
      <c r="E152" s="936" t="s">
        <v>5</v>
      </c>
      <c r="F152" s="414">
        <v>960</v>
      </c>
      <c r="G152" s="414">
        <v>300</v>
      </c>
      <c r="H152" s="414">
        <f>D152*F152</f>
        <v>10560</v>
      </c>
      <c r="I152" s="414">
        <f>D152*G152</f>
        <v>3300</v>
      </c>
      <c r="J152" s="414">
        <f>H152+I152</f>
        <v>13860</v>
      </c>
      <c r="K152" s="414"/>
      <c r="L152" s="932"/>
      <c r="M152" s="407" t="s">
        <v>1816</v>
      </c>
    </row>
    <row r="153" spans="1:13" s="952" customFormat="1" ht="24" customHeight="1">
      <c r="A153" s="978"/>
      <c r="B153" s="896" t="s">
        <v>139</v>
      </c>
      <c r="C153" s="943" t="s">
        <v>454</v>
      </c>
      <c r="D153" s="406">
        <v>7</v>
      </c>
      <c r="E153" s="934" t="s">
        <v>5</v>
      </c>
      <c r="F153" s="449">
        <v>1280</v>
      </c>
      <c r="G153" s="449">
        <v>400</v>
      </c>
      <c r="H153" s="449">
        <f>D153*F153</f>
        <v>8960</v>
      </c>
      <c r="I153" s="449">
        <f>D153*G153</f>
        <v>2800</v>
      </c>
      <c r="J153" s="449">
        <f>H153+I153</f>
        <v>11760</v>
      </c>
      <c r="K153" s="979"/>
      <c r="L153" s="950"/>
      <c r="M153" s="407" t="s">
        <v>1816</v>
      </c>
    </row>
    <row r="154" spans="1:13" s="952" customFormat="1" ht="24" customHeight="1">
      <c r="A154" s="935"/>
      <c r="B154" s="892" t="s">
        <v>139</v>
      </c>
      <c r="C154" s="940" t="s">
        <v>455</v>
      </c>
      <c r="D154" s="404">
        <v>2</v>
      </c>
      <c r="E154" s="936" t="s">
        <v>5</v>
      </c>
      <c r="F154" s="414">
        <v>2780</v>
      </c>
      <c r="G154" s="414">
        <v>600</v>
      </c>
      <c r="H154" s="414">
        <f>D154*F154</f>
        <v>5560</v>
      </c>
      <c r="I154" s="414">
        <f>D154*G154</f>
        <v>1200</v>
      </c>
      <c r="J154" s="414">
        <f>H154+I154</f>
        <v>6760</v>
      </c>
      <c r="K154" s="414"/>
      <c r="L154" s="932"/>
      <c r="M154" s="407" t="s">
        <v>1816</v>
      </c>
    </row>
    <row r="155" spans="1:13" s="922" customFormat="1" ht="24" customHeight="1">
      <c r="A155" s="935" t="s">
        <v>188</v>
      </c>
      <c r="B155" s="2409" t="s">
        <v>480</v>
      </c>
      <c r="C155" s="2410"/>
      <c r="D155" s="404"/>
      <c r="E155" s="936"/>
      <c r="F155" s="414"/>
      <c r="G155" s="414"/>
      <c r="H155" s="414"/>
      <c r="I155" s="414"/>
      <c r="J155" s="414"/>
      <c r="K155" s="414"/>
      <c r="L155" s="932"/>
      <c r="M155" s="942"/>
    </row>
    <row r="156" spans="1:13" s="922" customFormat="1" ht="24" customHeight="1">
      <c r="A156" s="935"/>
      <c r="B156" s="892" t="s">
        <v>139</v>
      </c>
      <c r="C156" s="940" t="s">
        <v>453</v>
      </c>
      <c r="D156" s="404">
        <v>1</v>
      </c>
      <c r="E156" s="936" t="s">
        <v>5</v>
      </c>
      <c r="F156" s="414">
        <v>865</v>
      </c>
      <c r="G156" s="414">
        <v>250</v>
      </c>
      <c r="H156" s="414">
        <f>D156*F156</f>
        <v>865</v>
      </c>
      <c r="I156" s="414">
        <f>D156*G156</f>
        <v>250</v>
      </c>
      <c r="J156" s="414">
        <f>H156+I156</f>
        <v>1115</v>
      </c>
      <c r="K156" s="414"/>
      <c r="L156" s="932"/>
      <c r="M156" s="407" t="s">
        <v>1816</v>
      </c>
    </row>
    <row r="157" spans="1:13" s="922" customFormat="1" ht="24" customHeight="1">
      <c r="A157" s="946"/>
      <c r="B157" s="892" t="s">
        <v>139</v>
      </c>
      <c r="C157" s="940" t="s">
        <v>473</v>
      </c>
      <c r="D157" s="404">
        <v>1</v>
      </c>
      <c r="E157" s="936" t="s">
        <v>5</v>
      </c>
      <c r="F157" s="414">
        <v>995</v>
      </c>
      <c r="G157" s="414">
        <v>300</v>
      </c>
      <c r="H157" s="414">
        <f>D157*F157</f>
        <v>995</v>
      </c>
      <c r="I157" s="414">
        <f>D157*G157</f>
        <v>300</v>
      </c>
      <c r="J157" s="414">
        <f>H157+I157</f>
        <v>1295</v>
      </c>
      <c r="K157" s="949"/>
      <c r="L157" s="950"/>
      <c r="M157" s="407" t="s">
        <v>1816</v>
      </c>
    </row>
    <row r="158" spans="1:13" s="922" customFormat="1" ht="24" customHeight="1">
      <c r="A158" s="935" t="s">
        <v>647</v>
      </c>
      <c r="B158" s="2446" t="s">
        <v>652</v>
      </c>
      <c r="C158" s="2447"/>
      <c r="D158" s="404"/>
      <c r="E158" s="936"/>
      <c r="F158" s="414"/>
      <c r="G158" s="414"/>
      <c r="H158" s="414"/>
      <c r="I158" s="414"/>
      <c r="J158" s="414"/>
      <c r="K158" s="949"/>
      <c r="L158" s="950"/>
      <c r="M158" s="942"/>
    </row>
    <row r="159" spans="1:13" s="922" customFormat="1" ht="24" customHeight="1">
      <c r="A159" s="946"/>
      <c r="B159" s="957"/>
      <c r="C159" s="956" t="s">
        <v>646</v>
      </c>
      <c r="D159" s="404">
        <v>10</v>
      </c>
      <c r="E159" s="945" t="s">
        <v>86</v>
      </c>
      <c r="F159" s="414">
        <v>11900</v>
      </c>
      <c r="G159" s="414">
        <v>5100</v>
      </c>
      <c r="H159" s="414">
        <f>D159*F159</f>
        <v>119000</v>
      </c>
      <c r="I159" s="414">
        <f>D159*G159</f>
        <v>51000</v>
      </c>
      <c r="J159" s="414">
        <f>H159+I159</f>
        <v>170000</v>
      </c>
      <c r="K159" s="949"/>
      <c r="L159" s="950"/>
      <c r="M159" s="939" t="s">
        <v>622</v>
      </c>
    </row>
    <row r="160" spans="1:13" s="922" customFormat="1" ht="24" customHeight="1">
      <c r="A160" s="946"/>
      <c r="B160" s="957"/>
      <c r="C160" s="956" t="s">
        <v>648</v>
      </c>
      <c r="D160" s="404">
        <v>14</v>
      </c>
      <c r="E160" s="936" t="s">
        <v>113</v>
      </c>
      <c r="F160" s="414">
        <f>3500*0.7</f>
        <v>2450</v>
      </c>
      <c r="G160" s="414">
        <f>3500*0.3</f>
        <v>1050</v>
      </c>
      <c r="H160" s="414">
        <f>D160*F160</f>
        <v>34300</v>
      </c>
      <c r="I160" s="414">
        <f>D160*G160</f>
        <v>14700</v>
      </c>
      <c r="J160" s="414">
        <f>H160+I160</f>
        <v>49000</v>
      </c>
      <c r="K160" s="949"/>
      <c r="L160" s="950"/>
      <c r="M160" s="939" t="s">
        <v>622</v>
      </c>
    </row>
    <row r="161" spans="1:13" s="922" customFormat="1" ht="24" customHeight="1">
      <c r="A161" s="946"/>
      <c r="B161" s="957"/>
      <c r="C161" s="956" t="s">
        <v>650</v>
      </c>
      <c r="D161" s="404">
        <v>7</v>
      </c>
      <c r="E161" s="936" t="s">
        <v>113</v>
      </c>
      <c r="F161" s="414">
        <f>3000*0.7</f>
        <v>2100</v>
      </c>
      <c r="G161" s="414">
        <f>3000*0.3</f>
        <v>900</v>
      </c>
      <c r="H161" s="414">
        <f>D161*F161</f>
        <v>14700</v>
      </c>
      <c r="I161" s="414">
        <f>D161*G161</f>
        <v>6300</v>
      </c>
      <c r="J161" s="414">
        <f>H161+I161</f>
        <v>21000</v>
      </c>
      <c r="K161" s="949"/>
      <c r="L161" s="950"/>
      <c r="M161" s="939" t="s">
        <v>622</v>
      </c>
    </row>
    <row r="162" spans="1:13" s="922" customFormat="1" ht="24" customHeight="1">
      <c r="A162" s="946"/>
      <c r="B162" s="957"/>
      <c r="C162" s="956" t="s">
        <v>651</v>
      </c>
      <c r="D162" s="404">
        <v>7</v>
      </c>
      <c r="E162" s="936" t="s">
        <v>113</v>
      </c>
      <c r="F162" s="414">
        <f>3600*0.7</f>
        <v>2520</v>
      </c>
      <c r="G162" s="414">
        <f>3600*0.3</f>
        <v>1080</v>
      </c>
      <c r="H162" s="414">
        <f>D162*F162</f>
        <v>17640</v>
      </c>
      <c r="I162" s="414">
        <f>D162*G162</f>
        <v>7560</v>
      </c>
      <c r="J162" s="414">
        <f>H162+I162</f>
        <v>25200</v>
      </c>
      <c r="K162" s="949"/>
      <c r="L162" s="950"/>
      <c r="M162" s="939" t="s">
        <v>622</v>
      </c>
    </row>
    <row r="163" spans="1:13" s="922" customFormat="1" ht="24" customHeight="1">
      <c r="A163" s="946"/>
      <c r="B163" s="957"/>
      <c r="C163" s="956" t="s">
        <v>649</v>
      </c>
      <c r="D163" s="404">
        <v>14</v>
      </c>
      <c r="E163" s="936" t="s">
        <v>113</v>
      </c>
      <c r="F163" s="414">
        <f>3800*0.7</f>
        <v>2660</v>
      </c>
      <c r="G163" s="414">
        <f>3800*0.3</f>
        <v>1140</v>
      </c>
      <c r="H163" s="414">
        <f>D163*F163</f>
        <v>37240</v>
      </c>
      <c r="I163" s="414">
        <f>D163*G163</f>
        <v>15960</v>
      </c>
      <c r="J163" s="414">
        <f>H163+I163</f>
        <v>53200</v>
      </c>
      <c r="K163" s="949"/>
      <c r="L163" s="950"/>
      <c r="M163" s="939" t="s">
        <v>622</v>
      </c>
    </row>
    <row r="164" spans="1:13" s="922" customFormat="1" ht="24" customHeight="1">
      <c r="A164" s="980"/>
      <c r="B164" s="981"/>
      <c r="C164" s="982"/>
      <c r="D164" s="412"/>
      <c r="E164" s="961"/>
      <c r="F164" s="415"/>
      <c r="G164" s="415"/>
      <c r="H164" s="415"/>
      <c r="I164" s="415"/>
      <c r="J164" s="415"/>
      <c r="K164" s="983"/>
      <c r="L164" s="950"/>
      <c r="M164" s="942"/>
    </row>
    <row r="165" spans="1:13" s="968" customFormat="1" ht="24" customHeight="1" thickBot="1">
      <c r="A165" s="962"/>
      <c r="B165" s="963"/>
      <c r="C165" s="964" t="str">
        <f>"รวมราคา "&amp;B103</f>
        <v>รวมราคา งานระบบน้ำเสีย</v>
      </c>
      <c r="D165" s="965"/>
      <c r="E165" s="966"/>
      <c r="F165" s="966"/>
      <c r="G165" s="966"/>
      <c r="H165" s="966">
        <f>SUM(H104:H163)</f>
        <v>1774720</v>
      </c>
      <c r="I165" s="966">
        <f>SUM(I104:I163)</f>
        <v>470488</v>
      </c>
      <c r="J165" s="966">
        <f>SUM(J104:J163)</f>
        <v>2245208</v>
      </c>
      <c r="K165" s="966"/>
      <c r="L165" s="967"/>
    </row>
    <row r="166" spans="1:13" s="991" customFormat="1" ht="24.75" thickTop="1">
      <c r="A166" s="984">
        <v>3.3</v>
      </c>
      <c r="B166" s="2453" t="s">
        <v>1268</v>
      </c>
      <c r="C166" s="2454"/>
      <c r="D166" s="985"/>
      <c r="E166" s="986"/>
      <c r="F166" s="987"/>
      <c r="G166" s="988"/>
      <c r="H166" s="989"/>
      <c r="I166" s="988"/>
      <c r="J166" s="988"/>
      <c r="K166" s="990"/>
      <c r="L166" s="976"/>
    </row>
    <row r="167" spans="1:13" s="922" customFormat="1" ht="24" customHeight="1">
      <c r="A167" s="933" t="s">
        <v>161</v>
      </c>
      <c r="B167" s="2433" t="s">
        <v>1269</v>
      </c>
      <c r="C167" s="2434"/>
      <c r="D167" s="406"/>
      <c r="E167" s="934"/>
      <c r="F167" s="449"/>
      <c r="G167" s="449"/>
      <c r="H167" s="449"/>
      <c r="I167" s="449"/>
      <c r="J167" s="449"/>
      <c r="K167" s="449"/>
      <c r="L167" s="932"/>
    </row>
    <row r="168" spans="1:13" s="922" customFormat="1" ht="24" customHeight="1">
      <c r="A168" s="935"/>
      <c r="B168" s="2409" t="s">
        <v>481</v>
      </c>
      <c r="C168" s="2410"/>
      <c r="D168" s="404"/>
      <c r="E168" s="936"/>
      <c r="F168" s="414"/>
      <c r="G168" s="414"/>
      <c r="H168" s="414"/>
      <c r="I168" s="414"/>
      <c r="J168" s="414"/>
      <c r="K168" s="414"/>
      <c r="L168" s="932"/>
    </row>
    <row r="169" spans="1:13" s="922" customFormat="1" ht="24" customHeight="1">
      <c r="A169" s="1641"/>
      <c r="B169" s="1641"/>
      <c r="C169" s="1641"/>
      <c r="D169" s="1009"/>
      <c r="E169" s="1010"/>
      <c r="F169" s="1010"/>
      <c r="G169" s="1010"/>
      <c r="H169" s="1010"/>
      <c r="I169" s="1010"/>
      <c r="J169" s="1010"/>
      <c r="K169" s="1010"/>
      <c r="L169" s="932"/>
    </row>
    <row r="170" spans="1:13" s="922" customFormat="1" ht="24" customHeight="1">
      <c r="A170" s="1013"/>
      <c r="B170" s="869"/>
      <c r="C170" s="1013" t="s">
        <v>133</v>
      </c>
      <c r="D170" s="418"/>
      <c r="E170" s="1014"/>
      <c r="F170" s="1014"/>
      <c r="G170" s="868"/>
      <c r="H170" s="868"/>
      <c r="I170" s="866"/>
      <c r="J170" s="866"/>
      <c r="K170" s="866"/>
      <c r="L170" s="932"/>
    </row>
    <row r="171" spans="1:13" s="922" customFormat="1" ht="24" customHeight="1">
      <c r="A171" s="1642"/>
      <c r="B171" s="2407" t="s">
        <v>1769</v>
      </c>
      <c r="C171" s="2407"/>
      <c r="D171" s="1017"/>
      <c r="E171" s="1017"/>
      <c r="F171" s="1017"/>
      <c r="G171" s="1017" t="s">
        <v>134</v>
      </c>
      <c r="H171" s="1017"/>
      <c r="I171" s="1017"/>
      <c r="J171" s="1017"/>
      <c r="K171" s="1017"/>
      <c r="L171" s="932"/>
    </row>
    <row r="172" spans="1:13" s="922" customFormat="1" ht="24" customHeight="1">
      <c r="A172" s="1643"/>
      <c r="B172" s="2408" t="s">
        <v>1970</v>
      </c>
      <c r="C172" s="2408"/>
      <c r="D172" s="419"/>
      <c r="E172" s="419"/>
      <c r="F172" s="419"/>
      <c r="G172" s="1019" t="s">
        <v>1971</v>
      </c>
      <c r="H172" s="419"/>
      <c r="I172" s="419"/>
      <c r="J172" s="419"/>
      <c r="K172" s="419"/>
      <c r="L172" s="932"/>
    </row>
    <row r="173" spans="1:13" s="922" customFormat="1" ht="24" customHeight="1">
      <c r="A173" s="866"/>
      <c r="B173" s="1017" t="s">
        <v>2031</v>
      </c>
      <c r="C173" s="866"/>
      <c r="D173" s="419"/>
      <c r="E173" s="419"/>
      <c r="F173" s="419"/>
      <c r="G173" s="1017" t="s">
        <v>2031</v>
      </c>
      <c r="H173" s="419"/>
      <c r="I173" s="419"/>
      <c r="J173" s="419"/>
      <c r="K173" s="419"/>
      <c r="L173" s="932"/>
    </row>
    <row r="174" spans="1:13" s="922" customFormat="1" ht="24" customHeight="1">
      <c r="A174" s="1017"/>
      <c r="B174" s="419" t="s">
        <v>1984</v>
      </c>
      <c r="C174" s="866"/>
      <c r="D174" s="1017"/>
      <c r="E174" s="1017"/>
      <c r="F174" s="1017"/>
      <c r="G174" s="419" t="s">
        <v>1985</v>
      </c>
      <c r="H174" s="1017"/>
      <c r="I174" s="1017"/>
      <c r="J174" s="1017"/>
      <c r="K174" s="1017"/>
      <c r="L174" s="932"/>
    </row>
    <row r="175" spans="1:13" s="922" customFormat="1" ht="24" customHeight="1">
      <c r="A175" s="869"/>
      <c r="B175" s="1017" t="s">
        <v>670</v>
      </c>
      <c r="C175" s="407"/>
      <c r="D175" s="1021"/>
      <c r="E175" s="869"/>
      <c r="F175" s="401"/>
      <c r="G175" s="401"/>
      <c r="H175" s="401"/>
      <c r="I175" s="401"/>
      <c r="J175" s="401"/>
      <c r="K175" s="866"/>
      <c r="L175" s="932"/>
    </row>
    <row r="176" spans="1:13" s="922" customFormat="1" ht="24" customHeight="1">
      <c r="A176" s="1022"/>
      <c r="B176" s="419" t="s">
        <v>1972</v>
      </c>
      <c r="C176" s="407"/>
      <c r="D176" s="1023"/>
      <c r="E176" s="1022"/>
      <c r="F176" s="1024"/>
      <c r="G176" s="1024"/>
      <c r="H176" s="1024"/>
      <c r="I176" s="1024"/>
      <c r="J176" s="1024"/>
      <c r="K176" s="1015"/>
      <c r="L176" s="932"/>
    </row>
    <row r="177" spans="1:13" s="922" customFormat="1" ht="24" customHeight="1">
      <c r="A177" s="935"/>
      <c r="B177" s="892" t="s">
        <v>139</v>
      </c>
      <c r="C177" s="940" t="s">
        <v>473</v>
      </c>
      <c r="D177" s="404">
        <v>50</v>
      </c>
      <c r="E177" s="936" t="s">
        <v>84</v>
      </c>
      <c r="F177" s="414">
        <v>101</v>
      </c>
      <c r="G177" s="414">
        <v>75</v>
      </c>
      <c r="H177" s="414">
        <f>D177*F177</f>
        <v>5050</v>
      </c>
      <c r="I177" s="414">
        <f>D177*G177</f>
        <v>3750</v>
      </c>
      <c r="J177" s="414">
        <f>H177+I177</f>
        <v>8800</v>
      </c>
      <c r="K177" s="414"/>
      <c r="L177" s="932"/>
      <c r="M177" s="942" t="s">
        <v>642</v>
      </c>
    </row>
    <row r="178" spans="1:13" s="922" customFormat="1" ht="24" customHeight="1">
      <c r="A178" s="935"/>
      <c r="B178" s="892" t="s">
        <v>139</v>
      </c>
      <c r="C178" s="940" t="s">
        <v>454</v>
      </c>
      <c r="D178" s="404">
        <v>100</v>
      </c>
      <c r="E178" s="936" t="s">
        <v>84</v>
      </c>
      <c r="F178" s="414">
        <v>151</v>
      </c>
      <c r="G178" s="414">
        <v>100</v>
      </c>
      <c r="H178" s="414">
        <f>D178*F178</f>
        <v>15100</v>
      </c>
      <c r="I178" s="414">
        <f>D178*G178</f>
        <v>10000</v>
      </c>
      <c r="J178" s="414">
        <f>H178+I178</f>
        <v>25100</v>
      </c>
      <c r="K178" s="414"/>
      <c r="L178" s="932"/>
      <c r="M178" s="942" t="s">
        <v>642</v>
      </c>
    </row>
    <row r="179" spans="1:13" s="922" customFormat="1" ht="24" customHeight="1">
      <c r="A179" s="935"/>
      <c r="B179" s="2409" t="s">
        <v>474</v>
      </c>
      <c r="C179" s="2410"/>
      <c r="D179" s="404"/>
      <c r="E179" s="936"/>
      <c r="F179" s="414"/>
      <c r="G179" s="414"/>
      <c r="H179" s="414"/>
      <c r="I179" s="414"/>
      <c r="J179" s="414"/>
      <c r="K179" s="414"/>
      <c r="L179" s="932"/>
    </row>
    <row r="180" spans="1:13" s="922" customFormat="1" ht="24" customHeight="1">
      <c r="A180" s="935"/>
      <c r="B180" s="892" t="s">
        <v>139</v>
      </c>
      <c r="C180" s="940" t="s">
        <v>473</v>
      </c>
      <c r="D180" s="404">
        <v>86</v>
      </c>
      <c r="E180" s="936" t="s">
        <v>84</v>
      </c>
      <c r="F180" s="414">
        <v>75</v>
      </c>
      <c r="G180" s="414">
        <v>75</v>
      </c>
      <c r="H180" s="414">
        <f>D180*F180</f>
        <v>6450</v>
      </c>
      <c r="I180" s="414">
        <f>D180*G180</f>
        <v>6450</v>
      </c>
      <c r="J180" s="414">
        <f>H180+I180</f>
        <v>12900</v>
      </c>
      <c r="K180" s="414"/>
      <c r="L180" s="932"/>
      <c r="M180" s="942" t="s">
        <v>642</v>
      </c>
    </row>
    <row r="181" spans="1:13" s="922" customFormat="1" ht="24" customHeight="1">
      <c r="A181" s="935"/>
      <c r="B181" s="892" t="s">
        <v>139</v>
      </c>
      <c r="C181" s="940" t="s">
        <v>454</v>
      </c>
      <c r="D181" s="404">
        <v>260</v>
      </c>
      <c r="E181" s="936" t="s">
        <v>84</v>
      </c>
      <c r="F181" s="414">
        <v>149</v>
      </c>
      <c r="G181" s="414">
        <v>120</v>
      </c>
      <c r="H181" s="414">
        <f>D181*F181</f>
        <v>38740</v>
      </c>
      <c r="I181" s="414">
        <f>D181*G181</f>
        <v>31200</v>
      </c>
      <c r="J181" s="414">
        <f>H181+I181</f>
        <v>69940</v>
      </c>
      <c r="K181" s="414"/>
      <c r="L181" s="932"/>
      <c r="M181" s="942" t="s">
        <v>642</v>
      </c>
    </row>
    <row r="182" spans="1:13" s="922" customFormat="1" ht="24" customHeight="1">
      <c r="A182" s="935"/>
      <c r="B182" s="2455" t="s">
        <v>213</v>
      </c>
      <c r="C182" s="2456"/>
      <c r="D182" s="404"/>
      <c r="E182" s="936"/>
      <c r="F182" s="414"/>
      <c r="G182" s="414"/>
      <c r="H182" s="414"/>
      <c r="I182" s="414"/>
      <c r="J182" s="414"/>
      <c r="K182" s="414"/>
      <c r="L182" s="932"/>
      <c r="M182" s="992"/>
    </row>
    <row r="183" spans="1:13" s="922" customFormat="1" ht="24" customHeight="1">
      <c r="A183" s="935"/>
      <c r="B183" s="892" t="s">
        <v>139</v>
      </c>
      <c r="C183" s="944" t="s">
        <v>456</v>
      </c>
      <c r="D183" s="404">
        <v>40</v>
      </c>
      <c r="E183" s="936" t="s">
        <v>85</v>
      </c>
      <c r="F183" s="414">
        <v>350</v>
      </c>
      <c r="G183" s="414">
        <v>60</v>
      </c>
      <c r="H183" s="414">
        <f>D183*F183</f>
        <v>14000</v>
      </c>
      <c r="I183" s="414">
        <f>D183*G183</f>
        <v>2400</v>
      </c>
      <c r="J183" s="414">
        <f>H183+I183</f>
        <v>16400</v>
      </c>
      <c r="K183" s="414"/>
      <c r="L183" s="932"/>
      <c r="M183" s="942" t="s">
        <v>282</v>
      </c>
    </row>
    <row r="184" spans="1:13" s="922" customFormat="1" ht="24" customHeight="1">
      <c r="A184" s="935"/>
      <c r="B184" s="892" t="s">
        <v>139</v>
      </c>
      <c r="C184" s="944" t="s">
        <v>475</v>
      </c>
      <c r="D184" s="404">
        <v>50</v>
      </c>
      <c r="E184" s="936" t="s">
        <v>113</v>
      </c>
      <c r="F184" s="414">
        <v>150</v>
      </c>
      <c r="G184" s="414">
        <v>150</v>
      </c>
      <c r="H184" s="414">
        <f>D184*F184</f>
        <v>7500</v>
      </c>
      <c r="I184" s="414">
        <f>D184*G184</f>
        <v>7500</v>
      </c>
      <c r="J184" s="414">
        <f>H184+I184</f>
        <v>15000</v>
      </c>
      <c r="K184" s="414"/>
      <c r="L184" s="932"/>
      <c r="M184" s="942" t="s">
        <v>282</v>
      </c>
    </row>
    <row r="185" spans="1:13" s="922" customFormat="1" ht="41.25" customHeight="1">
      <c r="A185" s="935"/>
      <c r="B185" s="892" t="s">
        <v>139</v>
      </c>
      <c r="C185" s="944" t="s">
        <v>1839</v>
      </c>
      <c r="D185" s="404">
        <v>1</v>
      </c>
      <c r="E185" s="936" t="s">
        <v>105</v>
      </c>
      <c r="F185" s="414">
        <f>ROUND(SUM(H166:H182)*0.4,2)</f>
        <v>26136</v>
      </c>
      <c r="G185" s="414">
        <f>ROUND(F185*0.3,0)</f>
        <v>7841</v>
      </c>
      <c r="H185" s="414">
        <f>D185*F185</f>
        <v>26136</v>
      </c>
      <c r="I185" s="414">
        <f>D185*G185</f>
        <v>7841</v>
      </c>
      <c r="J185" s="414">
        <f>H185+I185</f>
        <v>33977</v>
      </c>
      <c r="K185" s="414"/>
      <c r="L185" s="932"/>
      <c r="M185" s="942" t="s">
        <v>282</v>
      </c>
    </row>
    <row r="186" spans="1:13" s="952" customFormat="1" ht="48">
      <c r="A186" s="946"/>
      <c r="B186" s="947" t="s">
        <v>139</v>
      </c>
      <c r="C186" s="948" t="s">
        <v>1851</v>
      </c>
      <c r="D186" s="670">
        <v>1</v>
      </c>
      <c r="E186" s="945" t="s">
        <v>105</v>
      </c>
      <c r="F186" s="949">
        <f>ROUND(SUM(H166:H182)*0.2,2)</f>
        <v>13068</v>
      </c>
      <c r="G186" s="949">
        <f>ROUND(F186*0.3,0)</f>
        <v>3920</v>
      </c>
      <c r="H186" s="949">
        <f>D186*F186</f>
        <v>13068</v>
      </c>
      <c r="I186" s="949">
        <f>D186*G186</f>
        <v>3920</v>
      </c>
      <c r="J186" s="949">
        <f>H186+I186</f>
        <v>16988</v>
      </c>
      <c r="K186" s="949"/>
      <c r="L186" s="950"/>
      <c r="M186" s="977" t="s">
        <v>282</v>
      </c>
    </row>
    <row r="187" spans="1:13" s="952" customFormat="1" ht="48">
      <c r="A187" s="946"/>
      <c r="B187" s="947" t="s">
        <v>139</v>
      </c>
      <c r="C187" s="948" t="s">
        <v>170</v>
      </c>
      <c r="D187" s="670">
        <v>1</v>
      </c>
      <c r="E187" s="945" t="s">
        <v>105</v>
      </c>
      <c r="F187" s="949">
        <f>ROUND(SUM(H167:H182)*0.05,2)</f>
        <v>3267</v>
      </c>
      <c r="G187" s="949">
        <f>ROUND(F187*0.3,0)</f>
        <v>980</v>
      </c>
      <c r="H187" s="949">
        <f>D187*F187</f>
        <v>3267</v>
      </c>
      <c r="I187" s="949">
        <f>D187*G187</f>
        <v>980</v>
      </c>
      <c r="J187" s="949">
        <f>H187+I187</f>
        <v>4247</v>
      </c>
      <c r="K187" s="949"/>
      <c r="L187" s="950"/>
      <c r="M187" s="977" t="s">
        <v>282</v>
      </c>
    </row>
    <row r="188" spans="1:13" s="922" customFormat="1" ht="24" customHeight="1">
      <c r="A188" s="935" t="s">
        <v>162</v>
      </c>
      <c r="B188" s="2409" t="s">
        <v>26</v>
      </c>
      <c r="C188" s="2410"/>
      <c r="D188" s="404"/>
      <c r="E188" s="936"/>
      <c r="F188" s="414"/>
      <c r="G188" s="414"/>
      <c r="H188" s="414"/>
      <c r="I188" s="414"/>
      <c r="J188" s="414"/>
      <c r="K188" s="414"/>
      <c r="L188" s="932"/>
    </row>
    <row r="189" spans="1:13" s="922" customFormat="1" ht="24" customHeight="1">
      <c r="A189" s="935"/>
      <c r="B189" s="892" t="s">
        <v>139</v>
      </c>
      <c r="C189" s="940" t="s">
        <v>473</v>
      </c>
      <c r="D189" s="404">
        <v>17</v>
      </c>
      <c r="E189" s="936" t="s">
        <v>5</v>
      </c>
      <c r="F189" s="414">
        <v>1800</v>
      </c>
      <c r="G189" s="414">
        <v>350</v>
      </c>
      <c r="H189" s="414">
        <f>D189*F189</f>
        <v>30600</v>
      </c>
      <c r="I189" s="414">
        <f>D189*G189</f>
        <v>5950</v>
      </c>
      <c r="J189" s="414">
        <f>H189+I189</f>
        <v>36550</v>
      </c>
      <c r="K189" s="414"/>
      <c r="L189" s="932"/>
      <c r="M189" s="942" t="s">
        <v>642</v>
      </c>
    </row>
    <row r="190" spans="1:13" s="922" customFormat="1" ht="24" customHeight="1">
      <c r="A190" s="935"/>
      <c r="B190" s="892" t="s">
        <v>139</v>
      </c>
      <c r="C190" s="940" t="s">
        <v>454</v>
      </c>
      <c r="D190" s="404">
        <v>7</v>
      </c>
      <c r="E190" s="936" t="s">
        <v>5</v>
      </c>
      <c r="F190" s="414">
        <v>2200</v>
      </c>
      <c r="G190" s="414">
        <v>450</v>
      </c>
      <c r="H190" s="414">
        <f>D190*F190</f>
        <v>15400</v>
      </c>
      <c r="I190" s="414">
        <f>D190*G190</f>
        <v>3150</v>
      </c>
      <c r="J190" s="414">
        <f>H190+I190</f>
        <v>18550</v>
      </c>
      <c r="K190" s="414"/>
      <c r="L190" s="932"/>
      <c r="M190" s="942" t="s">
        <v>642</v>
      </c>
    </row>
    <row r="191" spans="1:13" s="922" customFormat="1" ht="24" customHeight="1">
      <c r="A191" s="935" t="s">
        <v>189</v>
      </c>
      <c r="B191" s="2409" t="s">
        <v>479</v>
      </c>
      <c r="C191" s="2410"/>
      <c r="D191" s="404"/>
      <c r="E191" s="936"/>
      <c r="F191" s="414"/>
      <c r="G191" s="414"/>
      <c r="H191" s="414"/>
      <c r="I191" s="414"/>
      <c r="J191" s="414"/>
      <c r="K191" s="414"/>
      <c r="L191" s="932"/>
    </row>
    <row r="192" spans="1:13" s="922" customFormat="1" ht="24" customHeight="1">
      <c r="A192" s="935"/>
      <c r="B192" s="892" t="s">
        <v>139</v>
      </c>
      <c r="C192" s="940" t="s">
        <v>473</v>
      </c>
      <c r="D192" s="404">
        <v>1</v>
      </c>
      <c r="E192" s="936" t="s">
        <v>5</v>
      </c>
      <c r="F192" s="414">
        <v>960</v>
      </c>
      <c r="G192" s="414">
        <v>300</v>
      </c>
      <c r="H192" s="414">
        <f>D192*F192</f>
        <v>960</v>
      </c>
      <c r="I192" s="414">
        <f>D192*G192</f>
        <v>300</v>
      </c>
      <c r="J192" s="414">
        <f>H192+I192</f>
        <v>1260</v>
      </c>
      <c r="K192" s="414"/>
      <c r="L192" s="932"/>
      <c r="M192" s="942" t="s">
        <v>642</v>
      </c>
    </row>
    <row r="193" spans="1:13" s="922" customFormat="1" ht="24" customHeight="1">
      <c r="A193" s="935"/>
      <c r="B193" s="892" t="s">
        <v>139</v>
      </c>
      <c r="C193" s="940" t="s">
        <v>454</v>
      </c>
      <c r="D193" s="404">
        <v>7</v>
      </c>
      <c r="E193" s="936" t="s">
        <v>5</v>
      </c>
      <c r="F193" s="414">
        <v>1280</v>
      </c>
      <c r="G193" s="414">
        <v>400</v>
      </c>
      <c r="H193" s="414">
        <f>D193*F193</f>
        <v>8960</v>
      </c>
      <c r="I193" s="414">
        <f>D193*G193</f>
        <v>2800</v>
      </c>
      <c r="J193" s="414">
        <f>H193+I193</f>
        <v>11760</v>
      </c>
      <c r="K193" s="414"/>
      <c r="L193" s="932"/>
      <c r="M193" s="942" t="s">
        <v>642</v>
      </c>
    </row>
    <row r="194" spans="1:13" s="922" customFormat="1" ht="24" customHeight="1">
      <c r="A194" s="959"/>
      <c r="B194" s="894"/>
      <c r="C194" s="993"/>
      <c r="D194" s="412"/>
      <c r="E194" s="961"/>
      <c r="F194" s="415"/>
      <c r="G194" s="415"/>
      <c r="H194" s="415"/>
      <c r="I194" s="415"/>
      <c r="J194" s="415"/>
      <c r="K194" s="415"/>
      <c r="L194" s="932"/>
      <c r="M194" s="942"/>
    </row>
    <row r="195" spans="1:13" s="968" customFormat="1" ht="24" customHeight="1" thickBot="1">
      <c r="A195" s="962"/>
      <c r="B195" s="963"/>
      <c r="C195" s="964" t="str">
        <f>"รวมราคา "&amp;B166</f>
        <v>รวมราคา งานระบบน้ำฝนในอาคาร</v>
      </c>
      <c r="D195" s="965"/>
      <c r="E195" s="966"/>
      <c r="F195" s="966"/>
      <c r="G195" s="966"/>
      <c r="H195" s="966">
        <f>SUM(H167:H194)</f>
        <v>185231</v>
      </c>
      <c r="I195" s="966">
        <f>SUM(I167:I194)</f>
        <v>86241</v>
      </c>
      <c r="J195" s="966">
        <f>SUM(J167:J194)</f>
        <v>271472</v>
      </c>
      <c r="K195" s="966"/>
      <c r="L195" s="967"/>
    </row>
    <row r="196" spans="1:13" s="968" customFormat="1" ht="24" customHeight="1" thickTop="1">
      <c r="A196" s="1641"/>
      <c r="B196" s="1641"/>
      <c r="C196" s="1641"/>
      <c r="D196" s="1009"/>
      <c r="E196" s="1010"/>
      <c r="F196" s="1010"/>
      <c r="G196" s="1010"/>
      <c r="H196" s="1010"/>
      <c r="I196" s="1010"/>
      <c r="J196" s="1010"/>
      <c r="K196" s="1010"/>
      <c r="L196" s="967"/>
    </row>
    <row r="197" spans="1:13" s="968" customFormat="1" ht="24" customHeight="1">
      <c r="A197" s="1013"/>
      <c r="B197" s="869"/>
      <c r="C197" s="1013" t="s">
        <v>133</v>
      </c>
      <c r="D197" s="418"/>
      <c r="E197" s="1014"/>
      <c r="F197" s="1014"/>
      <c r="G197" s="868"/>
      <c r="H197" s="868"/>
      <c r="I197" s="866"/>
      <c r="J197" s="866"/>
      <c r="K197" s="866"/>
      <c r="L197" s="967"/>
    </row>
    <row r="198" spans="1:13" s="968" customFormat="1" ht="24" customHeight="1">
      <c r="A198" s="1642"/>
      <c r="B198" s="2407" t="s">
        <v>1769</v>
      </c>
      <c r="C198" s="2407"/>
      <c r="D198" s="1017"/>
      <c r="E198" s="1017"/>
      <c r="F198" s="1017"/>
      <c r="G198" s="1017" t="s">
        <v>134</v>
      </c>
      <c r="H198" s="1017"/>
      <c r="I198" s="1017"/>
      <c r="J198" s="1017"/>
      <c r="K198" s="1017"/>
      <c r="L198" s="967"/>
    </row>
    <row r="199" spans="1:13" s="968" customFormat="1" ht="24" customHeight="1">
      <c r="A199" s="1643"/>
      <c r="B199" s="2408" t="s">
        <v>1970</v>
      </c>
      <c r="C199" s="2408"/>
      <c r="D199" s="419"/>
      <c r="E199" s="419"/>
      <c r="F199" s="419"/>
      <c r="G199" s="1019" t="s">
        <v>1971</v>
      </c>
      <c r="H199" s="419"/>
      <c r="I199" s="419"/>
      <c r="J199" s="419"/>
      <c r="K199" s="419"/>
      <c r="L199" s="967"/>
    </row>
    <row r="200" spans="1:13" s="968" customFormat="1" ht="24" customHeight="1">
      <c r="A200" s="866"/>
      <c r="B200" s="1017" t="s">
        <v>2031</v>
      </c>
      <c r="C200" s="866"/>
      <c r="D200" s="419"/>
      <c r="E200" s="419"/>
      <c r="F200" s="419"/>
      <c r="G200" s="1017" t="s">
        <v>2031</v>
      </c>
      <c r="H200" s="419"/>
      <c r="I200" s="419"/>
      <c r="J200" s="419"/>
      <c r="K200" s="419"/>
      <c r="L200" s="967"/>
    </row>
    <row r="201" spans="1:13" s="968" customFormat="1" ht="24" customHeight="1">
      <c r="A201" s="1017"/>
      <c r="B201" s="419" t="s">
        <v>1984</v>
      </c>
      <c r="C201" s="866"/>
      <c r="D201" s="1017"/>
      <c r="E201" s="1017"/>
      <c r="F201" s="1017"/>
      <c r="G201" s="419" t="s">
        <v>1985</v>
      </c>
      <c r="H201" s="1017"/>
      <c r="I201" s="1017"/>
      <c r="J201" s="1017"/>
      <c r="K201" s="1017"/>
      <c r="L201" s="967"/>
    </row>
    <row r="202" spans="1:13" s="968" customFormat="1" ht="24" customHeight="1">
      <c r="A202" s="869"/>
      <c r="B202" s="1017" t="s">
        <v>670</v>
      </c>
      <c r="C202" s="407"/>
      <c r="D202" s="1021"/>
      <c r="E202" s="869"/>
      <c r="F202" s="401"/>
      <c r="G202" s="401"/>
      <c r="H202" s="401"/>
      <c r="I202" s="401"/>
      <c r="J202" s="401"/>
      <c r="K202" s="866"/>
      <c r="L202" s="967"/>
    </row>
    <row r="203" spans="1:13" s="968" customFormat="1" ht="24" customHeight="1">
      <c r="A203" s="1022"/>
      <c r="B203" s="419" t="s">
        <v>1972</v>
      </c>
      <c r="C203" s="407"/>
      <c r="D203" s="1023"/>
      <c r="E203" s="1022"/>
      <c r="F203" s="1024"/>
      <c r="G203" s="1024"/>
      <c r="H203" s="1024"/>
      <c r="I203" s="1024"/>
      <c r="J203" s="1024"/>
      <c r="K203" s="1015"/>
      <c r="L203" s="967"/>
    </row>
    <row r="204" spans="1:13" s="968" customFormat="1" ht="24" customHeight="1">
      <c r="A204" s="994"/>
      <c r="B204" s="2450" t="s">
        <v>1270</v>
      </c>
      <c r="C204" s="2450"/>
      <c r="D204" s="985"/>
      <c r="E204" s="986"/>
      <c r="F204" s="987"/>
      <c r="G204" s="988"/>
      <c r="H204" s="989"/>
      <c r="I204" s="988"/>
      <c r="J204" s="988"/>
      <c r="K204" s="990"/>
      <c r="L204" s="976"/>
    </row>
    <row r="205" spans="1:13" s="1445" customFormat="1" ht="24" customHeight="1">
      <c r="A205" s="1546">
        <v>3.4</v>
      </c>
      <c r="B205" s="2437" t="s">
        <v>1271</v>
      </c>
      <c r="C205" s="2438"/>
      <c r="D205" s="985"/>
      <c r="E205" s="995"/>
      <c r="F205" s="996"/>
      <c r="G205" s="996"/>
      <c r="H205" s="996"/>
      <c r="I205" s="996"/>
      <c r="J205" s="996"/>
      <c r="K205" s="996"/>
      <c r="L205" s="1444"/>
    </row>
    <row r="206" spans="1:13" s="1443" customFormat="1" ht="24" customHeight="1">
      <c r="A206" s="1547" t="s">
        <v>211</v>
      </c>
      <c r="B206" s="2451" t="s">
        <v>173</v>
      </c>
      <c r="C206" s="2452"/>
      <c r="D206" s="406"/>
      <c r="E206" s="934"/>
      <c r="F206" s="449"/>
      <c r="G206" s="449"/>
      <c r="H206" s="449"/>
      <c r="I206" s="449"/>
      <c r="J206" s="449"/>
      <c r="K206" s="1548"/>
      <c r="L206" s="1442"/>
    </row>
    <row r="207" spans="1:13" s="1443" customFormat="1" ht="24" customHeight="1">
      <c r="A207" s="936"/>
      <c r="B207" s="957"/>
      <c r="C207" s="1549" t="s">
        <v>482</v>
      </c>
      <c r="D207" s="404">
        <v>1</v>
      </c>
      <c r="E207" s="936" t="s">
        <v>5</v>
      </c>
      <c r="F207" s="414">
        <f>3250000*0.7</f>
        <v>2275000</v>
      </c>
      <c r="G207" s="414">
        <f>3250000*0.3</f>
        <v>975000</v>
      </c>
      <c r="H207" s="414">
        <f>D207*F207</f>
        <v>2275000</v>
      </c>
      <c r="I207" s="414">
        <f>D207*G207</f>
        <v>975000</v>
      </c>
      <c r="J207" s="414">
        <f>H207+I207</f>
        <v>3250000</v>
      </c>
      <c r="K207" s="414"/>
      <c r="L207" s="1440" t="s">
        <v>1954</v>
      </c>
      <c r="M207" s="1446" t="s">
        <v>622</v>
      </c>
    </row>
    <row r="208" spans="1:13" s="1443" customFormat="1" ht="24" customHeight="1">
      <c r="A208" s="936"/>
      <c r="B208" s="957"/>
      <c r="C208" s="1549" t="s">
        <v>483</v>
      </c>
      <c r="D208" s="404"/>
      <c r="E208" s="936"/>
      <c r="F208" s="414"/>
      <c r="G208" s="414"/>
      <c r="H208" s="414"/>
      <c r="I208" s="414"/>
      <c r="J208" s="414"/>
      <c r="K208" s="414"/>
      <c r="L208" s="1440"/>
    </row>
    <row r="209" spans="1:13" s="1443" customFormat="1" ht="24" customHeight="1">
      <c r="A209" s="936" t="s">
        <v>212</v>
      </c>
      <c r="B209" s="2435" t="s">
        <v>484</v>
      </c>
      <c r="C209" s="2436"/>
      <c r="D209" s="404"/>
      <c r="E209" s="936"/>
      <c r="F209" s="414"/>
      <c r="G209" s="414"/>
      <c r="H209" s="414"/>
      <c r="I209" s="414"/>
      <c r="J209" s="414"/>
      <c r="K209" s="414"/>
      <c r="L209" s="1440"/>
    </row>
    <row r="210" spans="1:13" s="1443" customFormat="1" ht="24" customHeight="1">
      <c r="A210" s="936"/>
      <c r="B210" s="957"/>
      <c r="C210" s="1549" t="s">
        <v>485</v>
      </c>
      <c r="D210" s="404">
        <v>1</v>
      </c>
      <c r="E210" s="936" t="s">
        <v>5</v>
      </c>
      <c r="F210" s="414">
        <f>200000*0.7</f>
        <v>140000</v>
      </c>
      <c r="G210" s="414">
        <f>200000*0.3</f>
        <v>60000</v>
      </c>
      <c r="H210" s="414">
        <f>D210*F210</f>
        <v>140000</v>
      </c>
      <c r="I210" s="414">
        <f>D210*G210</f>
        <v>60000</v>
      </c>
      <c r="J210" s="414">
        <f>H210+I210</f>
        <v>200000</v>
      </c>
      <c r="K210" s="1550"/>
      <c r="L210" s="1440" t="s">
        <v>1954</v>
      </c>
      <c r="M210" s="1446" t="s">
        <v>622</v>
      </c>
    </row>
    <row r="211" spans="1:13" s="968" customFormat="1" ht="24" customHeight="1" thickBot="1">
      <c r="A211" s="962"/>
      <c r="B211" s="963"/>
      <c r="C211" s="964" t="str">
        <f>"รวมราคา "&amp;B205</f>
        <v>รวมราคา งานปั๊มน้ำระบบป้องกันอัคคีภัย</v>
      </c>
      <c r="D211" s="965"/>
      <c r="E211" s="966"/>
      <c r="F211" s="966"/>
      <c r="G211" s="966"/>
      <c r="H211" s="966">
        <f>SUM(H205:H210)</f>
        <v>2415000</v>
      </c>
      <c r="I211" s="966">
        <f>SUM(I205:I210)</f>
        <v>1035000</v>
      </c>
      <c r="J211" s="966">
        <f>SUM(J205:J210)</f>
        <v>3450000</v>
      </c>
      <c r="K211" s="966"/>
      <c r="L211" s="967"/>
    </row>
    <row r="212" spans="1:13" s="968" customFormat="1" ht="24" customHeight="1" thickTop="1">
      <c r="A212" s="984">
        <v>3.5</v>
      </c>
      <c r="B212" s="2453" t="s">
        <v>1272</v>
      </c>
      <c r="C212" s="2454"/>
      <c r="D212" s="985"/>
      <c r="E212" s="986"/>
      <c r="F212" s="987"/>
      <c r="G212" s="988"/>
      <c r="H212" s="989"/>
      <c r="I212" s="988"/>
      <c r="J212" s="988"/>
      <c r="K212" s="990"/>
      <c r="L212" s="976"/>
    </row>
    <row r="213" spans="1:13" s="922" customFormat="1" ht="24" customHeight="1">
      <c r="A213" s="933" t="s">
        <v>233</v>
      </c>
      <c r="B213" s="2459" t="s">
        <v>9</v>
      </c>
      <c r="C213" s="2458"/>
      <c r="D213" s="406"/>
      <c r="E213" s="934"/>
      <c r="F213" s="449"/>
      <c r="G213" s="449"/>
      <c r="H213" s="449"/>
      <c r="I213" s="449"/>
      <c r="J213" s="449"/>
      <c r="K213" s="449"/>
      <c r="L213" s="932"/>
    </row>
    <row r="214" spans="1:13" s="922" customFormat="1" ht="24" customHeight="1">
      <c r="A214" s="935"/>
      <c r="B214" s="892" t="s">
        <v>139</v>
      </c>
      <c r="C214" s="958" t="s">
        <v>174</v>
      </c>
      <c r="D214" s="404">
        <f>2640+24</f>
        <v>2664</v>
      </c>
      <c r="E214" s="936" t="s">
        <v>84</v>
      </c>
      <c r="F214" s="414">
        <v>98</v>
      </c>
      <c r="G214" s="414">
        <v>45</v>
      </c>
      <c r="H214" s="414">
        <f t="shared" ref="H214:H221" si="6">D214*F214</f>
        <v>261072</v>
      </c>
      <c r="I214" s="414">
        <f t="shared" ref="I214:I221" si="7">D214*G214</f>
        <v>119880</v>
      </c>
      <c r="J214" s="414">
        <f t="shared" ref="J214:J221" si="8">H214+I214</f>
        <v>380952</v>
      </c>
      <c r="K214" s="414"/>
      <c r="L214" s="932"/>
      <c r="M214" s="942" t="s">
        <v>642</v>
      </c>
    </row>
    <row r="215" spans="1:13" s="922" customFormat="1" ht="24" customHeight="1">
      <c r="A215" s="935"/>
      <c r="B215" s="892" t="s">
        <v>139</v>
      </c>
      <c r="C215" s="958" t="s">
        <v>175</v>
      </c>
      <c r="D215" s="404">
        <v>270</v>
      </c>
      <c r="E215" s="936" t="s">
        <v>84</v>
      </c>
      <c r="F215" s="414">
        <v>133</v>
      </c>
      <c r="G215" s="414">
        <v>60</v>
      </c>
      <c r="H215" s="414">
        <f t="shared" si="6"/>
        <v>35910</v>
      </c>
      <c r="I215" s="414">
        <f t="shared" si="7"/>
        <v>16200</v>
      </c>
      <c r="J215" s="414">
        <f t="shared" si="8"/>
        <v>52110</v>
      </c>
      <c r="K215" s="414"/>
      <c r="L215" s="932"/>
      <c r="M215" s="942" t="s">
        <v>642</v>
      </c>
    </row>
    <row r="216" spans="1:13" s="922" customFormat="1" ht="24" customHeight="1">
      <c r="A216" s="935"/>
      <c r="B216" s="892" t="s">
        <v>139</v>
      </c>
      <c r="C216" s="958" t="s">
        <v>176</v>
      </c>
      <c r="D216" s="404">
        <v>180</v>
      </c>
      <c r="E216" s="936" t="s">
        <v>84</v>
      </c>
      <c r="F216" s="414">
        <v>158.5</v>
      </c>
      <c r="G216" s="414">
        <v>70</v>
      </c>
      <c r="H216" s="414">
        <f t="shared" si="6"/>
        <v>28530</v>
      </c>
      <c r="I216" s="414">
        <f t="shared" si="7"/>
        <v>12600</v>
      </c>
      <c r="J216" s="414">
        <f t="shared" si="8"/>
        <v>41130</v>
      </c>
      <c r="K216" s="414"/>
      <c r="L216" s="932"/>
      <c r="M216" s="942" t="s">
        <v>642</v>
      </c>
    </row>
    <row r="217" spans="1:13" s="922" customFormat="1" ht="24" customHeight="1">
      <c r="A217" s="935"/>
      <c r="B217" s="892" t="s">
        <v>139</v>
      </c>
      <c r="C217" s="958" t="s">
        <v>177</v>
      </c>
      <c r="D217" s="404">
        <v>216</v>
      </c>
      <c r="E217" s="936" t="s">
        <v>84</v>
      </c>
      <c r="F217" s="414">
        <v>198</v>
      </c>
      <c r="G217" s="414">
        <v>95</v>
      </c>
      <c r="H217" s="414">
        <f t="shared" si="6"/>
        <v>42768</v>
      </c>
      <c r="I217" s="414">
        <f t="shared" si="7"/>
        <v>20520</v>
      </c>
      <c r="J217" s="414">
        <f t="shared" si="8"/>
        <v>63288</v>
      </c>
      <c r="K217" s="414"/>
      <c r="L217" s="932"/>
      <c r="M217" s="942" t="s">
        <v>642</v>
      </c>
    </row>
    <row r="218" spans="1:13" s="922" customFormat="1" ht="24" customHeight="1">
      <c r="A218" s="935"/>
      <c r="B218" s="892" t="s">
        <v>139</v>
      </c>
      <c r="C218" s="958" t="s">
        <v>178</v>
      </c>
      <c r="D218" s="404">
        <v>210</v>
      </c>
      <c r="E218" s="936" t="s">
        <v>84</v>
      </c>
      <c r="F218" s="414">
        <v>315</v>
      </c>
      <c r="G218" s="414">
        <v>150</v>
      </c>
      <c r="H218" s="414">
        <f t="shared" si="6"/>
        <v>66150</v>
      </c>
      <c r="I218" s="414">
        <f t="shared" si="7"/>
        <v>31500</v>
      </c>
      <c r="J218" s="414">
        <f t="shared" si="8"/>
        <v>97650</v>
      </c>
      <c r="K218" s="414"/>
      <c r="L218" s="932"/>
      <c r="M218" s="942" t="s">
        <v>642</v>
      </c>
    </row>
    <row r="219" spans="1:13" s="922" customFormat="1" ht="24" customHeight="1">
      <c r="A219" s="935"/>
      <c r="B219" s="892" t="s">
        <v>139</v>
      </c>
      <c r="C219" s="958" t="s">
        <v>179</v>
      </c>
      <c r="D219" s="404">
        <f>4*6+2*6*7+24</f>
        <v>132</v>
      </c>
      <c r="E219" s="936" t="s">
        <v>84</v>
      </c>
      <c r="F219" s="414">
        <v>411.5</v>
      </c>
      <c r="G219" s="414">
        <v>200</v>
      </c>
      <c r="H219" s="414">
        <f t="shared" si="6"/>
        <v>54318</v>
      </c>
      <c r="I219" s="414">
        <f t="shared" si="7"/>
        <v>26400</v>
      </c>
      <c r="J219" s="414">
        <f t="shared" si="8"/>
        <v>80718</v>
      </c>
      <c r="K219" s="414"/>
      <c r="L219" s="932"/>
      <c r="M219" s="942" t="s">
        <v>642</v>
      </c>
    </row>
    <row r="220" spans="1:13" s="922" customFormat="1" ht="24" customHeight="1">
      <c r="A220" s="935"/>
      <c r="B220" s="892" t="s">
        <v>139</v>
      </c>
      <c r="C220" s="958" t="s">
        <v>180</v>
      </c>
      <c r="D220" s="404">
        <v>186</v>
      </c>
      <c r="E220" s="936" t="s">
        <v>84</v>
      </c>
      <c r="F220" s="414">
        <v>586.5</v>
      </c>
      <c r="G220" s="414">
        <v>280</v>
      </c>
      <c r="H220" s="414">
        <f t="shared" si="6"/>
        <v>109089</v>
      </c>
      <c r="I220" s="414">
        <f t="shared" si="7"/>
        <v>52080</v>
      </c>
      <c r="J220" s="414">
        <f t="shared" si="8"/>
        <v>161169</v>
      </c>
      <c r="K220" s="414"/>
      <c r="L220" s="932"/>
      <c r="M220" s="942" t="s">
        <v>642</v>
      </c>
    </row>
    <row r="221" spans="1:13" s="922" customFormat="1" ht="24" customHeight="1">
      <c r="A221" s="935"/>
      <c r="B221" s="892" t="s">
        <v>139</v>
      </c>
      <c r="C221" s="958" t="s">
        <v>181</v>
      </c>
      <c r="D221" s="404">
        <v>150</v>
      </c>
      <c r="E221" s="936" t="s">
        <v>84</v>
      </c>
      <c r="F221" s="414">
        <v>1034.5</v>
      </c>
      <c r="G221" s="414">
        <v>500</v>
      </c>
      <c r="H221" s="414">
        <f t="shared" si="6"/>
        <v>155175</v>
      </c>
      <c r="I221" s="414">
        <f t="shared" si="7"/>
        <v>75000</v>
      </c>
      <c r="J221" s="414">
        <f t="shared" si="8"/>
        <v>230175</v>
      </c>
      <c r="K221" s="414"/>
      <c r="L221" s="932"/>
      <c r="M221" s="942" t="s">
        <v>642</v>
      </c>
    </row>
    <row r="222" spans="1:13" s="922" customFormat="1" ht="24" customHeight="1">
      <c r="A222" s="935" t="s">
        <v>1273</v>
      </c>
      <c r="B222" s="2446" t="s">
        <v>213</v>
      </c>
      <c r="C222" s="2447"/>
      <c r="D222" s="404"/>
      <c r="E222" s="936"/>
      <c r="F222" s="414"/>
      <c r="G222" s="414"/>
      <c r="H222" s="414"/>
      <c r="I222" s="414"/>
      <c r="J222" s="414"/>
      <c r="K222" s="414"/>
      <c r="L222" s="932"/>
      <c r="M222" s="942"/>
    </row>
    <row r="223" spans="1:13" s="952" customFormat="1" ht="48">
      <c r="A223" s="946"/>
      <c r="B223" s="947" t="s">
        <v>139</v>
      </c>
      <c r="C223" s="948" t="s">
        <v>1839</v>
      </c>
      <c r="D223" s="670">
        <v>1</v>
      </c>
      <c r="E223" s="945" t="s">
        <v>105</v>
      </c>
      <c r="F223" s="949">
        <f>ROUND(SUM(H214:H221)*0.4,2)</f>
        <v>301204.8</v>
      </c>
      <c r="G223" s="949">
        <f>ROUND(F223*0.3,0)</f>
        <v>90361</v>
      </c>
      <c r="H223" s="949">
        <f>D223*F223</f>
        <v>301204.8</v>
      </c>
      <c r="I223" s="949">
        <f>D223*G223</f>
        <v>90361</v>
      </c>
      <c r="J223" s="949">
        <f>H223+I223</f>
        <v>391565.8</v>
      </c>
      <c r="K223" s="949"/>
      <c r="L223" s="950"/>
      <c r="M223" s="977" t="s">
        <v>282</v>
      </c>
    </row>
    <row r="224" spans="1:13" s="952" customFormat="1">
      <c r="A224" s="1641"/>
      <c r="B224" s="1641"/>
      <c r="C224" s="1641"/>
      <c r="D224" s="1009"/>
      <c r="E224" s="1010"/>
      <c r="F224" s="1010"/>
      <c r="G224" s="1010"/>
      <c r="H224" s="1010"/>
      <c r="I224" s="1010"/>
      <c r="J224" s="1010"/>
      <c r="K224" s="1010"/>
      <c r="L224" s="950"/>
      <c r="M224" s="977"/>
    </row>
    <row r="225" spans="1:13" s="952" customFormat="1">
      <c r="A225" s="1013"/>
      <c r="B225" s="869"/>
      <c r="C225" s="1013" t="s">
        <v>133</v>
      </c>
      <c r="D225" s="418"/>
      <c r="E225" s="1014"/>
      <c r="F225" s="1014"/>
      <c r="G225" s="868"/>
      <c r="H225" s="868"/>
      <c r="I225" s="866"/>
      <c r="J225" s="866"/>
      <c r="K225" s="866"/>
      <c r="L225" s="950"/>
      <c r="M225" s="977"/>
    </row>
    <row r="226" spans="1:13" s="952" customFormat="1">
      <c r="A226" s="1642"/>
      <c r="B226" s="2407" t="s">
        <v>1769</v>
      </c>
      <c r="C226" s="2407"/>
      <c r="D226" s="1017"/>
      <c r="E226" s="1017"/>
      <c r="F226" s="1017"/>
      <c r="G226" s="1017" t="s">
        <v>134</v>
      </c>
      <c r="H226" s="1017"/>
      <c r="I226" s="1017"/>
      <c r="J226" s="1017"/>
      <c r="K226" s="1017"/>
      <c r="L226" s="950"/>
      <c r="M226" s="977"/>
    </row>
    <row r="227" spans="1:13" s="952" customFormat="1">
      <c r="A227" s="1643"/>
      <c r="B227" s="2408" t="s">
        <v>1970</v>
      </c>
      <c r="C227" s="2408"/>
      <c r="D227" s="419"/>
      <c r="E227" s="419"/>
      <c r="F227" s="419"/>
      <c r="G227" s="1019" t="s">
        <v>1971</v>
      </c>
      <c r="H227" s="419"/>
      <c r="I227" s="419"/>
      <c r="J227" s="419"/>
      <c r="K227" s="419"/>
      <c r="L227" s="950"/>
      <c r="M227" s="977"/>
    </row>
    <row r="228" spans="1:13" s="952" customFormat="1">
      <c r="A228" s="866"/>
      <c r="B228" s="1017" t="s">
        <v>2031</v>
      </c>
      <c r="C228" s="866"/>
      <c r="D228" s="419"/>
      <c r="E228" s="419"/>
      <c r="F228" s="419"/>
      <c r="G228" s="1017" t="s">
        <v>2031</v>
      </c>
      <c r="H228" s="419"/>
      <c r="I228" s="419"/>
      <c r="J228" s="419"/>
      <c r="K228" s="419"/>
      <c r="L228" s="950"/>
      <c r="M228" s="977"/>
    </row>
    <row r="229" spans="1:13" s="952" customFormat="1">
      <c r="A229" s="1017"/>
      <c r="B229" s="419" t="s">
        <v>1984</v>
      </c>
      <c r="C229" s="866"/>
      <c r="D229" s="1017"/>
      <c r="E229" s="1017"/>
      <c r="F229" s="1017"/>
      <c r="G229" s="419" t="s">
        <v>1985</v>
      </c>
      <c r="H229" s="1017"/>
      <c r="I229" s="1017"/>
      <c r="J229" s="1017"/>
      <c r="K229" s="1017"/>
      <c r="L229" s="950"/>
      <c r="M229" s="977"/>
    </row>
    <row r="230" spans="1:13" s="952" customFormat="1">
      <c r="A230" s="869"/>
      <c r="B230" s="1017" t="s">
        <v>670</v>
      </c>
      <c r="C230" s="407"/>
      <c r="D230" s="1021"/>
      <c r="E230" s="869"/>
      <c r="F230" s="401"/>
      <c r="G230" s="401"/>
      <c r="H230" s="401"/>
      <c r="I230" s="401"/>
      <c r="J230" s="401"/>
      <c r="K230" s="866"/>
      <c r="L230" s="950"/>
      <c r="M230" s="977"/>
    </row>
    <row r="231" spans="1:13" s="952" customFormat="1">
      <c r="A231" s="1022"/>
      <c r="B231" s="419" t="s">
        <v>1972</v>
      </c>
      <c r="C231" s="407"/>
      <c r="D231" s="1023"/>
      <c r="E231" s="1022"/>
      <c r="F231" s="1024"/>
      <c r="G231" s="1024"/>
      <c r="H231" s="1024"/>
      <c r="I231" s="1024"/>
      <c r="J231" s="1024"/>
      <c r="K231" s="1015"/>
      <c r="L231" s="950"/>
      <c r="M231" s="977"/>
    </row>
    <row r="232" spans="1:13" s="952" customFormat="1" ht="48">
      <c r="A232" s="946"/>
      <c r="B232" s="947" t="s">
        <v>139</v>
      </c>
      <c r="C232" s="948" t="s">
        <v>1851</v>
      </c>
      <c r="D232" s="670">
        <v>1</v>
      </c>
      <c r="E232" s="945" t="s">
        <v>105</v>
      </c>
      <c r="F232" s="949">
        <f>ROUND(SUM(H214:H221)*0.2,2)</f>
        <v>150602.4</v>
      </c>
      <c r="G232" s="949">
        <f>ROUND(F232*0.3,0)</f>
        <v>45181</v>
      </c>
      <c r="H232" s="949">
        <f>D232*F232</f>
        <v>150602.4</v>
      </c>
      <c r="I232" s="949">
        <f>D232*G232</f>
        <v>45181</v>
      </c>
      <c r="J232" s="949">
        <f>H232+I232</f>
        <v>195783.4</v>
      </c>
      <c r="K232" s="949"/>
      <c r="L232" s="950"/>
      <c r="M232" s="977" t="s">
        <v>282</v>
      </c>
    </row>
    <row r="233" spans="1:13" s="952" customFormat="1" ht="48">
      <c r="A233" s="946"/>
      <c r="B233" s="947" t="s">
        <v>139</v>
      </c>
      <c r="C233" s="948" t="s">
        <v>170</v>
      </c>
      <c r="D233" s="670">
        <v>1</v>
      </c>
      <c r="E233" s="945" t="s">
        <v>105</v>
      </c>
      <c r="F233" s="949">
        <f>ROUND(SUM(H214:H221)*0.05,2)</f>
        <v>37650.6</v>
      </c>
      <c r="G233" s="949">
        <f>ROUND(F233*0.3,0)</f>
        <v>11295</v>
      </c>
      <c r="H233" s="949">
        <f>D233*F233</f>
        <v>37650.6</v>
      </c>
      <c r="I233" s="949">
        <f>D233*G233</f>
        <v>11295</v>
      </c>
      <c r="J233" s="949">
        <f>H233+I233</f>
        <v>48945.599999999999</v>
      </c>
      <c r="K233" s="949"/>
      <c r="L233" s="950"/>
      <c r="M233" s="977" t="s">
        <v>282</v>
      </c>
    </row>
    <row r="234" spans="1:13" s="922" customFormat="1" ht="24" customHeight="1">
      <c r="A234" s="959"/>
      <c r="B234" s="894"/>
      <c r="C234" s="960"/>
      <c r="D234" s="412"/>
      <c r="E234" s="961"/>
      <c r="F234" s="415"/>
      <c r="G234" s="415"/>
      <c r="H234" s="415"/>
      <c r="I234" s="415"/>
      <c r="J234" s="415"/>
      <c r="K234" s="415"/>
      <c r="L234" s="932"/>
      <c r="M234" s="942"/>
    </row>
    <row r="235" spans="1:13" s="968" customFormat="1" ht="24" customHeight="1" thickBot="1">
      <c r="A235" s="962"/>
      <c r="B235" s="963"/>
      <c r="C235" s="964" t="str">
        <f>"รวมราคา "&amp;B212</f>
        <v>รวมราคา งานท่อน้ำระบบป้องกันอัคคีภัย</v>
      </c>
      <c r="D235" s="965"/>
      <c r="E235" s="966"/>
      <c r="F235" s="966"/>
      <c r="G235" s="966"/>
      <c r="H235" s="966">
        <f>SUM(H213:H234)</f>
        <v>1242469.8</v>
      </c>
      <c r="I235" s="966">
        <f>SUM(I213:I234)</f>
        <v>501017</v>
      </c>
      <c r="J235" s="966">
        <f>SUM(J213:J234)</f>
        <v>1743486.8</v>
      </c>
      <c r="K235" s="966"/>
      <c r="L235" s="967"/>
    </row>
    <row r="236" spans="1:13" s="968" customFormat="1" ht="24" customHeight="1" thickTop="1">
      <c r="A236" s="984">
        <v>3.6</v>
      </c>
      <c r="B236" s="2453" t="s">
        <v>1274</v>
      </c>
      <c r="C236" s="2454"/>
      <c r="D236" s="985"/>
      <c r="E236" s="986"/>
      <c r="F236" s="987"/>
      <c r="G236" s="988"/>
      <c r="H236" s="989"/>
      <c r="I236" s="988"/>
      <c r="J236" s="988"/>
      <c r="K236" s="990"/>
      <c r="L236" s="976"/>
      <c r="M236" s="997"/>
    </row>
    <row r="237" spans="1:13" s="922" customFormat="1" ht="24" customHeight="1">
      <c r="A237" s="934" t="s">
        <v>234</v>
      </c>
      <c r="B237" s="2460" t="s">
        <v>10</v>
      </c>
      <c r="C237" s="2461"/>
      <c r="D237" s="406"/>
      <c r="E237" s="934"/>
      <c r="F237" s="449"/>
      <c r="G237" s="449"/>
      <c r="H237" s="449"/>
      <c r="I237" s="449"/>
      <c r="J237" s="449"/>
      <c r="K237" s="449"/>
      <c r="L237" s="932"/>
      <c r="M237" s="942"/>
    </row>
    <row r="238" spans="1:13" s="922" customFormat="1" ht="24" customHeight="1">
      <c r="A238" s="936"/>
      <c r="B238" s="957"/>
      <c r="C238" s="958" t="s">
        <v>13</v>
      </c>
      <c r="D238" s="404">
        <v>4</v>
      </c>
      <c r="E238" s="936" t="s">
        <v>5</v>
      </c>
      <c r="F238" s="414">
        <v>23520</v>
      </c>
      <c r="G238" s="414">
        <v>1200</v>
      </c>
      <c r="H238" s="414">
        <f>D238*F238</f>
        <v>94080</v>
      </c>
      <c r="I238" s="414">
        <f>D238*G238</f>
        <v>4800</v>
      </c>
      <c r="J238" s="414">
        <f>H238+I238</f>
        <v>98880</v>
      </c>
      <c r="K238" s="414"/>
      <c r="L238" s="932"/>
      <c r="M238" s="407" t="s">
        <v>1816</v>
      </c>
    </row>
    <row r="239" spans="1:13" s="922" customFormat="1" ht="24" customHeight="1">
      <c r="A239" s="936"/>
      <c r="B239" s="957"/>
      <c r="C239" s="956" t="s">
        <v>190</v>
      </c>
      <c r="D239" s="404">
        <v>9</v>
      </c>
      <c r="E239" s="936" t="s">
        <v>5</v>
      </c>
      <c r="F239" s="414">
        <v>4560</v>
      </c>
      <c r="G239" s="414">
        <v>500</v>
      </c>
      <c r="H239" s="414">
        <f>D239*F239</f>
        <v>41040</v>
      </c>
      <c r="I239" s="414">
        <f>D239*G239</f>
        <v>4500</v>
      </c>
      <c r="J239" s="414">
        <f>H239+I239</f>
        <v>45540</v>
      </c>
      <c r="K239" s="414"/>
      <c r="L239" s="932"/>
      <c r="M239" s="407" t="s">
        <v>1816</v>
      </c>
    </row>
    <row r="240" spans="1:13" s="922" customFormat="1" ht="24" customHeight="1">
      <c r="A240" s="936"/>
      <c r="B240" s="957"/>
      <c r="C240" s="958" t="s">
        <v>191</v>
      </c>
      <c r="D240" s="404">
        <v>9</v>
      </c>
      <c r="E240" s="936" t="s">
        <v>5</v>
      </c>
      <c r="F240" s="414">
        <v>2160</v>
      </c>
      <c r="G240" s="414">
        <v>300</v>
      </c>
      <c r="H240" s="414">
        <f>D240*F240</f>
        <v>19440</v>
      </c>
      <c r="I240" s="414">
        <f>D240*G240</f>
        <v>2700</v>
      </c>
      <c r="J240" s="414">
        <f>H240+I240</f>
        <v>22140</v>
      </c>
      <c r="K240" s="414"/>
      <c r="L240" s="932"/>
      <c r="M240" s="407" t="s">
        <v>1816</v>
      </c>
    </row>
    <row r="241" spans="1:13" s="922" customFormat="1" ht="24" customHeight="1">
      <c r="A241" s="936" t="s">
        <v>235</v>
      </c>
      <c r="B241" s="2411" t="s">
        <v>12</v>
      </c>
      <c r="C241" s="2412"/>
      <c r="D241" s="404"/>
      <c r="E241" s="936"/>
      <c r="F241" s="414"/>
      <c r="G241" s="414"/>
      <c r="H241" s="414"/>
      <c r="I241" s="414"/>
      <c r="J241" s="414"/>
      <c r="K241" s="414"/>
      <c r="L241" s="932"/>
      <c r="M241" s="942"/>
    </row>
    <row r="242" spans="1:13" s="922" customFormat="1" ht="24" customHeight="1">
      <c r="A242" s="936"/>
      <c r="B242" s="957"/>
      <c r="C242" s="956" t="s">
        <v>13</v>
      </c>
      <c r="D242" s="404">
        <v>2</v>
      </c>
      <c r="E242" s="936" t="s">
        <v>5</v>
      </c>
      <c r="F242" s="414">
        <v>33600</v>
      </c>
      <c r="G242" s="414">
        <v>1200</v>
      </c>
      <c r="H242" s="414">
        <f>D242*F242</f>
        <v>67200</v>
      </c>
      <c r="I242" s="414">
        <f>D242*G242</f>
        <v>2400</v>
      </c>
      <c r="J242" s="414">
        <f>H242+I242</f>
        <v>69600</v>
      </c>
      <c r="K242" s="414"/>
      <c r="L242" s="932"/>
      <c r="M242" s="407" t="s">
        <v>1816</v>
      </c>
    </row>
    <row r="243" spans="1:13" s="922" customFormat="1" ht="24" customHeight="1">
      <c r="A243" s="936" t="s">
        <v>236</v>
      </c>
      <c r="B243" s="2411" t="s">
        <v>14</v>
      </c>
      <c r="C243" s="2412"/>
      <c r="D243" s="404"/>
      <c r="E243" s="936"/>
      <c r="F243" s="414"/>
      <c r="G243" s="414"/>
      <c r="H243" s="414"/>
      <c r="I243" s="414"/>
      <c r="J243" s="414"/>
      <c r="K243" s="414"/>
      <c r="L243" s="932"/>
      <c r="M243" s="942"/>
    </row>
    <row r="244" spans="1:13" s="922" customFormat="1" ht="24" customHeight="1">
      <c r="A244" s="936"/>
      <c r="B244" s="957"/>
      <c r="C244" s="956" t="s">
        <v>15</v>
      </c>
      <c r="D244" s="404">
        <v>2</v>
      </c>
      <c r="E244" s="936" t="s">
        <v>5</v>
      </c>
      <c r="F244" s="414">
        <v>2700</v>
      </c>
      <c r="G244" s="414">
        <v>400</v>
      </c>
      <c r="H244" s="414">
        <f>D244*F244</f>
        <v>5400</v>
      </c>
      <c r="I244" s="414">
        <f>D244*G244</f>
        <v>800</v>
      </c>
      <c r="J244" s="414">
        <f>H244+I244</f>
        <v>6200</v>
      </c>
      <c r="K244" s="414"/>
      <c r="L244" s="932"/>
      <c r="M244" s="407" t="s">
        <v>1816</v>
      </c>
    </row>
    <row r="245" spans="1:13" s="922" customFormat="1" ht="24" customHeight="1">
      <c r="A245" s="936"/>
      <c r="B245" s="957"/>
      <c r="C245" s="956" t="s">
        <v>17</v>
      </c>
      <c r="D245" s="404">
        <v>20</v>
      </c>
      <c r="E245" s="936" t="s">
        <v>5</v>
      </c>
      <c r="F245" s="414">
        <v>700</v>
      </c>
      <c r="G245" s="414">
        <v>150</v>
      </c>
      <c r="H245" s="414">
        <f>D245*F245</f>
        <v>14000</v>
      </c>
      <c r="I245" s="414">
        <f>D245*G245</f>
        <v>3000</v>
      </c>
      <c r="J245" s="414">
        <f>H245+I245</f>
        <v>17000</v>
      </c>
      <c r="K245" s="414"/>
      <c r="L245" s="932"/>
      <c r="M245" s="407" t="s">
        <v>1816</v>
      </c>
    </row>
    <row r="246" spans="1:13" s="922" customFormat="1" ht="24" customHeight="1">
      <c r="A246" s="934" t="s">
        <v>237</v>
      </c>
      <c r="B246" s="2462" t="s">
        <v>114</v>
      </c>
      <c r="C246" s="2463"/>
      <c r="D246" s="406"/>
      <c r="E246" s="934"/>
      <c r="F246" s="449"/>
      <c r="G246" s="449"/>
      <c r="H246" s="449"/>
      <c r="I246" s="449"/>
      <c r="J246" s="449"/>
      <c r="K246" s="449"/>
      <c r="L246" s="932"/>
      <c r="M246" s="942"/>
    </row>
    <row r="247" spans="1:13" s="922" customFormat="1" ht="24" customHeight="1">
      <c r="A247" s="936"/>
      <c r="B247" s="957"/>
      <c r="C247" s="956" t="s">
        <v>13</v>
      </c>
      <c r="D247" s="404">
        <v>2</v>
      </c>
      <c r="E247" s="936" t="s">
        <v>5</v>
      </c>
      <c r="F247" s="414">
        <v>12000</v>
      </c>
      <c r="G247" s="414">
        <v>1200</v>
      </c>
      <c r="H247" s="414">
        <f>D247*F247</f>
        <v>24000</v>
      </c>
      <c r="I247" s="414">
        <f>D247*G247</f>
        <v>2400</v>
      </c>
      <c r="J247" s="414">
        <f>H247+I247</f>
        <v>26400</v>
      </c>
      <c r="K247" s="414"/>
      <c r="L247" s="932"/>
      <c r="M247" s="407" t="s">
        <v>1816</v>
      </c>
    </row>
    <row r="248" spans="1:13" s="922" customFormat="1" ht="24" customHeight="1">
      <c r="A248" s="936" t="s">
        <v>238</v>
      </c>
      <c r="B248" s="2411" t="s">
        <v>16</v>
      </c>
      <c r="C248" s="2412"/>
      <c r="D248" s="404"/>
      <c r="E248" s="936"/>
      <c r="F248" s="414"/>
      <c r="G248" s="414"/>
      <c r="H248" s="414"/>
      <c r="I248" s="414"/>
      <c r="J248" s="414"/>
      <c r="K248" s="414"/>
      <c r="L248" s="932"/>
      <c r="M248" s="942"/>
    </row>
    <row r="249" spans="1:13" s="922" customFormat="1" ht="24" customHeight="1">
      <c r="A249" s="936"/>
      <c r="B249" s="957"/>
      <c r="C249" s="956" t="s">
        <v>17</v>
      </c>
      <c r="D249" s="404">
        <v>20</v>
      </c>
      <c r="E249" s="936" t="s">
        <v>5</v>
      </c>
      <c r="F249" s="414">
        <v>600</v>
      </c>
      <c r="G249" s="414">
        <v>200</v>
      </c>
      <c r="H249" s="414">
        <f>D249*F249</f>
        <v>12000</v>
      </c>
      <c r="I249" s="414">
        <f>D249*G249</f>
        <v>4000</v>
      </c>
      <c r="J249" s="414">
        <f>H249+I249</f>
        <v>16000</v>
      </c>
      <c r="K249" s="414"/>
      <c r="L249" s="932"/>
      <c r="M249" s="407" t="s">
        <v>1816</v>
      </c>
    </row>
    <row r="250" spans="1:13" s="922" customFormat="1" ht="24" customHeight="1">
      <c r="A250" s="1641"/>
      <c r="B250" s="1641"/>
      <c r="C250" s="1641"/>
      <c r="D250" s="1009"/>
      <c r="E250" s="1010"/>
      <c r="F250" s="1010"/>
      <c r="G250" s="1010"/>
      <c r="H250" s="1010"/>
      <c r="I250" s="1010"/>
      <c r="J250" s="1010"/>
      <c r="K250" s="1010"/>
      <c r="L250" s="932"/>
      <c r="M250" s="407"/>
    </row>
    <row r="251" spans="1:13" s="922" customFormat="1" ht="24" customHeight="1">
      <c r="A251" s="1013"/>
      <c r="B251" s="869"/>
      <c r="C251" s="1013" t="s">
        <v>133</v>
      </c>
      <c r="D251" s="418"/>
      <c r="E251" s="1014"/>
      <c r="F251" s="1014"/>
      <c r="G251" s="868"/>
      <c r="H251" s="868"/>
      <c r="I251" s="866"/>
      <c r="J251" s="866"/>
      <c r="K251" s="866"/>
      <c r="L251" s="932"/>
      <c r="M251" s="407"/>
    </row>
    <row r="252" spans="1:13" s="922" customFormat="1" ht="24" customHeight="1">
      <c r="A252" s="1642"/>
      <c r="B252" s="2407" t="s">
        <v>1769</v>
      </c>
      <c r="C252" s="2407"/>
      <c r="D252" s="1017"/>
      <c r="E252" s="1017"/>
      <c r="F252" s="1017"/>
      <c r="G252" s="1017" t="s">
        <v>134</v>
      </c>
      <c r="H252" s="1017"/>
      <c r="I252" s="1017"/>
      <c r="J252" s="1017"/>
      <c r="K252" s="1017"/>
      <c r="L252" s="932"/>
      <c r="M252" s="407"/>
    </row>
    <row r="253" spans="1:13" s="922" customFormat="1" ht="24" customHeight="1">
      <c r="A253" s="1643"/>
      <c r="B253" s="2408" t="s">
        <v>1970</v>
      </c>
      <c r="C253" s="2408"/>
      <c r="D253" s="419"/>
      <c r="E253" s="419"/>
      <c r="F253" s="419"/>
      <c r="G253" s="1019" t="s">
        <v>1971</v>
      </c>
      <c r="H253" s="419"/>
      <c r="I253" s="419"/>
      <c r="J253" s="419"/>
      <c r="K253" s="419"/>
      <c r="L253" s="932"/>
      <c r="M253" s="407"/>
    </row>
    <row r="254" spans="1:13" s="922" customFormat="1" ht="24" customHeight="1">
      <c r="A254" s="866"/>
      <c r="B254" s="1017" t="s">
        <v>2031</v>
      </c>
      <c r="C254" s="866"/>
      <c r="D254" s="419"/>
      <c r="E254" s="419"/>
      <c r="F254" s="419"/>
      <c r="G254" s="1017" t="s">
        <v>2031</v>
      </c>
      <c r="H254" s="419"/>
      <c r="I254" s="419"/>
      <c r="J254" s="419"/>
      <c r="K254" s="419"/>
      <c r="L254" s="932"/>
      <c r="M254" s="407"/>
    </row>
    <row r="255" spans="1:13" s="922" customFormat="1" ht="24" customHeight="1">
      <c r="A255" s="1017"/>
      <c r="B255" s="419" t="s">
        <v>1984</v>
      </c>
      <c r="C255" s="866"/>
      <c r="D255" s="1017"/>
      <c r="E255" s="1017"/>
      <c r="F255" s="1017"/>
      <c r="G255" s="419" t="s">
        <v>1985</v>
      </c>
      <c r="H255" s="1017"/>
      <c r="I255" s="1017"/>
      <c r="J255" s="1017"/>
      <c r="K255" s="1017"/>
      <c r="L255" s="932"/>
      <c r="M255" s="407"/>
    </row>
    <row r="256" spans="1:13" s="922" customFormat="1" ht="24" customHeight="1">
      <c r="A256" s="869"/>
      <c r="B256" s="1017" t="s">
        <v>670</v>
      </c>
      <c r="C256" s="407"/>
      <c r="D256" s="1021"/>
      <c r="E256" s="869"/>
      <c r="F256" s="401"/>
      <c r="G256" s="401"/>
      <c r="H256" s="401"/>
      <c r="I256" s="401"/>
      <c r="J256" s="401"/>
      <c r="K256" s="866"/>
      <c r="L256" s="932"/>
      <c r="M256" s="407"/>
    </row>
    <row r="257" spans="1:13" s="922" customFormat="1" ht="24" customHeight="1">
      <c r="A257" s="1022"/>
      <c r="B257" s="419" t="s">
        <v>1972</v>
      </c>
      <c r="C257" s="407"/>
      <c r="D257" s="1023"/>
      <c r="E257" s="1022"/>
      <c r="F257" s="1024"/>
      <c r="G257" s="1024"/>
      <c r="H257" s="1024"/>
      <c r="I257" s="1024"/>
      <c r="J257" s="1024"/>
      <c r="K257" s="1015"/>
      <c r="L257" s="932"/>
      <c r="M257" s="407"/>
    </row>
    <row r="258" spans="1:13" s="922" customFormat="1" ht="24" customHeight="1">
      <c r="A258" s="936" t="s">
        <v>239</v>
      </c>
      <c r="B258" s="2411" t="s">
        <v>18</v>
      </c>
      <c r="C258" s="2412"/>
      <c r="D258" s="404"/>
      <c r="E258" s="936"/>
      <c r="F258" s="414"/>
      <c r="G258" s="414"/>
      <c r="H258" s="414"/>
      <c r="I258" s="414"/>
      <c r="J258" s="414"/>
      <c r="K258" s="414"/>
      <c r="L258" s="932"/>
      <c r="M258" s="942"/>
    </row>
    <row r="259" spans="1:13" s="922" customFormat="1" ht="24" customHeight="1">
      <c r="A259" s="936"/>
      <c r="B259" s="957"/>
      <c r="C259" s="956" t="s">
        <v>13</v>
      </c>
      <c r="D259" s="404">
        <v>4</v>
      </c>
      <c r="E259" s="936" t="s">
        <v>5</v>
      </c>
      <c r="F259" s="414">
        <v>20640</v>
      </c>
      <c r="G259" s="414">
        <v>1200</v>
      </c>
      <c r="H259" s="414">
        <f>D259*F259</f>
        <v>82560</v>
      </c>
      <c r="I259" s="414">
        <f>D259*G259</f>
        <v>4800</v>
      </c>
      <c r="J259" s="414">
        <f>H259+I259</f>
        <v>87360</v>
      </c>
      <c r="K259" s="414"/>
      <c r="L259" s="932"/>
      <c r="M259" s="407" t="s">
        <v>1816</v>
      </c>
    </row>
    <row r="260" spans="1:13" s="922" customFormat="1" ht="24" customHeight="1">
      <c r="A260" s="936" t="s">
        <v>240</v>
      </c>
      <c r="B260" s="2411" t="s">
        <v>19</v>
      </c>
      <c r="C260" s="2412"/>
      <c r="D260" s="404"/>
      <c r="E260" s="936"/>
      <c r="F260" s="414"/>
      <c r="G260" s="414"/>
      <c r="H260" s="414"/>
      <c r="I260" s="414"/>
      <c r="J260" s="414"/>
      <c r="K260" s="414"/>
      <c r="L260" s="932"/>
      <c r="M260" s="942"/>
    </row>
    <row r="261" spans="1:13" s="922" customFormat="1" ht="24" customHeight="1">
      <c r="A261" s="936"/>
      <c r="B261" s="957"/>
      <c r="C261" s="956" t="s">
        <v>11</v>
      </c>
      <c r="D261" s="404">
        <v>9</v>
      </c>
      <c r="E261" s="936" t="s">
        <v>5</v>
      </c>
      <c r="F261" s="414">
        <v>14640</v>
      </c>
      <c r="G261" s="414">
        <v>800</v>
      </c>
      <c r="H261" s="414">
        <f>D261*F261</f>
        <v>131760</v>
      </c>
      <c r="I261" s="414">
        <f>D261*G261</f>
        <v>7200</v>
      </c>
      <c r="J261" s="414">
        <f>H261+I261</f>
        <v>138960</v>
      </c>
      <c r="K261" s="414"/>
      <c r="L261" s="932"/>
      <c r="M261" s="407" t="s">
        <v>1816</v>
      </c>
    </row>
    <row r="262" spans="1:13" s="922" customFormat="1" ht="24" customHeight="1">
      <c r="A262" s="936" t="s">
        <v>241</v>
      </c>
      <c r="B262" s="2411" t="s">
        <v>20</v>
      </c>
      <c r="C262" s="2412"/>
      <c r="D262" s="404"/>
      <c r="E262" s="936"/>
      <c r="F262" s="414"/>
      <c r="G262" s="414"/>
      <c r="H262" s="414"/>
      <c r="I262" s="414"/>
      <c r="J262" s="414"/>
      <c r="K262" s="414"/>
      <c r="L262" s="932"/>
      <c r="M262" s="942"/>
    </row>
    <row r="263" spans="1:13" s="922" customFormat="1" ht="24" customHeight="1">
      <c r="A263" s="936"/>
      <c r="B263" s="957"/>
      <c r="C263" s="958" t="s">
        <v>486</v>
      </c>
      <c r="D263" s="404">
        <v>3</v>
      </c>
      <c r="E263" s="936" t="s">
        <v>5</v>
      </c>
      <c r="F263" s="414">
        <v>4800</v>
      </c>
      <c r="G263" s="414">
        <v>150</v>
      </c>
      <c r="H263" s="414">
        <f>D263*F263</f>
        <v>14400</v>
      </c>
      <c r="I263" s="414">
        <f>D263*G263</f>
        <v>450</v>
      </c>
      <c r="J263" s="414">
        <f>H263+I263</f>
        <v>14850</v>
      </c>
      <c r="K263" s="414"/>
      <c r="L263" s="932"/>
      <c r="M263" s="407" t="s">
        <v>1816</v>
      </c>
    </row>
    <row r="264" spans="1:13" s="922" customFormat="1" ht="24" customHeight="1">
      <c r="A264" s="936"/>
      <c r="B264" s="957"/>
      <c r="C264" s="956" t="s">
        <v>487</v>
      </c>
      <c r="D264" s="404">
        <v>9</v>
      </c>
      <c r="E264" s="936" t="s">
        <v>5</v>
      </c>
      <c r="F264" s="414">
        <v>1200</v>
      </c>
      <c r="G264" s="414">
        <v>250</v>
      </c>
      <c r="H264" s="414">
        <f>D264*F264</f>
        <v>10800</v>
      </c>
      <c r="I264" s="414">
        <f>D264*G264</f>
        <v>2250</v>
      </c>
      <c r="J264" s="414">
        <f>H264+I264</f>
        <v>13050</v>
      </c>
      <c r="K264" s="414"/>
      <c r="L264" s="932"/>
      <c r="M264" s="407" t="s">
        <v>1816</v>
      </c>
    </row>
    <row r="265" spans="1:13" s="922" customFormat="1" ht="24" customHeight="1">
      <c r="A265" s="936"/>
      <c r="B265" s="957"/>
      <c r="C265" s="956" t="s">
        <v>488</v>
      </c>
      <c r="D265" s="404">
        <v>9</v>
      </c>
      <c r="E265" s="936" t="s">
        <v>5</v>
      </c>
      <c r="F265" s="414">
        <v>1320</v>
      </c>
      <c r="G265" s="414">
        <v>250</v>
      </c>
      <c r="H265" s="414">
        <f>D265*F265</f>
        <v>11880</v>
      </c>
      <c r="I265" s="414">
        <f>D265*G265</f>
        <v>2250</v>
      </c>
      <c r="J265" s="414">
        <f>H265+I265</f>
        <v>14130</v>
      </c>
      <c r="K265" s="414"/>
      <c r="L265" s="932"/>
      <c r="M265" s="407" t="s">
        <v>1816</v>
      </c>
    </row>
    <row r="266" spans="1:13" s="922" customFormat="1" ht="24" customHeight="1">
      <c r="A266" s="936" t="s">
        <v>263</v>
      </c>
      <c r="B266" s="955" t="s">
        <v>21</v>
      </c>
      <c r="C266" s="956"/>
      <c r="D266" s="404"/>
      <c r="E266" s="936"/>
      <c r="F266" s="414"/>
      <c r="G266" s="414"/>
      <c r="H266" s="414"/>
      <c r="I266" s="414"/>
      <c r="J266" s="414"/>
      <c r="K266" s="414"/>
      <c r="L266" s="932"/>
      <c r="M266" s="407"/>
    </row>
    <row r="267" spans="1:13" s="922" customFormat="1" ht="24" customHeight="1">
      <c r="A267" s="936"/>
      <c r="B267" s="957"/>
      <c r="C267" s="956" t="s">
        <v>15</v>
      </c>
      <c r="D267" s="404">
        <v>2</v>
      </c>
      <c r="E267" s="936" t="s">
        <v>5</v>
      </c>
      <c r="F267" s="414">
        <v>4200</v>
      </c>
      <c r="G267" s="414">
        <v>100</v>
      </c>
      <c r="H267" s="414">
        <f>D267*F267</f>
        <v>8400</v>
      </c>
      <c r="I267" s="414">
        <f>D267*G267</f>
        <v>200</v>
      </c>
      <c r="J267" s="414">
        <f>H267+I267</f>
        <v>8600</v>
      </c>
      <c r="K267" s="414"/>
      <c r="L267" s="932"/>
      <c r="M267" s="407" t="s">
        <v>1816</v>
      </c>
    </row>
    <row r="268" spans="1:13" s="922" customFormat="1" ht="24" customHeight="1">
      <c r="A268" s="936"/>
      <c r="B268" s="957"/>
      <c r="C268" s="956" t="s">
        <v>11</v>
      </c>
      <c r="D268" s="404">
        <v>2</v>
      </c>
      <c r="E268" s="936" t="s">
        <v>5</v>
      </c>
      <c r="F268" s="414">
        <v>7800</v>
      </c>
      <c r="G268" s="414">
        <v>200</v>
      </c>
      <c r="H268" s="414">
        <f>D268*F268</f>
        <v>15600</v>
      </c>
      <c r="I268" s="414">
        <f>D268*G268</f>
        <v>400</v>
      </c>
      <c r="J268" s="414">
        <f>H268+I268</f>
        <v>16000</v>
      </c>
      <c r="K268" s="414"/>
      <c r="L268" s="932"/>
      <c r="M268" s="407" t="s">
        <v>1816</v>
      </c>
    </row>
    <row r="269" spans="1:13" s="922" customFormat="1" ht="24" customHeight="1">
      <c r="A269" s="936"/>
      <c r="B269" s="957"/>
      <c r="C269" s="956" t="s">
        <v>13</v>
      </c>
      <c r="D269" s="404">
        <v>6</v>
      </c>
      <c r="E269" s="936" t="s">
        <v>5</v>
      </c>
      <c r="F269" s="414">
        <v>11400</v>
      </c>
      <c r="G269" s="414">
        <v>300</v>
      </c>
      <c r="H269" s="414">
        <f>D269*F269</f>
        <v>68400</v>
      </c>
      <c r="I269" s="414">
        <f>D269*G269</f>
        <v>1800</v>
      </c>
      <c r="J269" s="414">
        <f>H269+I269</f>
        <v>70200</v>
      </c>
      <c r="K269" s="414"/>
      <c r="L269" s="932"/>
      <c r="M269" s="407" t="s">
        <v>1816</v>
      </c>
    </row>
    <row r="270" spans="1:13" s="922" customFormat="1" ht="24" customHeight="1">
      <c r="A270" s="936" t="s">
        <v>489</v>
      </c>
      <c r="B270" s="2411" t="s">
        <v>490</v>
      </c>
      <c r="C270" s="2412"/>
      <c r="D270" s="404"/>
      <c r="E270" s="936"/>
      <c r="F270" s="414"/>
      <c r="G270" s="414"/>
      <c r="H270" s="414"/>
      <c r="I270" s="414"/>
      <c r="J270" s="414"/>
      <c r="K270" s="414"/>
      <c r="L270" s="932"/>
      <c r="M270" s="942"/>
    </row>
    <row r="271" spans="1:13" s="922" customFormat="1" ht="24" customHeight="1">
      <c r="A271" s="936"/>
      <c r="B271" s="957"/>
      <c r="C271" s="958" t="s">
        <v>491</v>
      </c>
      <c r="D271" s="404">
        <v>9</v>
      </c>
      <c r="E271" s="936" t="s">
        <v>5</v>
      </c>
      <c r="F271" s="414">
        <v>38000</v>
      </c>
      <c r="G271" s="414">
        <v>5000</v>
      </c>
      <c r="H271" s="414">
        <f>D271*F271</f>
        <v>342000</v>
      </c>
      <c r="I271" s="414">
        <f>D271*G271</f>
        <v>45000</v>
      </c>
      <c r="J271" s="414">
        <f>H271+I271</f>
        <v>387000</v>
      </c>
      <c r="K271" s="414"/>
      <c r="L271" s="932"/>
      <c r="M271" s="407" t="s">
        <v>1816</v>
      </c>
    </row>
    <row r="272" spans="1:13" s="922" customFormat="1" ht="24" customHeight="1">
      <c r="A272" s="936"/>
      <c r="B272" s="957"/>
      <c r="C272" s="958" t="s">
        <v>492</v>
      </c>
      <c r="D272" s="404">
        <v>1</v>
      </c>
      <c r="E272" s="945" t="s">
        <v>105</v>
      </c>
      <c r="F272" s="414">
        <v>50000</v>
      </c>
      <c r="G272" s="414">
        <v>25000</v>
      </c>
      <c r="H272" s="414">
        <f>D272*F272</f>
        <v>50000</v>
      </c>
      <c r="I272" s="414">
        <f>D272*G272</f>
        <v>25000</v>
      </c>
      <c r="J272" s="414">
        <f>H272+I272</f>
        <v>75000</v>
      </c>
      <c r="K272" s="414"/>
      <c r="L272" s="932"/>
      <c r="M272" s="407" t="s">
        <v>1816</v>
      </c>
    </row>
    <row r="273" spans="1:13" s="922" customFormat="1" ht="24" customHeight="1">
      <c r="A273" s="999"/>
      <c r="B273" s="1000"/>
      <c r="C273" s="1001"/>
      <c r="D273" s="416"/>
      <c r="E273" s="999"/>
      <c r="F273" s="1002"/>
      <c r="G273" s="1002"/>
      <c r="H273" s="1002"/>
      <c r="I273" s="1002"/>
      <c r="J273" s="1002"/>
      <c r="K273" s="1002"/>
      <c r="L273" s="932"/>
      <c r="M273" s="942"/>
    </row>
    <row r="274" spans="1:13" s="968" customFormat="1" ht="24" customHeight="1" thickBot="1">
      <c r="A274" s="962"/>
      <c r="B274" s="963"/>
      <c r="C274" s="964" t="str">
        <f>"รวมราคา "&amp;B236</f>
        <v>รวมราคา งานวาล์วระบบป้องกันอัคคีภัย</v>
      </c>
      <c r="D274" s="965"/>
      <c r="E274" s="966"/>
      <c r="F274" s="966"/>
      <c r="G274" s="966"/>
      <c r="H274" s="966">
        <f>SUM(H237:H273)</f>
        <v>1012960</v>
      </c>
      <c r="I274" s="966">
        <f>SUM(I237:I273)</f>
        <v>113950</v>
      </c>
      <c r="J274" s="966">
        <f>SUM(J237:J273)</f>
        <v>1126910</v>
      </c>
      <c r="K274" s="966"/>
      <c r="L274" s="967"/>
    </row>
    <row r="275" spans="1:13" s="968" customFormat="1" ht="24" customHeight="1" thickTop="1">
      <c r="A275" s="1641"/>
      <c r="B275" s="1641"/>
      <c r="C275" s="1641"/>
      <c r="D275" s="1009"/>
      <c r="E275" s="1010"/>
      <c r="F275" s="1010"/>
      <c r="G275" s="1010"/>
      <c r="H275" s="1010"/>
      <c r="I275" s="1010"/>
      <c r="J275" s="1010"/>
      <c r="K275" s="1010"/>
      <c r="L275" s="967"/>
    </row>
    <row r="276" spans="1:13" s="968" customFormat="1" ht="24" customHeight="1">
      <c r="A276" s="1013"/>
      <c r="B276" s="869"/>
      <c r="C276" s="1013" t="s">
        <v>133</v>
      </c>
      <c r="D276" s="418"/>
      <c r="E276" s="1014"/>
      <c r="F276" s="1014"/>
      <c r="G276" s="868"/>
      <c r="H276" s="868"/>
      <c r="I276" s="866"/>
      <c r="J276" s="866"/>
      <c r="K276" s="866"/>
      <c r="L276" s="967"/>
    </row>
    <row r="277" spans="1:13" s="968" customFormat="1" ht="24" customHeight="1">
      <c r="A277" s="1642"/>
      <c r="B277" s="2407" t="s">
        <v>1769</v>
      </c>
      <c r="C277" s="2407"/>
      <c r="D277" s="1017"/>
      <c r="E277" s="1017"/>
      <c r="F277" s="1017"/>
      <c r="G277" s="1017" t="s">
        <v>134</v>
      </c>
      <c r="H277" s="1017"/>
      <c r="I277" s="1017"/>
      <c r="J277" s="1017"/>
      <c r="K277" s="1017"/>
      <c r="L277" s="967"/>
    </row>
    <row r="278" spans="1:13" s="968" customFormat="1" ht="24" customHeight="1">
      <c r="A278" s="1643"/>
      <c r="B278" s="2408" t="s">
        <v>1970</v>
      </c>
      <c r="C278" s="2408"/>
      <c r="D278" s="419"/>
      <c r="E278" s="419"/>
      <c r="F278" s="419"/>
      <c r="G278" s="1019" t="s">
        <v>1971</v>
      </c>
      <c r="H278" s="419"/>
      <c r="I278" s="419"/>
      <c r="J278" s="419"/>
      <c r="K278" s="419"/>
      <c r="L278" s="967"/>
    </row>
    <row r="279" spans="1:13" s="968" customFormat="1" ht="24" customHeight="1">
      <c r="A279" s="866"/>
      <c r="B279" s="1017" t="s">
        <v>2031</v>
      </c>
      <c r="C279" s="866"/>
      <c r="D279" s="419"/>
      <c r="E279" s="419"/>
      <c r="F279" s="419"/>
      <c r="G279" s="1017" t="s">
        <v>2031</v>
      </c>
      <c r="H279" s="419"/>
      <c r="I279" s="419"/>
      <c r="J279" s="419"/>
      <c r="K279" s="419"/>
      <c r="L279" s="967"/>
    </row>
    <row r="280" spans="1:13" s="968" customFormat="1" ht="24" customHeight="1">
      <c r="A280" s="1017"/>
      <c r="B280" s="419" t="s">
        <v>1984</v>
      </c>
      <c r="C280" s="866"/>
      <c r="D280" s="1017"/>
      <c r="E280" s="1017"/>
      <c r="F280" s="1017"/>
      <c r="G280" s="419" t="s">
        <v>1985</v>
      </c>
      <c r="H280" s="1017"/>
      <c r="I280" s="1017"/>
      <c r="J280" s="1017"/>
      <c r="K280" s="1017"/>
      <c r="L280" s="967"/>
    </row>
    <row r="281" spans="1:13" s="968" customFormat="1" ht="24" customHeight="1">
      <c r="A281" s="869"/>
      <c r="B281" s="1017" t="s">
        <v>670</v>
      </c>
      <c r="C281" s="407"/>
      <c r="D281" s="1021"/>
      <c r="E281" s="869"/>
      <c r="F281" s="401"/>
      <c r="G281" s="401"/>
      <c r="H281" s="401"/>
      <c r="I281" s="401"/>
      <c r="J281" s="401"/>
      <c r="K281" s="866"/>
      <c r="L281" s="967"/>
    </row>
    <row r="282" spans="1:13" s="968" customFormat="1" ht="24" customHeight="1">
      <c r="A282" s="1022"/>
      <c r="B282" s="419" t="s">
        <v>1972</v>
      </c>
      <c r="C282" s="407"/>
      <c r="D282" s="1023"/>
      <c r="E282" s="1022"/>
      <c r="F282" s="1024"/>
      <c r="G282" s="1024"/>
      <c r="H282" s="1024"/>
      <c r="I282" s="1024"/>
      <c r="J282" s="1024"/>
      <c r="K282" s="1015"/>
      <c r="L282" s="967"/>
    </row>
    <row r="283" spans="1:13" s="968" customFormat="1" ht="24" customHeight="1">
      <c r="A283" s="984">
        <v>3.7</v>
      </c>
      <c r="B283" s="2453" t="s">
        <v>1275</v>
      </c>
      <c r="C283" s="2454"/>
      <c r="D283" s="985"/>
      <c r="E283" s="986"/>
      <c r="F283" s="987"/>
      <c r="G283" s="988"/>
      <c r="H283" s="989"/>
      <c r="I283" s="988"/>
      <c r="J283" s="988"/>
      <c r="K283" s="990"/>
      <c r="L283" s="976"/>
      <c r="M283" s="997"/>
    </row>
    <row r="284" spans="1:13" s="922" customFormat="1" ht="24" customHeight="1">
      <c r="A284" s="934" t="s">
        <v>242</v>
      </c>
      <c r="B284" s="2457" t="s">
        <v>1276</v>
      </c>
      <c r="C284" s="2458"/>
      <c r="D284" s="406"/>
      <c r="E284" s="934"/>
      <c r="F284" s="449"/>
      <c r="G284" s="449"/>
      <c r="H284" s="449"/>
      <c r="I284" s="449"/>
      <c r="J284" s="449"/>
      <c r="K284" s="449"/>
      <c r="L284" s="932"/>
      <c r="M284" s="942"/>
    </row>
    <row r="285" spans="1:13" s="922" customFormat="1" ht="24" customHeight="1">
      <c r="A285" s="936"/>
      <c r="B285" s="957"/>
      <c r="C285" s="956" t="s">
        <v>115</v>
      </c>
      <c r="D285" s="404">
        <v>472</v>
      </c>
      <c r="E285" s="936" t="s">
        <v>5</v>
      </c>
      <c r="F285" s="414">
        <v>282</v>
      </c>
      <c r="G285" s="414">
        <v>115</v>
      </c>
      <c r="H285" s="414">
        <f>D285*F285</f>
        <v>133104</v>
      </c>
      <c r="I285" s="414">
        <f>D285*G285</f>
        <v>54280</v>
      </c>
      <c r="J285" s="414">
        <f>H285+I285</f>
        <v>187384</v>
      </c>
      <c r="K285" s="414"/>
      <c r="L285" s="932"/>
      <c r="M285" s="407" t="s">
        <v>1816</v>
      </c>
    </row>
    <row r="286" spans="1:13" s="922" customFormat="1" ht="24" customHeight="1">
      <c r="A286" s="936"/>
      <c r="B286" s="957"/>
      <c r="C286" s="956" t="s">
        <v>493</v>
      </c>
      <c r="D286" s="404">
        <v>19</v>
      </c>
      <c r="E286" s="936" t="s">
        <v>5</v>
      </c>
      <c r="F286" s="414">
        <v>240</v>
      </c>
      <c r="G286" s="414">
        <v>115</v>
      </c>
      <c r="H286" s="414">
        <f>D286*F286</f>
        <v>4560</v>
      </c>
      <c r="I286" s="414">
        <f>D286*G286</f>
        <v>2185</v>
      </c>
      <c r="J286" s="414">
        <f>H286+I286</f>
        <v>6745</v>
      </c>
      <c r="K286" s="414"/>
      <c r="L286" s="932"/>
      <c r="M286" s="407" t="s">
        <v>1816</v>
      </c>
    </row>
    <row r="287" spans="1:13" s="922" customFormat="1" ht="24" customHeight="1">
      <c r="A287" s="935" t="s">
        <v>243</v>
      </c>
      <c r="B287" s="2446" t="s">
        <v>1277</v>
      </c>
      <c r="C287" s="2447"/>
      <c r="D287" s="404"/>
      <c r="E287" s="936"/>
      <c r="F287" s="414"/>
      <c r="G287" s="414"/>
      <c r="H287" s="414"/>
      <c r="I287" s="414"/>
      <c r="J287" s="414"/>
      <c r="K287" s="414"/>
      <c r="L287" s="932"/>
      <c r="M287" s="942"/>
    </row>
    <row r="288" spans="1:13" s="922" customFormat="1" ht="24" customHeight="1">
      <c r="A288" s="936"/>
      <c r="B288" s="957"/>
      <c r="C288" s="956" t="s">
        <v>1278</v>
      </c>
      <c r="D288" s="404">
        <v>20</v>
      </c>
      <c r="E288" s="936" t="s">
        <v>5</v>
      </c>
      <c r="F288" s="414">
        <v>28464</v>
      </c>
      <c r="G288" s="414">
        <v>3500</v>
      </c>
      <c r="H288" s="414">
        <f>D288*F288</f>
        <v>569280</v>
      </c>
      <c r="I288" s="414">
        <f>D288*G288</f>
        <v>70000</v>
      </c>
      <c r="J288" s="414">
        <f>H288+I288</f>
        <v>639280</v>
      </c>
      <c r="K288" s="414"/>
      <c r="L288" s="932"/>
      <c r="M288" s="407" t="s">
        <v>1816</v>
      </c>
    </row>
    <row r="289" spans="1:13" s="922" customFormat="1" ht="24" customHeight="1">
      <c r="A289" s="936"/>
      <c r="B289" s="957"/>
      <c r="C289" s="956" t="s">
        <v>1279</v>
      </c>
      <c r="D289" s="404">
        <v>2</v>
      </c>
      <c r="E289" s="936" t="s">
        <v>5</v>
      </c>
      <c r="F289" s="414">
        <v>27360</v>
      </c>
      <c r="G289" s="414">
        <v>3000</v>
      </c>
      <c r="H289" s="414">
        <f>D289*F289</f>
        <v>54720</v>
      </c>
      <c r="I289" s="414">
        <f>D289*G289</f>
        <v>6000</v>
      </c>
      <c r="J289" s="414">
        <f>H289+I289</f>
        <v>60720</v>
      </c>
      <c r="K289" s="414"/>
      <c r="L289" s="932"/>
      <c r="M289" s="407" t="s">
        <v>1816</v>
      </c>
    </row>
    <row r="290" spans="1:13" s="922" customFormat="1" ht="24" customHeight="1">
      <c r="A290" s="936"/>
      <c r="B290" s="957"/>
      <c r="C290" s="956" t="s">
        <v>116</v>
      </c>
      <c r="D290" s="404">
        <v>1</v>
      </c>
      <c r="E290" s="936" t="s">
        <v>105</v>
      </c>
      <c r="F290" s="414">
        <v>0</v>
      </c>
      <c r="G290" s="414">
        <v>0</v>
      </c>
      <c r="H290" s="414">
        <f>D290*F290</f>
        <v>0</v>
      </c>
      <c r="I290" s="414">
        <f>D290*G290</f>
        <v>0</v>
      </c>
      <c r="J290" s="414">
        <f>H290+I290</f>
        <v>0</v>
      </c>
      <c r="K290" s="414"/>
      <c r="L290" s="932"/>
      <c r="M290" s="407"/>
    </row>
    <row r="291" spans="1:13" s="922" customFormat="1" ht="24" customHeight="1">
      <c r="A291" s="936" t="s">
        <v>244</v>
      </c>
      <c r="B291" s="955" t="s">
        <v>652</v>
      </c>
      <c r="C291" s="956"/>
      <c r="D291" s="404"/>
      <c r="E291" s="936"/>
      <c r="F291" s="414"/>
      <c r="G291" s="414"/>
      <c r="H291" s="414"/>
      <c r="I291" s="414"/>
      <c r="J291" s="414"/>
      <c r="K291" s="414"/>
      <c r="L291" s="932"/>
      <c r="M291" s="407"/>
    </row>
    <row r="292" spans="1:13" s="922" customFormat="1" ht="24" customHeight="1">
      <c r="A292" s="936"/>
      <c r="B292" s="957"/>
      <c r="C292" s="956" t="s">
        <v>646</v>
      </c>
      <c r="D292" s="404">
        <v>6</v>
      </c>
      <c r="E292" s="945" t="s">
        <v>86</v>
      </c>
      <c r="F292" s="414">
        <v>17000</v>
      </c>
      <c r="G292" s="414">
        <v>0</v>
      </c>
      <c r="H292" s="414">
        <f>D292*F292</f>
        <v>102000</v>
      </c>
      <c r="I292" s="414">
        <f>D292*G292</f>
        <v>0</v>
      </c>
      <c r="J292" s="414">
        <f>H292+I292</f>
        <v>102000</v>
      </c>
      <c r="K292" s="414"/>
      <c r="L292" s="932"/>
      <c r="M292" s="939" t="s">
        <v>1836</v>
      </c>
    </row>
    <row r="293" spans="1:13" s="922" customFormat="1" ht="24" customHeight="1">
      <c r="A293" s="936"/>
      <c r="B293" s="957"/>
      <c r="C293" s="956" t="s">
        <v>650</v>
      </c>
      <c r="D293" s="404">
        <v>8</v>
      </c>
      <c r="E293" s="936" t="s">
        <v>113</v>
      </c>
      <c r="F293" s="414">
        <v>3000</v>
      </c>
      <c r="G293" s="414">
        <v>0</v>
      </c>
      <c r="H293" s="414">
        <f>D293*F293</f>
        <v>24000</v>
      </c>
      <c r="I293" s="414">
        <f>D293*G293</f>
        <v>0</v>
      </c>
      <c r="J293" s="414">
        <f>H293+I293</f>
        <v>24000</v>
      </c>
      <c r="K293" s="414"/>
      <c r="L293" s="932"/>
      <c r="M293" s="939" t="s">
        <v>1836</v>
      </c>
    </row>
    <row r="294" spans="1:13" s="922" customFormat="1" ht="24" customHeight="1">
      <c r="A294" s="936"/>
      <c r="B294" s="957"/>
      <c r="C294" s="956" t="s">
        <v>1280</v>
      </c>
      <c r="D294" s="404">
        <v>8</v>
      </c>
      <c r="E294" s="936" t="s">
        <v>113</v>
      </c>
      <c r="F294" s="414">
        <v>3800</v>
      </c>
      <c r="G294" s="414">
        <v>0</v>
      </c>
      <c r="H294" s="414">
        <f>D294*F294</f>
        <v>30400</v>
      </c>
      <c r="I294" s="414">
        <f>D294*G294</f>
        <v>0</v>
      </c>
      <c r="J294" s="414">
        <f>H294+I294</f>
        <v>30400</v>
      </c>
      <c r="K294" s="949"/>
      <c r="L294" s="950"/>
      <c r="M294" s="939" t="s">
        <v>1836</v>
      </c>
    </row>
    <row r="295" spans="1:13" s="922" customFormat="1" ht="24" customHeight="1">
      <c r="A295" s="936"/>
      <c r="B295" s="957"/>
      <c r="C295" s="956" t="s">
        <v>1281</v>
      </c>
      <c r="D295" s="404">
        <v>8</v>
      </c>
      <c r="E295" s="936" t="s">
        <v>113</v>
      </c>
      <c r="F295" s="414">
        <v>4500</v>
      </c>
      <c r="G295" s="414">
        <v>0</v>
      </c>
      <c r="H295" s="414">
        <f>D295*F295</f>
        <v>36000</v>
      </c>
      <c r="I295" s="414">
        <f>D295*G295</f>
        <v>0</v>
      </c>
      <c r="J295" s="414">
        <f>H295+I295</f>
        <v>36000</v>
      </c>
      <c r="K295" s="414"/>
      <c r="L295" s="932"/>
      <c r="M295" s="939" t="s">
        <v>1836</v>
      </c>
    </row>
    <row r="296" spans="1:13" s="922" customFormat="1" ht="24" customHeight="1">
      <c r="A296" s="999"/>
      <c r="B296" s="1000"/>
      <c r="C296" s="1001"/>
      <c r="D296" s="416"/>
      <c r="E296" s="1003"/>
      <c r="F296" s="1002"/>
      <c r="G296" s="1002"/>
      <c r="H296" s="1002"/>
      <c r="I296" s="1002"/>
      <c r="J296" s="1002"/>
      <c r="K296" s="1002"/>
      <c r="L296" s="932"/>
      <c r="M296" s="942"/>
    </row>
    <row r="297" spans="1:13" s="968" customFormat="1" ht="24" customHeight="1" thickBot="1">
      <c r="A297" s="962"/>
      <c r="B297" s="963"/>
      <c r="C297" s="964" t="str">
        <f>"รวมราคา "&amp;B283</f>
        <v>รวมราคา งานอุปกรณ์ระบบป้องกันอัคคีภัย</v>
      </c>
      <c r="D297" s="965"/>
      <c r="E297" s="966"/>
      <c r="F297" s="966"/>
      <c r="G297" s="966"/>
      <c r="H297" s="966">
        <f>SUM(H284:H296)</f>
        <v>954064</v>
      </c>
      <c r="I297" s="966">
        <f>SUM(I284:I296)</f>
        <v>132465</v>
      </c>
      <c r="J297" s="966">
        <f>SUM(J284:J296)</f>
        <v>1086529</v>
      </c>
      <c r="K297" s="966"/>
      <c r="L297" s="967"/>
    </row>
    <row r="298" spans="1:13" s="968" customFormat="1" ht="24" customHeight="1" thickTop="1" thickBot="1">
      <c r="A298" s="1004"/>
      <c r="B298" s="1005"/>
      <c r="C298" s="1006" t="str">
        <f>"รวมราคา "&amp;B12</f>
        <v>รวมราคา งานระบบสุขาภิบาลและระบบป้องกันอัคคีภัย</v>
      </c>
      <c r="D298" s="1007"/>
      <c r="E298" s="1008"/>
      <c r="F298" s="1008"/>
      <c r="G298" s="1008"/>
      <c r="H298" s="1008">
        <f>SUM(H297,H274,H235,H211,H195,H165,H102)</f>
        <v>9038769.1999999993</v>
      </c>
      <c r="I298" s="1008">
        <f>SUM(I297,I274,I235,I211,I195,I165,I102)</f>
        <v>2594720</v>
      </c>
      <c r="J298" s="1008">
        <f>SUM(J297,J274,J235,J211,J195,J165,J102)</f>
        <v>11633489.200000001</v>
      </c>
      <c r="K298" s="1008"/>
      <c r="L298" s="967"/>
      <c r="M298" s="997"/>
    </row>
    <row r="299" spans="1:13" s="1012" customFormat="1" ht="24" customHeight="1" thickTop="1">
      <c r="A299" s="878"/>
      <c r="B299" s="878"/>
      <c r="C299" s="878"/>
      <c r="D299" s="1009"/>
      <c r="E299" s="1010"/>
      <c r="F299" s="1010"/>
      <c r="G299" s="1010"/>
      <c r="H299" s="1010"/>
      <c r="I299" s="1010"/>
      <c r="J299" s="1010"/>
      <c r="K299" s="1010"/>
      <c r="L299" s="1010"/>
      <c r="M299" s="1011"/>
    </row>
    <row r="300" spans="1:13" ht="24" customHeight="1">
      <c r="A300" s="1013"/>
      <c r="B300" s="869"/>
      <c r="C300" s="1013" t="s">
        <v>133</v>
      </c>
      <c r="D300" s="418"/>
      <c r="E300" s="1014"/>
      <c r="F300" s="1014"/>
      <c r="G300" s="868"/>
      <c r="H300" s="868"/>
      <c r="I300" s="866"/>
      <c r="J300" s="866"/>
      <c r="K300" s="866"/>
      <c r="L300" s="866"/>
    </row>
    <row r="301" spans="1:13" ht="24" customHeight="1">
      <c r="A301" s="1016"/>
      <c r="B301" s="2407" t="s">
        <v>1769</v>
      </c>
      <c r="C301" s="2407"/>
      <c r="D301" s="1017"/>
      <c r="E301" s="1017"/>
      <c r="F301" s="1017"/>
      <c r="G301" s="1017" t="s">
        <v>134</v>
      </c>
      <c r="H301" s="1017"/>
      <c r="I301" s="1017"/>
      <c r="J301" s="1017"/>
      <c r="K301" s="1017"/>
      <c r="L301" s="1017"/>
    </row>
    <row r="302" spans="1:13" ht="24" customHeight="1">
      <c r="A302" s="1018"/>
      <c r="B302" s="2408" t="s">
        <v>1970</v>
      </c>
      <c r="C302" s="2408"/>
      <c r="D302" s="419"/>
      <c r="E302" s="419"/>
      <c r="F302" s="419"/>
      <c r="G302" s="1019" t="s">
        <v>1971</v>
      </c>
      <c r="H302" s="419"/>
      <c r="I302" s="419"/>
      <c r="J302" s="419"/>
      <c r="K302" s="419"/>
      <c r="L302" s="1018"/>
    </row>
    <row r="303" spans="1:13" s="866" customFormat="1" ht="24" customHeight="1">
      <c r="B303" s="1017" t="s">
        <v>2031</v>
      </c>
      <c r="D303" s="419"/>
      <c r="E303" s="419"/>
      <c r="F303" s="419"/>
      <c r="G303" s="1017" t="s">
        <v>2031</v>
      </c>
      <c r="H303" s="419"/>
      <c r="I303" s="419"/>
      <c r="J303" s="419"/>
      <c r="K303" s="419"/>
      <c r="L303" s="1020"/>
    </row>
    <row r="304" spans="1:13" s="866" customFormat="1" ht="24" customHeight="1">
      <c r="A304" s="1017"/>
      <c r="B304" s="419" t="s">
        <v>1984</v>
      </c>
      <c r="D304" s="1017"/>
      <c r="E304" s="1017"/>
      <c r="F304" s="1017"/>
      <c r="G304" s="419" t="s">
        <v>1985</v>
      </c>
      <c r="H304" s="1017"/>
      <c r="I304" s="1017"/>
      <c r="J304" s="1017"/>
      <c r="K304" s="1017"/>
      <c r="L304" s="1017"/>
    </row>
    <row r="305" spans="1:10" s="866" customFormat="1" ht="24" customHeight="1">
      <c r="A305" s="869"/>
      <c r="B305" s="1017" t="s">
        <v>670</v>
      </c>
      <c r="C305" s="407"/>
      <c r="D305" s="1021"/>
      <c r="E305" s="869"/>
      <c r="F305" s="401"/>
      <c r="G305" s="401"/>
      <c r="H305" s="401"/>
      <c r="I305" s="401"/>
      <c r="J305" s="401"/>
    </row>
    <row r="306" spans="1:10" ht="24" customHeight="1">
      <c r="B306" s="419" t="s">
        <v>1972</v>
      </c>
      <c r="C306" s="407"/>
    </row>
  </sheetData>
  <mergeCells count="93">
    <mergeCell ref="B284:C284"/>
    <mergeCell ref="B287:C287"/>
    <mergeCell ref="B212:C212"/>
    <mergeCell ref="B213:C213"/>
    <mergeCell ref="B222:C222"/>
    <mergeCell ref="B237:C237"/>
    <mergeCell ref="B246:C246"/>
    <mergeCell ref="B270:C270"/>
    <mergeCell ref="B236:C236"/>
    <mergeCell ref="B243:C243"/>
    <mergeCell ref="B248:C248"/>
    <mergeCell ref="B258:C258"/>
    <mergeCell ref="B260:C260"/>
    <mergeCell ref="B262:C262"/>
    <mergeCell ref="B204:C204"/>
    <mergeCell ref="B206:C206"/>
    <mergeCell ref="B283:C283"/>
    <mergeCell ref="B241:C241"/>
    <mergeCell ref="B158:C158"/>
    <mergeCell ref="B166:C166"/>
    <mergeCell ref="B167:C167"/>
    <mergeCell ref="B182:C182"/>
    <mergeCell ref="B191:C191"/>
    <mergeCell ref="B277:C277"/>
    <mergeCell ref="B278:C278"/>
    <mergeCell ref="B252:C252"/>
    <mergeCell ref="B253:C253"/>
    <mergeCell ref="B226:C226"/>
    <mergeCell ref="B227:C227"/>
    <mergeCell ref="B198:C198"/>
    <mergeCell ref="B128:C128"/>
    <mergeCell ref="B134:C134"/>
    <mergeCell ref="B137:C137"/>
    <mergeCell ref="B150:C150"/>
    <mergeCell ref="B155:C155"/>
    <mergeCell ref="B94:C94"/>
    <mergeCell ref="B96:C96"/>
    <mergeCell ref="B109:C109"/>
    <mergeCell ref="B110:C110"/>
    <mergeCell ref="B123:C123"/>
    <mergeCell ref="B117:C117"/>
    <mergeCell ref="B118:C118"/>
    <mergeCell ref="B301:C301"/>
    <mergeCell ref="B302:C302"/>
    <mergeCell ref="B14:C14"/>
    <mergeCell ref="B209:C209"/>
    <mergeCell ref="B205:C205"/>
    <mergeCell ref="B179:C179"/>
    <mergeCell ref="B168:C168"/>
    <mergeCell ref="B15:C15"/>
    <mergeCell ref="B25:C25"/>
    <mergeCell ref="B55:C55"/>
    <mergeCell ref="B81:C81"/>
    <mergeCell ref="B103:C103"/>
    <mergeCell ref="B104:C104"/>
    <mergeCell ref="B188:C188"/>
    <mergeCell ref="B148:C148"/>
    <mergeCell ref="B21:C21"/>
    <mergeCell ref="B26:C26"/>
    <mergeCell ref="B28:C28"/>
    <mergeCell ref="A1:K1"/>
    <mergeCell ref="A9:A10"/>
    <mergeCell ref="B9:C10"/>
    <mergeCell ref="J9:J10"/>
    <mergeCell ref="K9:K10"/>
    <mergeCell ref="E9:E10"/>
    <mergeCell ref="F9:G9"/>
    <mergeCell ref="H9:I9"/>
    <mergeCell ref="B11:C11"/>
    <mergeCell ref="D9:D10"/>
    <mergeCell ref="A2:A8"/>
    <mergeCell ref="B12:C12"/>
    <mergeCell ref="B13:C13"/>
    <mergeCell ref="B199:C199"/>
    <mergeCell ref="B171:C171"/>
    <mergeCell ref="B172:C172"/>
    <mergeCell ref="B142:C142"/>
    <mergeCell ref="B143:C143"/>
    <mergeCell ref="B88:C88"/>
    <mergeCell ref="B89:C89"/>
    <mergeCell ref="B59:C59"/>
    <mergeCell ref="B60:C60"/>
    <mergeCell ref="B35:C35"/>
    <mergeCell ref="B36:C36"/>
    <mergeCell ref="B71:C71"/>
    <mergeCell ref="B79:C79"/>
    <mergeCell ref="B82:C82"/>
    <mergeCell ref="B84:C84"/>
    <mergeCell ref="B43:C43"/>
    <mergeCell ref="B48:C48"/>
    <mergeCell ref="B65:C65"/>
    <mergeCell ref="B67:C67"/>
    <mergeCell ref="B69:C69"/>
  </mergeCells>
  <phoneticPr fontId="17" type="noConversion"/>
  <printOptions horizontalCentered="1"/>
  <pageMargins left="0.23622047244094499" right="0.23622047244094499" top="0.511811023622047" bottom="0.27559055118110198" header="0.511811023622047" footer="0.31496062992126"/>
  <pageSetup paperSize="9" scale="54" fitToHeight="0" orientation="landscape" r:id="rId1"/>
  <headerFooter alignWithMargins="0">
    <oddHeader>&amp;R&amp;"TH Sarabun New,ตัวหนา"&amp;16แบบ ปร.4 หน้าที่ &amp;P จาก &amp;N</oddHeader>
  </headerFooter>
  <rowBreaks count="10" manualBreakCount="10">
    <brk id="40" max="10" man="1"/>
    <brk id="64" max="10" man="1"/>
    <brk id="93" max="10" man="1"/>
    <brk id="122" max="10" man="1"/>
    <brk id="147" max="10" man="1"/>
    <brk id="176" max="10" man="1"/>
    <brk id="203" max="10" man="1"/>
    <brk id="231" max="10" man="1"/>
    <brk id="257" max="10" man="1"/>
    <brk id="282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Q1015"/>
  <sheetViews>
    <sheetView showGridLines="0" showWhiteSpace="0" view="pageBreakPreview" topLeftCell="A28" zoomScale="112" zoomScaleNormal="50" zoomScaleSheetLayoutView="112" zoomScalePageLayoutView="40" workbookViewId="0">
      <selection activeCell="A32" sqref="A32:K39"/>
    </sheetView>
  </sheetViews>
  <sheetFormatPr defaultColWidth="9.42578125" defaultRowHeight="24"/>
  <cols>
    <col min="1" max="1" width="13.28515625" style="1022" customWidth="1"/>
    <col min="2" max="2" width="8.5703125" style="1022" customWidth="1"/>
    <col min="3" max="3" width="66.42578125" style="1025" customWidth="1"/>
    <col min="4" max="4" width="11.7109375" style="1177" customWidth="1"/>
    <col min="5" max="5" width="8.140625" style="1022" customWidth="1"/>
    <col min="6" max="7" width="15" style="1177" customWidth="1"/>
    <col min="8" max="8" width="17.5703125" style="1177" customWidth="1"/>
    <col min="9" max="9" width="16" style="1177" customWidth="1"/>
    <col min="10" max="10" width="17" style="1177" customWidth="1"/>
    <col min="11" max="12" width="13.28515625" style="1177" customWidth="1"/>
    <col min="13" max="13" width="55" style="1177" customWidth="1"/>
    <col min="14" max="14" width="11.5703125" style="1015" bestFit="1" customWidth="1"/>
    <col min="15" max="16384" width="9.42578125" style="1015"/>
  </cols>
  <sheetData>
    <row r="1" spans="1:13" s="866" customFormat="1" ht="27">
      <c r="A1" s="2487" t="str">
        <f>'[2]กลุ่มงานที่1 '!A1:F1</f>
        <v xml:space="preserve">แบบแสดงรายการ ปริมาณงาน และราคา  </v>
      </c>
      <c r="B1" s="2487"/>
      <c r="C1" s="2487"/>
      <c r="D1" s="2487"/>
      <c r="E1" s="2487"/>
      <c r="F1" s="2487"/>
      <c r="G1" s="2487"/>
      <c r="H1" s="2487"/>
      <c r="I1" s="2487"/>
      <c r="J1" s="2487"/>
      <c r="K1" s="2487"/>
      <c r="L1" s="1068"/>
      <c r="M1" s="869"/>
    </row>
    <row r="2" spans="1:13" s="866" customFormat="1">
      <c r="A2" s="2429"/>
      <c r="B2" s="911"/>
      <c r="C2" s="867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G2" s="869"/>
      <c r="I2" s="868"/>
      <c r="K2" s="869"/>
      <c r="L2" s="869"/>
      <c r="M2" s="871"/>
    </row>
    <row r="3" spans="1:13" s="866" customFormat="1">
      <c r="A3" s="2429"/>
      <c r="B3" s="911"/>
      <c r="C3" s="871" t="str">
        <f>[2]ปร6!B3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I3" s="868"/>
      <c r="K3" s="870"/>
      <c r="L3" s="870"/>
      <c r="M3" s="870"/>
    </row>
    <row r="4" spans="1:13" s="866" customFormat="1">
      <c r="A4" s="2429"/>
      <c r="B4" s="911"/>
      <c r="C4" s="871" t="str">
        <f>[2]ปร6!B4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I4" s="868"/>
      <c r="K4" s="870"/>
      <c r="L4" s="870"/>
      <c r="M4" s="870"/>
    </row>
    <row r="5" spans="1:13" s="866" customFormat="1">
      <c r="A5" s="2429"/>
      <c r="B5" s="911"/>
      <c r="C5" s="866" t="str">
        <f>[2]ปร6!B5</f>
        <v>แบบเลขที่  RMUTP-DOA-63-4-PL001.</v>
      </c>
      <c r="I5" s="868"/>
      <c r="K5" s="870"/>
      <c r="L5" s="870"/>
      <c r="M5" s="870"/>
    </row>
    <row r="6" spans="1:13" s="872" customFormat="1">
      <c r="A6" s="2429"/>
      <c r="B6" s="911"/>
      <c r="C6" s="872" t="str">
        <f>[2]ปร6!B6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875"/>
      <c r="E6" s="875"/>
      <c r="F6" s="875"/>
      <c r="G6" s="876"/>
      <c r="I6" s="874"/>
      <c r="K6" s="918"/>
      <c r="L6" s="918"/>
      <c r="M6" s="1069"/>
    </row>
    <row r="7" spans="1:13" s="872" customFormat="1">
      <c r="A7" s="2429"/>
      <c r="B7" s="911"/>
      <c r="C7" s="872" t="str">
        <f>ปร6!B7</f>
        <v>คำนวณราคากลาง   เมื่อวันที่ 16  เดือน สิงหาคม พ.ศ. 2567</v>
      </c>
      <c r="D7" s="875"/>
      <c r="E7" s="875"/>
      <c r="F7" s="875"/>
      <c r="G7" s="876"/>
      <c r="I7" s="874"/>
      <c r="K7" s="1070" t="s">
        <v>146</v>
      </c>
      <c r="L7" s="1070"/>
      <c r="M7" s="1069"/>
    </row>
    <row r="8" spans="1:13" s="915" customFormat="1">
      <c r="A8" s="2429"/>
      <c r="B8" s="911"/>
      <c r="D8" s="868"/>
      <c r="E8" s="916"/>
      <c r="F8" s="917"/>
      <c r="H8" s="868"/>
      <c r="I8" s="868"/>
      <c r="J8" s="868"/>
      <c r="K8" s="918"/>
      <c r="L8" s="918"/>
      <c r="M8" s="918"/>
    </row>
    <row r="9" spans="1:13" s="1074" customFormat="1" ht="27">
      <c r="A9" s="2489" t="s">
        <v>52</v>
      </c>
      <c r="B9" s="2491" t="s">
        <v>53</v>
      </c>
      <c r="C9" s="2492"/>
      <c r="D9" s="2490" t="s">
        <v>54</v>
      </c>
      <c r="E9" s="2489" t="s">
        <v>55</v>
      </c>
      <c r="F9" s="2488" t="s">
        <v>1772</v>
      </c>
      <c r="G9" s="2488"/>
      <c r="H9" s="2488" t="s">
        <v>1772</v>
      </c>
      <c r="I9" s="2488"/>
      <c r="J9" s="2495" t="s">
        <v>64</v>
      </c>
      <c r="K9" s="2489" t="s">
        <v>58</v>
      </c>
      <c r="L9" s="1072"/>
      <c r="M9" s="1073"/>
    </row>
    <row r="10" spans="1:13" s="1074" customFormat="1" ht="27">
      <c r="A10" s="2489"/>
      <c r="B10" s="2493"/>
      <c r="C10" s="2494"/>
      <c r="D10" s="2490"/>
      <c r="E10" s="2489"/>
      <c r="F10" s="921" t="s">
        <v>59</v>
      </c>
      <c r="G10" s="921" t="s">
        <v>60</v>
      </c>
      <c r="H10" s="921" t="s">
        <v>62</v>
      </c>
      <c r="I10" s="921" t="s">
        <v>63</v>
      </c>
      <c r="J10" s="2496"/>
      <c r="K10" s="2489"/>
      <c r="L10" s="1072"/>
      <c r="M10" s="1073"/>
    </row>
    <row r="11" spans="1:13" s="922" customFormat="1">
      <c r="A11" s="923"/>
      <c r="B11" s="2427" t="s">
        <v>81</v>
      </c>
      <c r="C11" s="2427"/>
      <c r="D11" s="924"/>
      <c r="E11" s="925"/>
      <c r="F11" s="1075"/>
      <c r="G11" s="1075"/>
      <c r="H11" s="1075"/>
      <c r="I11" s="1075"/>
      <c r="J11" s="1075"/>
      <c r="K11" s="1075"/>
      <c r="L11" s="425"/>
      <c r="M11" s="1076"/>
    </row>
    <row r="12" spans="1:13" s="922" customFormat="1">
      <c r="A12" s="929">
        <v>4</v>
      </c>
      <c r="B12" s="2484" t="s">
        <v>279</v>
      </c>
      <c r="C12" s="2484"/>
      <c r="D12" s="930"/>
      <c r="E12" s="926"/>
      <c r="F12" s="931"/>
      <c r="G12" s="931"/>
      <c r="H12" s="931"/>
      <c r="I12" s="931"/>
      <c r="J12" s="931"/>
      <c r="K12" s="931"/>
      <c r="L12" s="932"/>
      <c r="M12" s="1077"/>
    </row>
    <row r="13" spans="1:13" s="922" customFormat="1">
      <c r="A13" s="1078">
        <v>4.0999999999999996</v>
      </c>
      <c r="B13" s="2484" t="s">
        <v>1558</v>
      </c>
      <c r="C13" s="2484"/>
      <c r="D13" s="930"/>
      <c r="E13" s="926"/>
      <c r="F13" s="931"/>
      <c r="G13" s="931"/>
      <c r="H13" s="931"/>
      <c r="I13" s="931"/>
      <c r="J13" s="931"/>
      <c r="K13" s="931"/>
      <c r="L13" s="932"/>
      <c r="M13" s="1077"/>
    </row>
    <row r="14" spans="1:13" s="952" customFormat="1">
      <c r="A14" s="978"/>
      <c r="B14" s="1079" t="s">
        <v>139</v>
      </c>
      <c r="C14" s="1080" t="s">
        <v>1371</v>
      </c>
      <c r="D14" s="666">
        <v>1</v>
      </c>
      <c r="E14" s="1081" t="s">
        <v>5</v>
      </c>
      <c r="F14" s="1082">
        <v>700000</v>
      </c>
      <c r="G14" s="979">
        <v>75000</v>
      </c>
      <c r="H14" s="979">
        <f t="shared" ref="H14:H22" si="0">F14*D14</f>
        <v>700000</v>
      </c>
      <c r="I14" s="979">
        <f t="shared" ref="I14:I22" si="1">D14*G14</f>
        <v>75000</v>
      </c>
      <c r="J14" s="979">
        <f t="shared" ref="J14:J22" si="2">H14+I14</f>
        <v>775000</v>
      </c>
      <c r="K14" s="1083"/>
      <c r="L14" s="979" t="s">
        <v>1957</v>
      </c>
      <c r="M14" s="1084" t="s">
        <v>622</v>
      </c>
    </row>
    <row r="15" spans="1:13" s="922" customFormat="1">
      <c r="A15" s="935"/>
      <c r="B15" s="892" t="s">
        <v>139</v>
      </c>
      <c r="C15" s="1085" t="s">
        <v>1374</v>
      </c>
      <c r="D15" s="408">
        <v>1</v>
      </c>
      <c r="E15" s="936" t="s">
        <v>105</v>
      </c>
      <c r="F15" s="1086">
        <v>200000</v>
      </c>
      <c r="G15" s="414">
        <v>100000</v>
      </c>
      <c r="H15" s="414">
        <f t="shared" si="0"/>
        <v>200000</v>
      </c>
      <c r="I15" s="414">
        <f t="shared" si="1"/>
        <v>100000</v>
      </c>
      <c r="J15" s="414">
        <f t="shared" si="2"/>
        <v>300000</v>
      </c>
      <c r="K15" s="414"/>
      <c r="L15" s="449" t="s">
        <v>1957</v>
      </c>
      <c r="M15" s="939" t="s">
        <v>622</v>
      </c>
    </row>
    <row r="16" spans="1:13" s="922" customFormat="1">
      <c r="A16" s="935"/>
      <c r="B16" s="892" t="s">
        <v>139</v>
      </c>
      <c r="C16" s="1085" t="s">
        <v>1375</v>
      </c>
      <c r="D16" s="408">
        <v>1</v>
      </c>
      <c r="E16" s="936" t="s">
        <v>105</v>
      </c>
      <c r="F16" s="1086">
        <v>300000</v>
      </c>
      <c r="G16" s="414">
        <v>100000</v>
      </c>
      <c r="H16" s="414">
        <f t="shared" si="0"/>
        <v>300000</v>
      </c>
      <c r="I16" s="414">
        <f t="shared" si="1"/>
        <v>100000</v>
      </c>
      <c r="J16" s="414">
        <f t="shared" si="2"/>
        <v>400000</v>
      </c>
      <c r="K16" s="414"/>
      <c r="L16" s="449" t="s">
        <v>1957</v>
      </c>
      <c r="M16" s="939" t="s">
        <v>622</v>
      </c>
    </row>
    <row r="17" spans="1:13" s="922" customFormat="1">
      <c r="A17" s="935"/>
      <c r="B17" s="892" t="s">
        <v>139</v>
      </c>
      <c r="C17" s="1085" t="s">
        <v>1376</v>
      </c>
      <c r="D17" s="408">
        <v>90</v>
      </c>
      <c r="E17" s="936" t="s">
        <v>84</v>
      </c>
      <c r="F17" s="1086">
        <v>179</v>
      </c>
      <c r="G17" s="414">
        <v>70</v>
      </c>
      <c r="H17" s="414">
        <f t="shared" si="0"/>
        <v>16110</v>
      </c>
      <c r="I17" s="414">
        <f t="shared" si="1"/>
        <v>6300</v>
      </c>
      <c r="J17" s="414">
        <f t="shared" si="2"/>
        <v>22410</v>
      </c>
      <c r="K17" s="414"/>
      <c r="L17" s="414"/>
      <c r="M17" s="939" t="s">
        <v>622</v>
      </c>
    </row>
    <row r="18" spans="1:13" s="922" customFormat="1">
      <c r="A18" s="935"/>
      <c r="B18" s="892" t="s">
        <v>139</v>
      </c>
      <c r="C18" s="1085" t="s">
        <v>1373</v>
      </c>
      <c r="D18" s="408">
        <v>1</v>
      </c>
      <c r="E18" s="936" t="s">
        <v>105</v>
      </c>
      <c r="F18" s="1086">
        <v>100000</v>
      </c>
      <c r="G18" s="414">
        <v>150000</v>
      </c>
      <c r="H18" s="414">
        <f t="shared" si="0"/>
        <v>100000</v>
      </c>
      <c r="I18" s="414">
        <f t="shared" si="1"/>
        <v>150000</v>
      </c>
      <c r="J18" s="414">
        <f t="shared" si="2"/>
        <v>250000</v>
      </c>
      <c r="K18" s="414"/>
      <c r="L18" s="449" t="s">
        <v>1957</v>
      </c>
      <c r="M18" s="939" t="s">
        <v>622</v>
      </c>
    </row>
    <row r="19" spans="1:13" s="922" customFormat="1">
      <c r="A19" s="935"/>
      <c r="B19" s="892" t="s">
        <v>139</v>
      </c>
      <c r="C19" s="1085" t="s">
        <v>1377</v>
      </c>
      <c r="D19" s="408">
        <v>1</v>
      </c>
      <c r="E19" s="936" t="s">
        <v>105</v>
      </c>
      <c r="F19" s="1086">
        <v>0</v>
      </c>
      <c r="G19" s="414">
        <v>0</v>
      </c>
      <c r="H19" s="414">
        <f t="shared" si="0"/>
        <v>0</v>
      </c>
      <c r="I19" s="414">
        <f t="shared" si="1"/>
        <v>0</v>
      </c>
      <c r="J19" s="414">
        <f t="shared" si="2"/>
        <v>0</v>
      </c>
      <c r="K19" s="414"/>
      <c r="L19" s="414"/>
      <c r="M19" s="939" t="s">
        <v>641</v>
      </c>
    </row>
    <row r="20" spans="1:13" s="952" customFormat="1">
      <c r="A20" s="946"/>
      <c r="B20" s="947" t="s">
        <v>139</v>
      </c>
      <c r="C20" s="1120" t="s">
        <v>1983</v>
      </c>
      <c r="D20" s="668">
        <v>1</v>
      </c>
      <c r="E20" s="945" t="s">
        <v>5</v>
      </c>
      <c r="F20" s="1088">
        <f>1290000*0.9</f>
        <v>1161000</v>
      </c>
      <c r="G20" s="1088">
        <f>1290000*0.1</f>
        <v>129000</v>
      </c>
      <c r="H20" s="949">
        <f t="shared" si="0"/>
        <v>1161000</v>
      </c>
      <c r="I20" s="949">
        <f t="shared" si="1"/>
        <v>129000</v>
      </c>
      <c r="J20" s="949">
        <f t="shared" si="2"/>
        <v>1290000</v>
      </c>
      <c r="K20" s="949"/>
      <c r="L20" s="949" t="s">
        <v>1958</v>
      </c>
      <c r="M20" s="1084" t="s">
        <v>622</v>
      </c>
    </row>
    <row r="21" spans="1:13" s="922" customFormat="1">
      <c r="A21" s="935"/>
      <c r="B21" s="892" t="s">
        <v>139</v>
      </c>
      <c r="C21" s="1085" t="s">
        <v>1982</v>
      </c>
      <c r="D21" s="408">
        <v>1</v>
      </c>
      <c r="E21" s="936" t="s">
        <v>5</v>
      </c>
      <c r="F21" s="1086">
        <v>65000</v>
      </c>
      <c r="G21" s="414">
        <v>5000</v>
      </c>
      <c r="H21" s="414">
        <f t="shared" si="0"/>
        <v>65000</v>
      </c>
      <c r="I21" s="414">
        <f t="shared" si="1"/>
        <v>5000</v>
      </c>
      <c r="J21" s="414">
        <f t="shared" si="2"/>
        <v>70000</v>
      </c>
      <c r="K21" s="414"/>
      <c r="L21" s="932"/>
      <c r="M21" s="939" t="s">
        <v>622</v>
      </c>
    </row>
    <row r="22" spans="1:13" s="922" customFormat="1">
      <c r="A22" s="935"/>
      <c r="B22" s="892" t="s">
        <v>139</v>
      </c>
      <c r="C22" s="1085" t="s">
        <v>1372</v>
      </c>
      <c r="D22" s="408">
        <v>120</v>
      </c>
      <c r="E22" s="936" t="s">
        <v>86</v>
      </c>
      <c r="F22" s="1086">
        <v>2000</v>
      </c>
      <c r="G22" s="414">
        <v>300</v>
      </c>
      <c r="H22" s="414">
        <f t="shared" si="0"/>
        <v>240000</v>
      </c>
      <c r="I22" s="414">
        <f t="shared" si="1"/>
        <v>36000</v>
      </c>
      <c r="J22" s="414">
        <f t="shared" si="2"/>
        <v>276000</v>
      </c>
      <c r="K22" s="414"/>
      <c r="L22" s="932"/>
      <c r="M22" s="939" t="s">
        <v>622</v>
      </c>
    </row>
    <row r="23" spans="1:13" s="922" customFormat="1">
      <c r="A23" s="1089"/>
      <c r="B23" s="1000"/>
      <c r="C23" s="1090"/>
      <c r="D23" s="417"/>
      <c r="E23" s="999"/>
      <c r="F23" s="1091"/>
      <c r="G23" s="1002"/>
      <c r="H23" s="1002"/>
      <c r="I23" s="1002"/>
      <c r="J23" s="1002"/>
      <c r="K23" s="1002"/>
      <c r="L23" s="932"/>
      <c r="M23" s="1077"/>
    </row>
    <row r="24" spans="1:13" s="968" customFormat="1" ht="24.75" thickBot="1">
      <c r="A24" s="962"/>
      <c r="B24" s="1092"/>
      <c r="C24" s="1178" t="str">
        <f>"รวมราคา "&amp;B13</f>
        <v>รวมราคา งานหม้อแปลงไฟฟ้าและเครืองกำเนิดไฟฟ้าสำรอง</v>
      </c>
      <c r="D24" s="1094"/>
      <c r="E24" s="966"/>
      <c r="F24" s="966"/>
      <c r="G24" s="966"/>
      <c r="H24" s="966">
        <f>SUM(H14:H23)</f>
        <v>2782110</v>
      </c>
      <c r="I24" s="966">
        <f>SUM(I14:I23)</f>
        <v>601300</v>
      </c>
      <c r="J24" s="966">
        <f>SUM(J14:J23)</f>
        <v>3383410</v>
      </c>
      <c r="K24" s="966"/>
      <c r="L24" s="967"/>
      <c r="M24" s="1095"/>
    </row>
    <row r="25" spans="1:13" s="968" customFormat="1" ht="24.75" thickTop="1">
      <c r="A25" s="1096">
        <v>4.2</v>
      </c>
      <c r="B25" s="2485" t="s">
        <v>129</v>
      </c>
      <c r="C25" s="2486"/>
      <c r="D25" s="423"/>
      <c r="E25" s="1097"/>
      <c r="F25" s="1097"/>
      <c r="G25" s="1097"/>
      <c r="H25" s="1098"/>
      <c r="I25" s="1098"/>
      <c r="J25" s="1098"/>
      <c r="K25" s="1098"/>
      <c r="L25" s="967"/>
      <c r="M25" s="1095"/>
    </row>
    <row r="26" spans="1:13" s="922" customFormat="1">
      <c r="A26" s="1099" t="s">
        <v>215</v>
      </c>
      <c r="B26" s="2470" t="s">
        <v>1380</v>
      </c>
      <c r="C26" s="2471"/>
      <c r="D26" s="410"/>
      <c r="E26" s="934"/>
      <c r="F26" s="449"/>
      <c r="G26" s="449"/>
      <c r="H26" s="449"/>
      <c r="I26" s="449"/>
      <c r="J26" s="449"/>
      <c r="K26" s="449"/>
      <c r="L26" s="932"/>
      <c r="M26" s="1077"/>
    </row>
    <row r="27" spans="1:13" s="922" customFormat="1">
      <c r="A27" s="935"/>
      <c r="B27" s="892" t="s">
        <v>139</v>
      </c>
      <c r="C27" s="1085" t="s">
        <v>494</v>
      </c>
      <c r="D27" s="408">
        <v>1</v>
      </c>
      <c r="E27" s="936" t="s">
        <v>5</v>
      </c>
      <c r="F27" s="414">
        <v>112960</v>
      </c>
      <c r="G27" s="414">
        <v>0</v>
      </c>
      <c r="H27" s="414">
        <f t="shared" ref="H27:H47" si="3">F27*D27</f>
        <v>112960</v>
      </c>
      <c r="I27" s="414">
        <f t="shared" ref="I27:I47" si="4">D27*G27</f>
        <v>0</v>
      </c>
      <c r="J27" s="414">
        <f t="shared" ref="J27:J47" si="5">H27+I27</f>
        <v>112960</v>
      </c>
      <c r="K27" s="414"/>
      <c r="L27" s="932"/>
      <c r="M27" s="939" t="s">
        <v>622</v>
      </c>
    </row>
    <row r="28" spans="1:13" s="922" customFormat="1">
      <c r="A28" s="935"/>
      <c r="B28" s="892" t="s">
        <v>139</v>
      </c>
      <c r="C28" s="1085" t="s">
        <v>1368</v>
      </c>
      <c r="D28" s="408">
        <v>1</v>
      </c>
      <c r="E28" s="936" t="s">
        <v>5</v>
      </c>
      <c r="F28" s="414">
        <v>22500</v>
      </c>
      <c r="G28" s="414">
        <v>0</v>
      </c>
      <c r="H28" s="414">
        <f t="shared" si="3"/>
        <v>22500</v>
      </c>
      <c r="I28" s="414">
        <f t="shared" si="4"/>
        <v>0</v>
      </c>
      <c r="J28" s="414">
        <f t="shared" si="5"/>
        <v>22500</v>
      </c>
      <c r="K28" s="414"/>
      <c r="L28" s="932"/>
      <c r="M28" s="939" t="s">
        <v>622</v>
      </c>
    </row>
    <row r="29" spans="1:13" s="922" customFormat="1">
      <c r="A29" s="935"/>
      <c r="B29" s="892" t="s">
        <v>139</v>
      </c>
      <c r="C29" s="1085" t="s">
        <v>1367</v>
      </c>
      <c r="D29" s="408">
        <v>1</v>
      </c>
      <c r="E29" s="936" t="s">
        <v>5</v>
      </c>
      <c r="F29" s="414">
        <v>22500</v>
      </c>
      <c r="G29" s="414">
        <v>0</v>
      </c>
      <c r="H29" s="414">
        <f t="shared" si="3"/>
        <v>22500</v>
      </c>
      <c r="I29" s="414">
        <f t="shared" si="4"/>
        <v>0</v>
      </c>
      <c r="J29" s="414">
        <f t="shared" si="5"/>
        <v>22500</v>
      </c>
      <c r="K29" s="414"/>
      <c r="L29" s="932"/>
      <c r="M29" s="939" t="s">
        <v>622</v>
      </c>
    </row>
    <row r="30" spans="1:13" s="922" customFormat="1">
      <c r="A30" s="935"/>
      <c r="B30" s="892" t="s">
        <v>139</v>
      </c>
      <c r="C30" s="1085" t="s">
        <v>505</v>
      </c>
      <c r="D30" s="408">
        <v>1</v>
      </c>
      <c r="E30" s="936" t="s">
        <v>5</v>
      </c>
      <c r="F30" s="414">
        <v>16600</v>
      </c>
      <c r="G30" s="414">
        <v>0</v>
      </c>
      <c r="H30" s="414">
        <f t="shared" si="3"/>
        <v>16600</v>
      </c>
      <c r="I30" s="414">
        <f t="shared" si="4"/>
        <v>0</v>
      </c>
      <c r="J30" s="414">
        <f t="shared" si="5"/>
        <v>16600</v>
      </c>
      <c r="K30" s="414"/>
      <c r="L30" s="932"/>
      <c r="M30" s="939" t="s">
        <v>622</v>
      </c>
    </row>
    <row r="31" spans="1:13" s="922" customFormat="1">
      <c r="A31" s="935"/>
      <c r="B31" s="892" t="s">
        <v>139</v>
      </c>
      <c r="C31" s="1085" t="s">
        <v>506</v>
      </c>
      <c r="D31" s="408">
        <v>1</v>
      </c>
      <c r="E31" s="936" t="s">
        <v>5</v>
      </c>
      <c r="F31" s="414">
        <v>16600</v>
      </c>
      <c r="G31" s="414">
        <v>0</v>
      </c>
      <c r="H31" s="414">
        <f t="shared" si="3"/>
        <v>16600</v>
      </c>
      <c r="I31" s="414">
        <f t="shared" si="4"/>
        <v>0</v>
      </c>
      <c r="J31" s="414">
        <f t="shared" si="5"/>
        <v>16600</v>
      </c>
      <c r="K31" s="414"/>
      <c r="L31" s="932"/>
      <c r="M31" s="939" t="s">
        <v>622</v>
      </c>
    </row>
    <row r="32" spans="1:13" s="922" customFormat="1">
      <c r="A32" s="2183"/>
      <c r="B32" s="2183"/>
      <c r="C32" s="2183"/>
      <c r="D32" s="2184"/>
      <c r="E32" s="2185"/>
      <c r="F32" s="2185"/>
      <c r="G32" s="2185"/>
      <c r="H32" s="2185"/>
      <c r="I32" s="2185"/>
      <c r="J32" s="2185"/>
      <c r="K32" s="2185"/>
      <c r="L32" s="932"/>
      <c r="M32" s="939"/>
    </row>
    <row r="33" spans="1:13" s="922" customFormat="1">
      <c r="A33" s="2186"/>
      <c r="B33" s="2187"/>
      <c r="C33" s="2186" t="s">
        <v>133</v>
      </c>
      <c r="D33" s="2188"/>
      <c r="E33" s="418"/>
      <c r="F33" s="2189"/>
      <c r="G33" s="2189"/>
      <c r="H33" s="1277"/>
      <c r="I33" s="1277"/>
      <c r="J33" s="2188"/>
      <c r="K33" s="2188"/>
      <c r="L33" s="932"/>
      <c r="M33" s="939"/>
    </row>
    <row r="34" spans="1:13" s="922" customFormat="1">
      <c r="A34" s="1642"/>
      <c r="B34" s="1017"/>
      <c r="C34" s="2407" t="s">
        <v>1769</v>
      </c>
      <c r="D34" s="2407"/>
      <c r="E34" s="1017"/>
      <c r="F34" s="1017"/>
      <c r="G34" s="1017"/>
      <c r="H34" s="1017" t="s">
        <v>134</v>
      </c>
      <c r="I34" s="1017"/>
      <c r="J34" s="1017"/>
      <c r="K34" s="1017"/>
      <c r="L34" s="932"/>
      <c r="M34" s="939"/>
    </row>
    <row r="35" spans="1:13" s="922" customFormat="1">
      <c r="A35" s="1643"/>
      <c r="B35" s="419"/>
      <c r="C35" s="2408" t="s">
        <v>1970</v>
      </c>
      <c r="D35" s="2408"/>
      <c r="E35" s="419"/>
      <c r="F35" s="419"/>
      <c r="G35" s="419"/>
      <c r="H35" s="419" t="s">
        <v>1971</v>
      </c>
      <c r="I35" s="419"/>
      <c r="J35" s="419"/>
      <c r="K35" s="419"/>
      <c r="L35" s="932"/>
      <c r="M35" s="939"/>
    </row>
    <row r="36" spans="1:13" s="922" customFormat="1">
      <c r="A36" s="2188"/>
      <c r="B36" s="1017"/>
      <c r="C36" s="1017" t="s">
        <v>2031</v>
      </c>
      <c r="D36" s="2188"/>
      <c r="E36" s="419"/>
      <c r="F36" s="419"/>
      <c r="G36" s="419"/>
      <c r="H36" s="1017" t="s">
        <v>134</v>
      </c>
      <c r="I36" s="419"/>
      <c r="J36" s="419"/>
      <c r="K36" s="419"/>
      <c r="L36" s="932"/>
      <c r="M36" s="939"/>
    </row>
    <row r="37" spans="1:13" s="922" customFormat="1">
      <c r="A37" s="1017"/>
      <c r="B37" s="419"/>
      <c r="C37" s="419" t="s">
        <v>1984</v>
      </c>
      <c r="D37" s="2188"/>
      <c r="E37" s="1017"/>
      <c r="F37" s="1017"/>
      <c r="G37" s="1017"/>
      <c r="H37" s="419" t="s">
        <v>1985</v>
      </c>
      <c r="I37" s="1017"/>
      <c r="J37" s="1017"/>
      <c r="K37" s="1017"/>
      <c r="L37" s="932"/>
      <c r="M37" s="939"/>
    </row>
    <row r="38" spans="1:13" s="922" customFormat="1">
      <c r="A38" s="2190"/>
      <c r="B38" s="2190"/>
      <c r="C38" s="1017" t="s">
        <v>670</v>
      </c>
      <c r="D38" s="2191"/>
      <c r="E38" s="2192"/>
      <c r="F38" s="2193"/>
      <c r="G38" s="2194"/>
      <c r="H38" s="2194"/>
      <c r="I38" s="2194"/>
      <c r="J38" s="2194"/>
      <c r="K38" s="2194"/>
      <c r="L38" s="932"/>
      <c r="M38" s="939"/>
    </row>
    <row r="39" spans="1:13" s="922" customFormat="1">
      <c r="A39" s="2195"/>
      <c r="B39" s="2195"/>
      <c r="C39" s="2196" t="s">
        <v>1972</v>
      </c>
      <c r="D39" s="2197"/>
      <c r="E39" s="2198"/>
      <c r="F39" s="2199"/>
      <c r="G39" s="2200"/>
      <c r="H39" s="2200"/>
      <c r="I39" s="2200"/>
      <c r="J39" s="2200"/>
      <c r="K39" s="2200"/>
      <c r="L39" s="932"/>
      <c r="M39" s="939"/>
    </row>
    <row r="40" spans="1:13" s="922" customFormat="1">
      <c r="A40" s="935"/>
      <c r="B40" s="892" t="s">
        <v>139</v>
      </c>
      <c r="C40" s="1085" t="s">
        <v>507</v>
      </c>
      <c r="D40" s="408">
        <v>1</v>
      </c>
      <c r="E40" s="936" t="s">
        <v>5</v>
      </c>
      <c r="F40" s="414">
        <v>12600</v>
      </c>
      <c r="G40" s="414">
        <v>0</v>
      </c>
      <c r="H40" s="414">
        <f t="shared" si="3"/>
        <v>12600</v>
      </c>
      <c r="I40" s="414">
        <f t="shared" si="4"/>
        <v>0</v>
      </c>
      <c r="J40" s="414">
        <f t="shared" si="5"/>
        <v>12600</v>
      </c>
      <c r="K40" s="414"/>
      <c r="L40" s="932"/>
      <c r="M40" s="939" t="s">
        <v>622</v>
      </c>
    </row>
    <row r="41" spans="1:13" s="922" customFormat="1">
      <c r="A41" s="935"/>
      <c r="B41" s="892" t="s">
        <v>139</v>
      </c>
      <c r="C41" s="1085" t="s">
        <v>495</v>
      </c>
      <c r="D41" s="408">
        <v>2</v>
      </c>
      <c r="E41" s="936" t="s">
        <v>5</v>
      </c>
      <c r="F41" s="414">
        <v>6580</v>
      </c>
      <c r="G41" s="414">
        <v>0</v>
      </c>
      <c r="H41" s="414">
        <f t="shared" si="3"/>
        <v>13160</v>
      </c>
      <c r="I41" s="414">
        <f t="shared" si="4"/>
        <v>0</v>
      </c>
      <c r="J41" s="414">
        <f t="shared" si="5"/>
        <v>13160</v>
      </c>
      <c r="K41" s="414"/>
      <c r="L41" s="932"/>
      <c r="M41" s="939" t="s">
        <v>622</v>
      </c>
    </row>
    <row r="42" spans="1:13" s="922" customFormat="1">
      <c r="A42" s="935"/>
      <c r="B42" s="892" t="s">
        <v>139</v>
      </c>
      <c r="C42" s="1085" t="s">
        <v>496</v>
      </c>
      <c r="D42" s="408">
        <v>6</v>
      </c>
      <c r="E42" s="936" t="s">
        <v>5</v>
      </c>
      <c r="F42" s="414">
        <v>6580</v>
      </c>
      <c r="G42" s="414">
        <v>0</v>
      </c>
      <c r="H42" s="414">
        <f t="shared" si="3"/>
        <v>39480</v>
      </c>
      <c r="I42" s="414">
        <f t="shared" si="4"/>
        <v>0</v>
      </c>
      <c r="J42" s="414">
        <f t="shared" si="5"/>
        <v>39480</v>
      </c>
      <c r="K42" s="414"/>
      <c r="L42" s="932"/>
      <c r="M42" s="939" t="s">
        <v>622</v>
      </c>
    </row>
    <row r="43" spans="1:13" s="922" customFormat="1">
      <c r="A43" s="935"/>
      <c r="B43" s="892" t="s">
        <v>139</v>
      </c>
      <c r="C43" s="1085" t="s">
        <v>503</v>
      </c>
      <c r="D43" s="408">
        <v>1</v>
      </c>
      <c r="E43" s="936" t="s">
        <v>5</v>
      </c>
      <c r="F43" s="414">
        <f>6870*0.5</f>
        <v>3435</v>
      </c>
      <c r="G43" s="414">
        <v>0</v>
      </c>
      <c r="H43" s="414">
        <f t="shared" si="3"/>
        <v>3435</v>
      </c>
      <c r="I43" s="414">
        <f t="shared" si="4"/>
        <v>0</v>
      </c>
      <c r="J43" s="414">
        <f t="shared" si="5"/>
        <v>3435</v>
      </c>
      <c r="K43" s="414"/>
      <c r="L43" s="932"/>
      <c r="M43" s="939" t="s">
        <v>622</v>
      </c>
    </row>
    <row r="44" spans="1:13" s="922" customFormat="1">
      <c r="A44" s="935"/>
      <c r="B44" s="892" t="s">
        <v>139</v>
      </c>
      <c r="C44" s="1085" t="s">
        <v>497</v>
      </c>
      <c r="D44" s="408">
        <v>1</v>
      </c>
      <c r="E44" s="936" t="s">
        <v>105</v>
      </c>
      <c r="F44" s="414">
        <v>80000</v>
      </c>
      <c r="G44" s="414">
        <v>0</v>
      </c>
      <c r="H44" s="414">
        <f t="shared" si="3"/>
        <v>80000</v>
      </c>
      <c r="I44" s="414">
        <f t="shared" si="4"/>
        <v>0</v>
      </c>
      <c r="J44" s="414">
        <f t="shared" si="5"/>
        <v>80000</v>
      </c>
      <c r="K44" s="414"/>
      <c r="L44" s="932"/>
      <c r="M44" s="939" t="s">
        <v>622</v>
      </c>
    </row>
    <row r="45" spans="1:13" s="922" customFormat="1">
      <c r="A45" s="935"/>
      <c r="B45" s="892" t="s">
        <v>139</v>
      </c>
      <c r="C45" s="1085" t="s">
        <v>498</v>
      </c>
      <c r="D45" s="408">
        <v>1</v>
      </c>
      <c r="E45" s="936" t="s">
        <v>105</v>
      </c>
      <c r="F45" s="414">
        <v>160000</v>
      </c>
      <c r="G45" s="414">
        <v>0</v>
      </c>
      <c r="H45" s="414">
        <f t="shared" si="3"/>
        <v>160000</v>
      </c>
      <c r="I45" s="414">
        <f t="shared" si="4"/>
        <v>0</v>
      </c>
      <c r="J45" s="414">
        <f t="shared" si="5"/>
        <v>160000</v>
      </c>
      <c r="K45" s="414"/>
      <c r="L45" s="932"/>
      <c r="M45" s="939" t="s">
        <v>622</v>
      </c>
    </row>
    <row r="46" spans="1:13" s="922" customFormat="1">
      <c r="A46" s="935"/>
      <c r="B46" s="892" t="s">
        <v>139</v>
      </c>
      <c r="C46" s="1085" t="s">
        <v>499</v>
      </c>
      <c r="D46" s="408">
        <v>1</v>
      </c>
      <c r="E46" s="936" t="s">
        <v>105</v>
      </c>
      <c r="F46" s="414">
        <v>380000</v>
      </c>
      <c r="G46" s="414">
        <v>30000</v>
      </c>
      <c r="H46" s="414">
        <f t="shared" si="3"/>
        <v>380000</v>
      </c>
      <c r="I46" s="414">
        <f t="shared" si="4"/>
        <v>30000</v>
      </c>
      <c r="J46" s="414">
        <f t="shared" si="5"/>
        <v>410000</v>
      </c>
      <c r="K46" s="414"/>
      <c r="L46" s="932"/>
      <c r="M46" s="939" t="s">
        <v>622</v>
      </c>
    </row>
    <row r="47" spans="1:13" s="922" customFormat="1">
      <c r="A47" s="935"/>
      <c r="B47" s="892" t="s">
        <v>139</v>
      </c>
      <c r="C47" s="1085" t="s">
        <v>1381</v>
      </c>
      <c r="D47" s="408">
        <v>1</v>
      </c>
      <c r="E47" s="936" t="s">
        <v>5</v>
      </c>
      <c r="F47" s="1086">
        <v>5000</v>
      </c>
      <c r="G47" s="414">
        <v>2500</v>
      </c>
      <c r="H47" s="414">
        <f t="shared" si="3"/>
        <v>5000</v>
      </c>
      <c r="I47" s="414">
        <f t="shared" si="4"/>
        <v>2500</v>
      </c>
      <c r="J47" s="414">
        <f t="shared" si="5"/>
        <v>7500</v>
      </c>
      <c r="K47" s="414"/>
      <c r="L47" s="932"/>
      <c r="M47" s="939"/>
    </row>
    <row r="48" spans="1:13" s="922" customFormat="1">
      <c r="A48" s="1101" t="s">
        <v>229</v>
      </c>
      <c r="B48" s="2464" t="s">
        <v>1379</v>
      </c>
      <c r="C48" s="2465"/>
      <c r="D48" s="408"/>
      <c r="E48" s="936"/>
      <c r="F48" s="414"/>
      <c r="G48" s="414"/>
      <c r="H48" s="414"/>
      <c r="I48" s="414"/>
      <c r="J48" s="414"/>
      <c r="K48" s="414"/>
      <c r="L48" s="932"/>
      <c r="M48" s="939"/>
    </row>
    <row r="49" spans="1:13" s="922" customFormat="1">
      <c r="A49" s="935"/>
      <c r="B49" s="892" t="s">
        <v>139</v>
      </c>
      <c r="C49" s="1085" t="s">
        <v>1456</v>
      </c>
      <c r="D49" s="408">
        <v>1</v>
      </c>
      <c r="E49" s="936" t="s">
        <v>5</v>
      </c>
      <c r="F49" s="414">
        <v>105000</v>
      </c>
      <c r="G49" s="414">
        <v>0</v>
      </c>
      <c r="H49" s="414">
        <f t="shared" ref="H49:H57" si="6">F49*D49</f>
        <v>105000</v>
      </c>
      <c r="I49" s="414">
        <f t="shared" ref="I49:I57" si="7">D49*G49</f>
        <v>0</v>
      </c>
      <c r="J49" s="414">
        <f t="shared" ref="J49:J57" si="8">H49+I49</f>
        <v>105000</v>
      </c>
      <c r="K49" s="414"/>
      <c r="L49" s="932"/>
      <c r="M49" s="939" t="s">
        <v>622</v>
      </c>
    </row>
    <row r="50" spans="1:13" s="922" customFormat="1">
      <c r="A50" s="1101"/>
      <c r="B50" s="892" t="s">
        <v>139</v>
      </c>
      <c r="C50" s="1085" t="s">
        <v>496</v>
      </c>
      <c r="D50" s="408">
        <v>1</v>
      </c>
      <c r="E50" s="936" t="s">
        <v>5</v>
      </c>
      <c r="F50" s="414">
        <v>6580</v>
      </c>
      <c r="G50" s="414">
        <v>0</v>
      </c>
      <c r="H50" s="414">
        <f t="shared" si="6"/>
        <v>6580</v>
      </c>
      <c r="I50" s="414">
        <f t="shared" si="7"/>
        <v>0</v>
      </c>
      <c r="J50" s="414">
        <f t="shared" si="8"/>
        <v>6580</v>
      </c>
      <c r="K50" s="414"/>
      <c r="L50" s="932"/>
      <c r="M50" s="939" t="s">
        <v>622</v>
      </c>
    </row>
    <row r="51" spans="1:13" s="922" customFormat="1">
      <c r="A51" s="935"/>
      <c r="B51" s="892" t="s">
        <v>139</v>
      </c>
      <c r="C51" s="1085" t="s">
        <v>508</v>
      </c>
      <c r="D51" s="408">
        <v>1</v>
      </c>
      <c r="E51" s="936" t="s">
        <v>5</v>
      </c>
      <c r="F51" s="414">
        <f>6870*0.5</f>
        <v>3435</v>
      </c>
      <c r="G51" s="414">
        <v>0</v>
      </c>
      <c r="H51" s="414">
        <f t="shared" si="6"/>
        <v>3435</v>
      </c>
      <c r="I51" s="414">
        <f t="shared" si="7"/>
        <v>0</v>
      </c>
      <c r="J51" s="414">
        <f t="shared" si="8"/>
        <v>3435</v>
      </c>
      <c r="K51" s="414"/>
      <c r="L51" s="932"/>
      <c r="M51" s="939" t="s">
        <v>622</v>
      </c>
    </row>
    <row r="52" spans="1:13" s="922" customFormat="1">
      <c r="A52" s="935"/>
      <c r="B52" s="892" t="s">
        <v>139</v>
      </c>
      <c r="C52" s="1085" t="s">
        <v>502</v>
      </c>
      <c r="D52" s="408">
        <v>3</v>
      </c>
      <c r="E52" s="936" t="s">
        <v>5</v>
      </c>
      <c r="F52" s="414">
        <f>6870*0.5</f>
        <v>3435</v>
      </c>
      <c r="G52" s="414">
        <v>0</v>
      </c>
      <c r="H52" s="414">
        <f t="shared" si="6"/>
        <v>10305</v>
      </c>
      <c r="I52" s="414">
        <f t="shared" si="7"/>
        <v>0</v>
      </c>
      <c r="J52" s="414">
        <f t="shared" si="8"/>
        <v>10305</v>
      </c>
      <c r="K52" s="414"/>
      <c r="L52" s="932"/>
      <c r="M52" s="939" t="s">
        <v>622</v>
      </c>
    </row>
    <row r="53" spans="1:13" s="922" customFormat="1">
      <c r="A53" s="935"/>
      <c r="B53" s="892" t="s">
        <v>139</v>
      </c>
      <c r="C53" s="1085" t="s">
        <v>503</v>
      </c>
      <c r="D53" s="408">
        <v>8</v>
      </c>
      <c r="E53" s="936" t="s">
        <v>5</v>
      </c>
      <c r="F53" s="414">
        <f>6870*0.5</f>
        <v>3435</v>
      </c>
      <c r="G53" s="414">
        <v>0</v>
      </c>
      <c r="H53" s="414">
        <f t="shared" si="6"/>
        <v>27480</v>
      </c>
      <c r="I53" s="414">
        <f t="shared" si="7"/>
        <v>0</v>
      </c>
      <c r="J53" s="414">
        <f t="shared" si="8"/>
        <v>27480</v>
      </c>
      <c r="K53" s="414"/>
      <c r="L53" s="932"/>
      <c r="M53" s="939" t="s">
        <v>622</v>
      </c>
    </row>
    <row r="54" spans="1:13" s="922" customFormat="1">
      <c r="A54" s="935"/>
      <c r="B54" s="892" t="s">
        <v>139</v>
      </c>
      <c r="C54" s="1085" t="s">
        <v>497</v>
      </c>
      <c r="D54" s="408">
        <v>1</v>
      </c>
      <c r="E54" s="936" t="s">
        <v>105</v>
      </c>
      <c r="F54" s="414">
        <v>80000</v>
      </c>
      <c r="G54" s="414">
        <v>0</v>
      </c>
      <c r="H54" s="414">
        <f t="shared" si="6"/>
        <v>80000</v>
      </c>
      <c r="I54" s="414">
        <f t="shared" si="7"/>
        <v>0</v>
      </c>
      <c r="J54" s="414">
        <f t="shared" si="8"/>
        <v>80000</v>
      </c>
      <c r="K54" s="414"/>
      <c r="L54" s="932"/>
      <c r="M54" s="939" t="s">
        <v>622</v>
      </c>
    </row>
    <row r="55" spans="1:13" s="922" customFormat="1">
      <c r="A55" s="933"/>
      <c r="B55" s="896" t="s">
        <v>139</v>
      </c>
      <c r="C55" s="1100" t="s">
        <v>498</v>
      </c>
      <c r="D55" s="410">
        <v>1</v>
      </c>
      <c r="E55" s="934" t="s">
        <v>105</v>
      </c>
      <c r="F55" s="449">
        <v>100000</v>
      </c>
      <c r="G55" s="449">
        <v>0</v>
      </c>
      <c r="H55" s="449">
        <f t="shared" si="6"/>
        <v>100000</v>
      </c>
      <c r="I55" s="449">
        <f t="shared" si="7"/>
        <v>0</v>
      </c>
      <c r="J55" s="449">
        <f t="shared" si="8"/>
        <v>100000</v>
      </c>
      <c r="K55" s="449"/>
      <c r="L55" s="932"/>
      <c r="M55" s="939" t="s">
        <v>622</v>
      </c>
    </row>
    <row r="56" spans="1:13" s="922" customFormat="1">
      <c r="A56" s="935"/>
      <c r="B56" s="892" t="s">
        <v>139</v>
      </c>
      <c r="C56" s="1085" t="s">
        <v>499</v>
      </c>
      <c r="D56" s="408">
        <v>1</v>
      </c>
      <c r="E56" s="936" t="s">
        <v>105</v>
      </c>
      <c r="F56" s="414">
        <v>185000</v>
      </c>
      <c r="G56" s="414">
        <v>20000</v>
      </c>
      <c r="H56" s="414">
        <f t="shared" si="6"/>
        <v>185000</v>
      </c>
      <c r="I56" s="414">
        <f t="shared" si="7"/>
        <v>20000</v>
      </c>
      <c r="J56" s="414">
        <f t="shared" si="8"/>
        <v>205000</v>
      </c>
      <c r="K56" s="414"/>
      <c r="L56" s="932"/>
      <c r="M56" s="939" t="s">
        <v>622</v>
      </c>
    </row>
    <row r="57" spans="1:13" s="922" customFormat="1">
      <c r="A57" s="935"/>
      <c r="B57" s="892" t="s">
        <v>139</v>
      </c>
      <c r="C57" s="1085" t="s">
        <v>1384</v>
      </c>
      <c r="D57" s="408">
        <v>1</v>
      </c>
      <c r="E57" s="936" t="s">
        <v>5</v>
      </c>
      <c r="F57" s="1086">
        <v>5000</v>
      </c>
      <c r="G57" s="414">
        <v>2500</v>
      </c>
      <c r="H57" s="414">
        <f t="shared" si="6"/>
        <v>5000</v>
      </c>
      <c r="I57" s="414">
        <f t="shared" si="7"/>
        <v>2500</v>
      </c>
      <c r="J57" s="414">
        <f t="shared" si="8"/>
        <v>7500</v>
      </c>
      <c r="K57" s="414"/>
      <c r="L57" s="932"/>
      <c r="M57" s="939"/>
    </row>
    <row r="58" spans="1:13" s="922" customFormat="1">
      <c r="A58" s="1101" t="s">
        <v>230</v>
      </c>
      <c r="B58" s="2464" t="s">
        <v>500</v>
      </c>
      <c r="C58" s="2465"/>
      <c r="D58" s="408"/>
      <c r="E58" s="936"/>
      <c r="F58" s="414"/>
      <c r="G58" s="414"/>
      <c r="H58" s="414"/>
      <c r="I58" s="414"/>
      <c r="J58" s="414"/>
      <c r="K58" s="414"/>
      <c r="L58" s="932"/>
      <c r="M58" s="1077"/>
    </row>
    <row r="59" spans="1:13" s="922" customFormat="1">
      <c r="A59" s="935"/>
      <c r="B59" s="892" t="s">
        <v>139</v>
      </c>
      <c r="C59" s="1085" t="s">
        <v>645</v>
      </c>
      <c r="D59" s="408">
        <v>15</v>
      </c>
      <c r="E59" s="936" t="s">
        <v>5</v>
      </c>
      <c r="F59" s="414">
        <v>10500</v>
      </c>
      <c r="G59" s="414">
        <v>0</v>
      </c>
      <c r="H59" s="414">
        <f>F59*D59</f>
        <v>157500</v>
      </c>
      <c r="I59" s="414">
        <f>D59*G59</f>
        <v>0</v>
      </c>
      <c r="J59" s="414">
        <f>H59+I59</f>
        <v>157500</v>
      </c>
      <c r="K59" s="414"/>
      <c r="L59" s="932"/>
      <c r="M59" s="939" t="s">
        <v>622</v>
      </c>
    </row>
    <row r="60" spans="1:13" s="922" customFormat="1">
      <c r="A60" s="935"/>
      <c r="B60" s="892" t="s">
        <v>139</v>
      </c>
      <c r="C60" s="1085" t="s">
        <v>1749</v>
      </c>
      <c r="D60" s="408">
        <v>15</v>
      </c>
      <c r="E60" s="936" t="s">
        <v>5</v>
      </c>
      <c r="F60" s="414">
        <v>12500</v>
      </c>
      <c r="G60" s="414">
        <v>0</v>
      </c>
      <c r="H60" s="414">
        <f>F60*D60</f>
        <v>187500</v>
      </c>
      <c r="I60" s="414">
        <f>D60*G60</f>
        <v>0</v>
      </c>
      <c r="J60" s="414">
        <f>H60+I60</f>
        <v>187500</v>
      </c>
      <c r="K60" s="414"/>
      <c r="L60" s="932"/>
      <c r="M60" s="939" t="s">
        <v>622</v>
      </c>
    </row>
    <row r="61" spans="1:13" s="922" customFormat="1">
      <c r="A61" s="2183"/>
      <c r="B61" s="2183"/>
      <c r="C61" s="2183"/>
      <c r="D61" s="2184"/>
      <c r="E61" s="2185"/>
      <c r="F61" s="2185"/>
      <c r="G61" s="2185"/>
      <c r="H61" s="2185"/>
      <c r="I61" s="2185"/>
      <c r="J61" s="2185"/>
      <c r="K61" s="2185"/>
      <c r="L61" s="932"/>
      <c r="M61" s="939"/>
    </row>
    <row r="62" spans="1:13" s="922" customFormat="1">
      <c r="A62" s="2186"/>
      <c r="B62" s="2187"/>
      <c r="C62" s="2186" t="s">
        <v>133</v>
      </c>
      <c r="D62" s="2188"/>
      <c r="E62" s="418"/>
      <c r="F62" s="2189"/>
      <c r="G62" s="2189"/>
      <c r="H62" s="1277"/>
      <c r="I62" s="1277"/>
      <c r="J62" s="2188"/>
      <c r="K62" s="2188"/>
      <c r="L62" s="932"/>
      <c r="M62" s="939"/>
    </row>
    <row r="63" spans="1:13" s="922" customFormat="1">
      <c r="A63" s="1642"/>
      <c r="B63" s="1017"/>
      <c r="C63" s="2407" t="s">
        <v>1769</v>
      </c>
      <c r="D63" s="2407"/>
      <c r="E63" s="1017"/>
      <c r="F63" s="1017"/>
      <c r="G63" s="1017"/>
      <c r="H63" s="1017" t="s">
        <v>134</v>
      </c>
      <c r="I63" s="1017"/>
      <c r="J63" s="1017"/>
      <c r="K63" s="1017"/>
      <c r="L63" s="932"/>
      <c r="M63" s="939"/>
    </row>
    <row r="64" spans="1:13" s="922" customFormat="1">
      <c r="A64" s="1643"/>
      <c r="B64" s="419"/>
      <c r="C64" s="2408" t="s">
        <v>1970</v>
      </c>
      <c r="D64" s="2408"/>
      <c r="E64" s="419"/>
      <c r="F64" s="419"/>
      <c r="G64" s="419"/>
      <c r="H64" s="419" t="s">
        <v>1971</v>
      </c>
      <c r="I64" s="419"/>
      <c r="J64" s="419"/>
      <c r="K64" s="419"/>
      <c r="L64" s="932"/>
      <c r="M64" s="939"/>
    </row>
    <row r="65" spans="1:13" s="922" customFormat="1">
      <c r="A65" s="2188"/>
      <c r="B65" s="1017"/>
      <c r="C65" s="1017" t="s">
        <v>2031</v>
      </c>
      <c r="D65" s="2188"/>
      <c r="E65" s="419"/>
      <c r="F65" s="419"/>
      <c r="G65" s="419"/>
      <c r="H65" s="1017" t="s">
        <v>134</v>
      </c>
      <c r="I65" s="419"/>
      <c r="J65" s="419"/>
      <c r="K65" s="419"/>
      <c r="L65" s="932"/>
      <c r="M65" s="939"/>
    </row>
    <row r="66" spans="1:13" s="922" customFormat="1">
      <c r="A66" s="1017"/>
      <c r="B66" s="419"/>
      <c r="C66" s="419" t="s">
        <v>1984</v>
      </c>
      <c r="D66" s="2188"/>
      <c r="E66" s="1017"/>
      <c r="F66" s="1017"/>
      <c r="G66" s="1017"/>
      <c r="H66" s="419" t="s">
        <v>1985</v>
      </c>
      <c r="I66" s="1017"/>
      <c r="J66" s="1017"/>
      <c r="K66" s="1017"/>
      <c r="L66" s="932"/>
      <c r="M66" s="939"/>
    </row>
    <row r="67" spans="1:13" s="922" customFormat="1">
      <c r="A67" s="2190"/>
      <c r="B67" s="2190"/>
      <c r="C67" s="1017" t="s">
        <v>670</v>
      </c>
      <c r="D67" s="2191"/>
      <c r="E67" s="2192"/>
      <c r="F67" s="2193"/>
      <c r="G67" s="2194"/>
      <c r="H67" s="2194"/>
      <c r="I67" s="2194"/>
      <c r="J67" s="2194"/>
      <c r="K67" s="2194"/>
      <c r="L67" s="932"/>
      <c r="M67" s="939"/>
    </row>
    <row r="68" spans="1:13" s="922" customFormat="1">
      <c r="A68" s="2195"/>
      <c r="B68" s="2195"/>
      <c r="C68" s="2196" t="s">
        <v>1972</v>
      </c>
      <c r="D68" s="2197"/>
      <c r="E68" s="2198"/>
      <c r="F68" s="2199"/>
      <c r="G68" s="2200"/>
      <c r="H68" s="2200"/>
      <c r="I68" s="2200"/>
      <c r="J68" s="2200"/>
      <c r="K68" s="2200"/>
      <c r="L68" s="932"/>
      <c r="M68" s="939"/>
    </row>
    <row r="69" spans="1:13" s="922" customFormat="1">
      <c r="A69" s="935"/>
      <c r="B69" s="892" t="s">
        <v>139</v>
      </c>
      <c r="C69" s="1085" t="s">
        <v>501</v>
      </c>
      <c r="D69" s="408">
        <v>1</v>
      </c>
      <c r="E69" s="936" t="s">
        <v>105</v>
      </c>
      <c r="F69" s="414">
        <v>80000</v>
      </c>
      <c r="G69" s="414">
        <v>0</v>
      </c>
      <c r="H69" s="414">
        <f>F69*D69</f>
        <v>80000</v>
      </c>
      <c r="I69" s="414">
        <f>D69*G69</f>
        <v>0</v>
      </c>
      <c r="J69" s="414">
        <f>H69+I69</f>
        <v>80000</v>
      </c>
      <c r="K69" s="414"/>
      <c r="L69" s="932"/>
      <c r="M69" s="939" t="s">
        <v>622</v>
      </c>
    </row>
    <row r="70" spans="1:13" s="922" customFormat="1">
      <c r="A70" s="935"/>
      <c r="B70" s="892" t="s">
        <v>139</v>
      </c>
      <c r="C70" s="1085" t="s">
        <v>499</v>
      </c>
      <c r="D70" s="408">
        <v>1</v>
      </c>
      <c r="E70" s="936" t="s">
        <v>105</v>
      </c>
      <c r="F70" s="414">
        <v>80000</v>
      </c>
      <c r="G70" s="414">
        <v>15000</v>
      </c>
      <c r="H70" s="414">
        <f>F70*D70</f>
        <v>80000</v>
      </c>
      <c r="I70" s="414">
        <f>D70*G70</f>
        <v>15000</v>
      </c>
      <c r="J70" s="414">
        <f>H70+I70</f>
        <v>95000</v>
      </c>
      <c r="K70" s="414"/>
      <c r="L70" s="932"/>
      <c r="M70" s="939" t="s">
        <v>622</v>
      </c>
    </row>
    <row r="71" spans="1:13" s="922" customFormat="1">
      <c r="A71" s="935"/>
      <c r="B71" s="892" t="s">
        <v>139</v>
      </c>
      <c r="C71" s="1085" t="s">
        <v>1385</v>
      </c>
      <c r="D71" s="408">
        <v>1</v>
      </c>
      <c r="E71" s="936" t="s">
        <v>5</v>
      </c>
      <c r="F71" s="414">
        <v>5000</v>
      </c>
      <c r="G71" s="414">
        <v>2500</v>
      </c>
      <c r="H71" s="414">
        <f>F71*D71</f>
        <v>5000</v>
      </c>
      <c r="I71" s="414">
        <f>D71*G71</f>
        <v>2500</v>
      </c>
      <c r="J71" s="414">
        <f>H71+I71</f>
        <v>7500</v>
      </c>
      <c r="K71" s="414"/>
      <c r="L71" s="932"/>
      <c r="M71" s="939"/>
    </row>
    <row r="72" spans="1:13" s="922" customFormat="1">
      <c r="A72" s="933" t="s">
        <v>231</v>
      </c>
      <c r="B72" s="2470" t="s">
        <v>1370</v>
      </c>
      <c r="C72" s="2471"/>
      <c r="D72" s="410"/>
      <c r="E72" s="934"/>
      <c r="F72" s="449"/>
      <c r="G72" s="449"/>
      <c r="H72" s="449"/>
      <c r="I72" s="449"/>
      <c r="J72" s="449"/>
      <c r="K72" s="449"/>
      <c r="L72" s="932"/>
      <c r="M72" s="1077"/>
    </row>
    <row r="73" spans="1:13" s="922" customFormat="1">
      <c r="A73" s="935"/>
      <c r="B73" s="892" t="s">
        <v>139</v>
      </c>
      <c r="C73" s="1085" t="s">
        <v>1383</v>
      </c>
      <c r="D73" s="408">
        <v>1</v>
      </c>
      <c r="E73" s="936" t="s">
        <v>5</v>
      </c>
      <c r="F73" s="414">
        <v>25000</v>
      </c>
      <c r="G73" s="414">
        <v>0</v>
      </c>
      <c r="H73" s="414">
        <f>F73*D73</f>
        <v>25000</v>
      </c>
      <c r="I73" s="414">
        <f>D73*G73</f>
        <v>0</v>
      </c>
      <c r="J73" s="414">
        <f>H73+I73</f>
        <v>25000</v>
      </c>
      <c r="K73" s="414"/>
      <c r="L73" s="932"/>
      <c r="M73" s="939" t="s">
        <v>622</v>
      </c>
    </row>
    <row r="74" spans="1:13" s="922" customFormat="1">
      <c r="A74" s="935" t="s">
        <v>232</v>
      </c>
      <c r="B74" s="2464" t="s">
        <v>504</v>
      </c>
      <c r="C74" s="2465"/>
      <c r="D74" s="408"/>
      <c r="E74" s="936"/>
      <c r="F74" s="414"/>
      <c r="G74" s="414"/>
      <c r="H74" s="414"/>
      <c r="I74" s="414"/>
      <c r="J74" s="414"/>
      <c r="K74" s="414"/>
      <c r="L74" s="932"/>
      <c r="M74" s="1077"/>
    </row>
    <row r="75" spans="1:13" s="922" customFormat="1">
      <c r="A75" s="935"/>
      <c r="B75" s="892" t="s">
        <v>139</v>
      </c>
      <c r="C75" s="1085" t="s">
        <v>1367</v>
      </c>
      <c r="D75" s="408">
        <v>1</v>
      </c>
      <c r="E75" s="936" t="s">
        <v>5</v>
      </c>
      <c r="F75" s="414">
        <v>22500</v>
      </c>
      <c r="G75" s="414">
        <v>0</v>
      </c>
      <c r="H75" s="414">
        <f t="shared" ref="H75:H81" si="9">F75*D75</f>
        <v>22500</v>
      </c>
      <c r="I75" s="414">
        <f t="shared" ref="I75:I81" si="10">D75*G75</f>
        <v>0</v>
      </c>
      <c r="J75" s="414">
        <f t="shared" ref="J75:J81" si="11">H75+I75</f>
        <v>22500</v>
      </c>
      <c r="K75" s="414"/>
      <c r="L75" s="932"/>
      <c r="M75" s="939" t="s">
        <v>622</v>
      </c>
    </row>
    <row r="76" spans="1:13" s="922" customFormat="1">
      <c r="A76" s="935"/>
      <c r="B76" s="892" t="s">
        <v>139</v>
      </c>
      <c r="C76" s="1085" t="s">
        <v>507</v>
      </c>
      <c r="D76" s="408">
        <v>4</v>
      </c>
      <c r="E76" s="936" t="s">
        <v>5</v>
      </c>
      <c r="F76" s="414">
        <v>12600</v>
      </c>
      <c r="G76" s="414">
        <v>0</v>
      </c>
      <c r="H76" s="414">
        <f t="shared" si="9"/>
        <v>50400</v>
      </c>
      <c r="I76" s="414">
        <f t="shared" si="10"/>
        <v>0</v>
      </c>
      <c r="J76" s="414">
        <f t="shared" si="11"/>
        <v>50400</v>
      </c>
      <c r="K76" s="414"/>
      <c r="L76" s="932"/>
      <c r="M76" s="939" t="s">
        <v>622</v>
      </c>
    </row>
    <row r="77" spans="1:13" s="922" customFormat="1">
      <c r="A77" s="935"/>
      <c r="B77" s="892" t="s">
        <v>139</v>
      </c>
      <c r="C77" s="1085" t="s">
        <v>495</v>
      </c>
      <c r="D77" s="408">
        <v>3</v>
      </c>
      <c r="E77" s="936" t="s">
        <v>5</v>
      </c>
      <c r="F77" s="414">
        <v>6580</v>
      </c>
      <c r="G77" s="414">
        <v>0</v>
      </c>
      <c r="H77" s="414">
        <f t="shared" si="9"/>
        <v>19740</v>
      </c>
      <c r="I77" s="414">
        <f t="shared" si="10"/>
        <v>0</v>
      </c>
      <c r="J77" s="414">
        <f t="shared" si="11"/>
        <v>19740</v>
      </c>
      <c r="K77" s="414"/>
      <c r="L77" s="932"/>
      <c r="M77" s="939" t="s">
        <v>622</v>
      </c>
    </row>
    <row r="78" spans="1:13" s="922" customFormat="1">
      <c r="A78" s="935"/>
      <c r="B78" s="892" t="s">
        <v>139</v>
      </c>
      <c r="C78" s="1085" t="s">
        <v>1378</v>
      </c>
      <c r="D78" s="408">
        <v>1</v>
      </c>
      <c r="E78" s="936" t="s">
        <v>5</v>
      </c>
      <c r="F78" s="414">
        <f>6870*0.5</f>
        <v>3435</v>
      </c>
      <c r="G78" s="414">
        <v>0</v>
      </c>
      <c r="H78" s="414">
        <f t="shared" si="9"/>
        <v>3435</v>
      </c>
      <c r="I78" s="414">
        <f t="shared" si="10"/>
        <v>0</v>
      </c>
      <c r="J78" s="414">
        <f t="shared" si="11"/>
        <v>3435</v>
      </c>
      <c r="K78" s="414"/>
      <c r="L78" s="932"/>
      <c r="M78" s="939" t="s">
        <v>622</v>
      </c>
    </row>
    <row r="79" spans="1:13" s="922" customFormat="1">
      <c r="A79" s="935"/>
      <c r="B79" s="892" t="s">
        <v>139</v>
      </c>
      <c r="C79" s="1085" t="s">
        <v>497</v>
      </c>
      <c r="D79" s="408">
        <v>1</v>
      </c>
      <c r="E79" s="936" t="s">
        <v>105</v>
      </c>
      <c r="F79" s="414">
        <v>50000</v>
      </c>
      <c r="G79" s="414">
        <v>0</v>
      </c>
      <c r="H79" s="414">
        <f t="shared" si="9"/>
        <v>50000</v>
      </c>
      <c r="I79" s="414">
        <f t="shared" si="10"/>
        <v>0</v>
      </c>
      <c r="J79" s="414">
        <f t="shared" si="11"/>
        <v>50000</v>
      </c>
      <c r="K79" s="414"/>
      <c r="L79" s="932"/>
      <c r="M79" s="939" t="s">
        <v>622</v>
      </c>
    </row>
    <row r="80" spans="1:13" s="922" customFormat="1">
      <c r="A80" s="935"/>
      <c r="B80" s="892" t="s">
        <v>139</v>
      </c>
      <c r="C80" s="1085" t="s">
        <v>498</v>
      </c>
      <c r="D80" s="408">
        <v>1</v>
      </c>
      <c r="E80" s="936" t="s">
        <v>105</v>
      </c>
      <c r="F80" s="414">
        <v>25000</v>
      </c>
      <c r="G80" s="414">
        <v>0</v>
      </c>
      <c r="H80" s="414">
        <f t="shared" si="9"/>
        <v>25000</v>
      </c>
      <c r="I80" s="414">
        <f t="shared" si="10"/>
        <v>0</v>
      </c>
      <c r="J80" s="414">
        <f t="shared" si="11"/>
        <v>25000</v>
      </c>
      <c r="K80" s="414"/>
      <c r="L80" s="932"/>
      <c r="M80" s="939" t="s">
        <v>622</v>
      </c>
    </row>
    <row r="81" spans="1:13" s="922" customFormat="1">
      <c r="A81" s="935"/>
      <c r="B81" s="892" t="s">
        <v>139</v>
      </c>
      <c r="C81" s="1085" t="s">
        <v>499</v>
      </c>
      <c r="D81" s="408">
        <v>1</v>
      </c>
      <c r="E81" s="936" t="s">
        <v>105</v>
      </c>
      <c r="F81" s="414">
        <v>60000</v>
      </c>
      <c r="G81" s="414">
        <v>10000</v>
      </c>
      <c r="H81" s="414">
        <f t="shared" si="9"/>
        <v>60000</v>
      </c>
      <c r="I81" s="414">
        <f t="shared" si="10"/>
        <v>10000</v>
      </c>
      <c r="J81" s="414">
        <f t="shared" si="11"/>
        <v>70000</v>
      </c>
      <c r="K81" s="414"/>
      <c r="L81" s="932"/>
      <c r="M81" s="939" t="s">
        <v>622</v>
      </c>
    </row>
    <row r="82" spans="1:13" s="922" customFormat="1">
      <c r="A82" s="935" t="s">
        <v>1382</v>
      </c>
      <c r="B82" s="2464" t="s">
        <v>1455</v>
      </c>
      <c r="C82" s="2465"/>
      <c r="D82" s="408"/>
      <c r="E82" s="936"/>
      <c r="F82" s="414"/>
      <c r="G82" s="414"/>
      <c r="H82" s="414"/>
      <c r="I82" s="414"/>
      <c r="J82" s="414"/>
      <c r="K82" s="414"/>
      <c r="L82" s="932"/>
      <c r="M82" s="1077"/>
    </row>
    <row r="83" spans="1:13" s="922" customFormat="1">
      <c r="A83" s="935"/>
      <c r="B83" s="892" t="s">
        <v>139</v>
      </c>
      <c r="C83" s="1085" t="s">
        <v>507</v>
      </c>
      <c r="D83" s="408">
        <v>1</v>
      </c>
      <c r="E83" s="936" t="s">
        <v>27</v>
      </c>
      <c r="F83" s="414">
        <v>12600</v>
      </c>
      <c r="G83" s="414">
        <v>0</v>
      </c>
      <c r="H83" s="414">
        <f t="shared" ref="H83:H88" si="12">F83*D83</f>
        <v>12600</v>
      </c>
      <c r="I83" s="414">
        <f t="shared" ref="I83:I88" si="13">D83*G83</f>
        <v>0</v>
      </c>
      <c r="J83" s="414">
        <f t="shared" ref="J83:J88" si="14">H83+I83</f>
        <v>12600</v>
      </c>
      <c r="K83" s="414"/>
      <c r="L83" s="932"/>
      <c r="M83" s="939" t="s">
        <v>622</v>
      </c>
    </row>
    <row r="84" spans="1:13" s="922" customFormat="1">
      <c r="A84" s="935"/>
      <c r="B84" s="892" t="s">
        <v>139</v>
      </c>
      <c r="C84" s="1085" t="s">
        <v>496</v>
      </c>
      <c r="D84" s="408">
        <v>2</v>
      </c>
      <c r="E84" s="936" t="s">
        <v>27</v>
      </c>
      <c r="F84" s="414">
        <v>6580</v>
      </c>
      <c r="G84" s="414">
        <v>0</v>
      </c>
      <c r="H84" s="414">
        <f t="shared" si="12"/>
        <v>13160</v>
      </c>
      <c r="I84" s="414">
        <f t="shared" si="13"/>
        <v>0</v>
      </c>
      <c r="J84" s="414">
        <f t="shared" si="14"/>
        <v>13160</v>
      </c>
      <c r="K84" s="414"/>
      <c r="L84" s="932"/>
      <c r="M84" s="939" t="s">
        <v>622</v>
      </c>
    </row>
    <row r="85" spans="1:13" s="922" customFormat="1">
      <c r="A85" s="935"/>
      <c r="B85" s="892" t="s">
        <v>139</v>
      </c>
      <c r="C85" s="1085" t="s">
        <v>502</v>
      </c>
      <c r="D85" s="408">
        <v>1</v>
      </c>
      <c r="E85" s="936" t="s">
        <v>27</v>
      </c>
      <c r="F85" s="414">
        <v>6150</v>
      </c>
      <c r="G85" s="414">
        <v>0</v>
      </c>
      <c r="H85" s="414">
        <f t="shared" si="12"/>
        <v>6150</v>
      </c>
      <c r="I85" s="414">
        <f t="shared" si="13"/>
        <v>0</v>
      </c>
      <c r="J85" s="414">
        <f t="shared" si="14"/>
        <v>6150</v>
      </c>
      <c r="K85" s="414"/>
      <c r="L85" s="932"/>
      <c r="M85" s="939" t="s">
        <v>622</v>
      </c>
    </row>
    <row r="86" spans="1:13" s="922" customFormat="1">
      <c r="A86" s="935"/>
      <c r="B86" s="892" t="s">
        <v>139</v>
      </c>
      <c r="C86" s="1085" t="s">
        <v>497</v>
      </c>
      <c r="D86" s="408">
        <v>1</v>
      </c>
      <c r="E86" s="936" t="s">
        <v>105</v>
      </c>
      <c r="F86" s="414">
        <v>30000</v>
      </c>
      <c r="G86" s="414">
        <v>0</v>
      </c>
      <c r="H86" s="414">
        <f t="shared" si="12"/>
        <v>30000</v>
      </c>
      <c r="I86" s="414">
        <f t="shared" si="13"/>
        <v>0</v>
      </c>
      <c r="J86" s="414">
        <f t="shared" si="14"/>
        <v>30000</v>
      </c>
      <c r="K86" s="414"/>
      <c r="L86" s="932"/>
      <c r="M86" s="939" t="s">
        <v>622</v>
      </c>
    </row>
    <row r="87" spans="1:13" s="922" customFormat="1">
      <c r="A87" s="935"/>
      <c r="B87" s="892" t="s">
        <v>139</v>
      </c>
      <c r="C87" s="1085" t="s">
        <v>498</v>
      </c>
      <c r="D87" s="408">
        <v>1</v>
      </c>
      <c r="E87" s="936" t="s">
        <v>105</v>
      </c>
      <c r="F87" s="414">
        <v>15000</v>
      </c>
      <c r="G87" s="414">
        <v>0</v>
      </c>
      <c r="H87" s="414">
        <f t="shared" si="12"/>
        <v>15000</v>
      </c>
      <c r="I87" s="414">
        <f t="shared" si="13"/>
        <v>0</v>
      </c>
      <c r="J87" s="414">
        <f t="shared" si="14"/>
        <v>15000</v>
      </c>
      <c r="K87" s="414"/>
      <c r="L87" s="932"/>
      <c r="M87" s="939" t="s">
        <v>622</v>
      </c>
    </row>
    <row r="88" spans="1:13" s="922" customFormat="1">
      <c r="A88" s="935"/>
      <c r="B88" s="892" t="s">
        <v>139</v>
      </c>
      <c r="C88" s="1085" t="s">
        <v>499</v>
      </c>
      <c r="D88" s="408">
        <v>1</v>
      </c>
      <c r="E88" s="936" t="s">
        <v>105</v>
      </c>
      <c r="F88" s="414">
        <v>25000</v>
      </c>
      <c r="G88" s="414">
        <v>5000</v>
      </c>
      <c r="H88" s="414">
        <f t="shared" si="12"/>
        <v>25000</v>
      </c>
      <c r="I88" s="414">
        <f t="shared" si="13"/>
        <v>5000</v>
      </c>
      <c r="J88" s="414">
        <f t="shared" si="14"/>
        <v>30000</v>
      </c>
      <c r="K88" s="414"/>
      <c r="L88" s="932"/>
      <c r="M88" s="939" t="s">
        <v>622</v>
      </c>
    </row>
    <row r="89" spans="1:13" s="922" customFormat="1">
      <c r="A89" s="959"/>
      <c r="B89" s="894"/>
      <c r="C89" s="1102"/>
      <c r="D89" s="424"/>
      <c r="E89" s="961"/>
      <c r="F89" s="415"/>
      <c r="G89" s="415"/>
      <c r="H89" s="415"/>
      <c r="I89" s="415"/>
      <c r="J89" s="415"/>
      <c r="K89" s="415"/>
      <c r="L89" s="932"/>
      <c r="M89" s="939"/>
    </row>
    <row r="90" spans="1:13" s="968" customFormat="1" ht="24.75" thickBot="1">
      <c r="A90" s="962"/>
      <c r="B90" s="1092"/>
      <c r="C90" s="1179" t="str">
        <f>"รวมราคา "&amp;B25</f>
        <v>รวมราคา งานตู้เมนไฟฟ้า ( MAIN DISTRIBUTION BOARD )</v>
      </c>
      <c r="D90" s="1094"/>
      <c r="E90" s="966"/>
      <c r="F90" s="966"/>
      <c r="G90" s="966"/>
      <c r="H90" s="966">
        <f>SUM(H25:H88)</f>
        <v>2275620</v>
      </c>
      <c r="I90" s="966">
        <f>SUM(I25:I88)</f>
        <v>87500</v>
      </c>
      <c r="J90" s="966">
        <f>SUM(J25:J88)</f>
        <v>2363120</v>
      </c>
      <c r="K90" s="966"/>
      <c r="L90" s="967"/>
      <c r="M90" s="1095"/>
    </row>
    <row r="91" spans="1:13" s="968" customFormat="1" ht="24.75" thickTop="1">
      <c r="A91" s="2183"/>
      <c r="B91" s="2183"/>
      <c r="C91" s="2183"/>
      <c r="D91" s="2184"/>
      <c r="E91" s="2185"/>
      <c r="F91" s="2185"/>
      <c r="G91" s="2185"/>
      <c r="H91" s="2185"/>
      <c r="I91" s="2185"/>
      <c r="J91" s="2185"/>
      <c r="K91" s="2185"/>
      <c r="L91" s="967"/>
      <c r="M91" s="1095"/>
    </row>
    <row r="92" spans="1:13" s="968" customFormat="1">
      <c r="A92" s="2186"/>
      <c r="B92" s="2187"/>
      <c r="C92" s="2186" t="s">
        <v>133</v>
      </c>
      <c r="D92" s="2188"/>
      <c r="E92" s="418"/>
      <c r="F92" s="2189"/>
      <c r="G92" s="2189"/>
      <c r="H92" s="1277"/>
      <c r="I92" s="1277"/>
      <c r="J92" s="2188"/>
      <c r="K92" s="2188"/>
      <c r="L92" s="967"/>
      <c r="M92" s="1095"/>
    </row>
    <row r="93" spans="1:13" s="968" customFormat="1">
      <c r="A93" s="1642"/>
      <c r="B93" s="1017"/>
      <c r="C93" s="2407" t="s">
        <v>1769</v>
      </c>
      <c r="D93" s="2407"/>
      <c r="E93" s="1017"/>
      <c r="F93" s="1017"/>
      <c r="G93" s="1017"/>
      <c r="H93" s="1017" t="s">
        <v>134</v>
      </c>
      <c r="I93" s="1017"/>
      <c r="J93" s="1017"/>
      <c r="K93" s="1017"/>
      <c r="L93" s="967"/>
      <c r="M93" s="1095"/>
    </row>
    <row r="94" spans="1:13" s="968" customFormat="1">
      <c r="A94" s="1643"/>
      <c r="B94" s="419"/>
      <c r="C94" s="2408" t="s">
        <v>1970</v>
      </c>
      <c r="D94" s="2408"/>
      <c r="E94" s="419"/>
      <c r="F94" s="419"/>
      <c r="G94" s="419"/>
      <c r="H94" s="419" t="s">
        <v>1971</v>
      </c>
      <c r="I94" s="419"/>
      <c r="J94" s="419"/>
      <c r="K94" s="419"/>
      <c r="L94" s="967"/>
      <c r="M94" s="1095"/>
    </row>
    <row r="95" spans="1:13" s="968" customFormat="1">
      <c r="A95" s="2188"/>
      <c r="B95" s="1017"/>
      <c r="C95" s="1017" t="s">
        <v>2031</v>
      </c>
      <c r="D95" s="2188"/>
      <c r="E95" s="419"/>
      <c r="F95" s="419"/>
      <c r="G95" s="419"/>
      <c r="H95" s="1017" t="s">
        <v>134</v>
      </c>
      <c r="I95" s="419"/>
      <c r="J95" s="419"/>
      <c r="K95" s="419"/>
      <c r="L95" s="967"/>
      <c r="M95" s="1095"/>
    </row>
    <row r="96" spans="1:13" s="968" customFormat="1">
      <c r="A96" s="1017"/>
      <c r="B96" s="419"/>
      <c r="C96" s="419" t="s">
        <v>1984</v>
      </c>
      <c r="D96" s="2188"/>
      <c r="E96" s="1017"/>
      <c r="F96" s="1017"/>
      <c r="G96" s="1017"/>
      <c r="H96" s="419" t="s">
        <v>1985</v>
      </c>
      <c r="I96" s="1017"/>
      <c r="J96" s="1017"/>
      <c r="K96" s="1017"/>
      <c r="L96" s="967"/>
      <c r="M96" s="1095"/>
    </row>
    <row r="97" spans="1:13" s="968" customFormat="1">
      <c r="A97" s="2190"/>
      <c r="B97" s="2190"/>
      <c r="C97" s="1017" t="s">
        <v>670</v>
      </c>
      <c r="D97" s="2191"/>
      <c r="E97" s="2192"/>
      <c r="F97" s="2193"/>
      <c r="G97" s="2194"/>
      <c r="H97" s="2194"/>
      <c r="I97" s="2194"/>
      <c r="J97" s="2194"/>
      <c r="K97" s="2194"/>
      <c r="L97" s="967"/>
      <c r="M97" s="1095"/>
    </row>
    <row r="98" spans="1:13" s="968" customFormat="1">
      <c r="A98" s="2195"/>
      <c r="B98" s="2195"/>
      <c r="C98" s="2196" t="s">
        <v>1972</v>
      </c>
      <c r="D98" s="2197"/>
      <c r="E98" s="2198"/>
      <c r="F98" s="2199"/>
      <c r="G98" s="2200"/>
      <c r="H98" s="2200"/>
      <c r="I98" s="2200"/>
      <c r="J98" s="2200"/>
      <c r="K98" s="2200"/>
      <c r="L98" s="967"/>
      <c r="M98" s="1095"/>
    </row>
    <row r="99" spans="1:13" s="968" customFormat="1">
      <c r="A99" s="929">
        <v>4.3</v>
      </c>
      <c r="B99" s="2468" t="s">
        <v>1369</v>
      </c>
      <c r="C99" s="2469"/>
      <c r="D99" s="921"/>
      <c r="E99" s="995"/>
      <c r="F99" s="995"/>
      <c r="G99" s="995"/>
      <c r="H99" s="996"/>
      <c r="I99" s="996"/>
      <c r="J99" s="996"/>
      <c r="K99" s="996"/>
      <c r="L99" s="967"/>
      <c r="M99" s="1095"/>
    </row>
    <row r="100" spans="1:13" s="922" customFormat="1">
      <c r="A100" s="897" t="s">
        <v>153</v>
      </c>
      <c r="B100" s="2457" t="s">
        <v>1386</v>
      </c>
      <c r="C100" s="2458"/>
      <c r="D100" s="1103"/>
      <c r="E100" s="1104"/>
      <c r="F100" s="1105"/>
      <c r="G100" s="1105"/>
      <c r="H100" s="449"/>
      <c r="I100" s="449"/>
      <c r="J100" s="449"/>
      <c r="K100" s="1105"/>
      <c r="L100" s="1106"/>
      <c r="M100" s="1107"/>
    </row>
    <row r="101" spans="1:13" s="922" customFormat="1">
      <c r="A101" s="935"/>
      <c r="B101" s="892" t="s">
        <v>139</v>
      </c>
      <c r="C101" s="1085" t="s">
        <v>1387</v>
      </c>
      <c r="D101" s="408">
        <v>1</v>
      </c>
      <c r="E101" s="936" t="s">
        <v>5</v>
      </c>
      <c r="F101" s="1108">
        <v>15000</v>
      </c>
      <c r="G101" s="936">
        <v>2000</v>
      </c>
      <c r="H101" s="414">
        <f t="shared" ref="H101:H106" si="15">F101*D101</f>
        <v>15000</v>
      </c>
      <c r="I101" s="414">
        <f t="shared" ref="I101:I106" si="16">D101*G101</f>
        <v>2000</v>
      </c>
      <c r="J101" s="414">
        <f t="shared" ref="J101:J106" si="17">H101+I101</f>
        <v>17000</v>
      </c>
      <c r="K101" s="414"/>
      <c r="L101" s="932"/>
      <c r="M101" s="939" t="s">
        <v>1836</v>
      </c>
    </row>
    <row r="102" spans="1:13" s="922" customFormat="1">
      <c r="A102" s="935"/>
      <c r="B102" s="892" t="s">
        <v>139</v>
      </c>
      <c r="C102" s="1085" t="s">
        <v>496</v>
      </c>
      <c r="D102" s="408">
        <v>1</v>
      </c>
      <c r="E102" s="936" t="s">
        <v>5</v>
      </c>
      <c r="F102" s="1108">
        <v>7680</v>
      </c>
      <c r="G102" s="936">
        <v>0</v>
      </c>
      <c r="H102" s="414">
        <f t="shared" si="15"/>
        <v>7680</v>
      </c>
      <c r="I102" s="414">
        <f t="shared" si="16"/>
        <v>0</v>
      </c>
      <c r="J102" s="414">
        <f t="shared" si="17"/>
        <v>7680</v>
      </c>
      <c r="K102" s="414"/>
      <c r="L102" s="932"/>
      <c r="M102" s="939" t="s">
        <v>1836</v>
      </c>
    </row>
    <row r="103" spans="1:13" s="922" customFormat="1">
      <c r="A103" s="935"/>
      <c r="B103" s="892" t="s">
        <v>139</v>
      </c>
      <c r="C103" s="1085" t="s">
        <v>1388</v>
      </c>
      <c r="D103" s="408">
        <v>1</v>
      </c>
      <c r="E103" s="936" t="s">
        <v>5</v>
      </c>
      <c r="F103" s="1108">
        <v>3100</v>
      </c>
      <c r="G103" s="936">
        <v>0</v>
      </c>
      <c r="H103" s="414">
        <f t="shared" si="15"/>
        <v>3100</v>
      </c>
      <c r="I103" s="414">
        <f t="shared" si="16"/>
        <v>0</v>
      </c>
      <c r="J103" s="414">
        <f t="shared" si="17"/>
        <v>3100</v>
      </c>
      <c r="K103" s="414"/>
      <c r="L103" s="932"/>
      <c r="M103" s="939" t="s">
        <v>1836</v>
      </c>
    </row>
    <row r="104" spans="1:13" s="922" customFormat="1">
      <c r="A104" s="935"/>
      <c r="B104" s="892" t="s">
        <v>139</v>
      </c>
      <c r="C104" s="1085" t="s">
        <v>1393</v>
      </c>
      <c r="D104" s="408">
        <v>4</v>
      </c>
      <c r="E104" s="936" t="s">
        <v>5</v>
      </c>
      <c r="F104" s="1108">
        <v>2800</v>
      </c>
      <c r="G104" s="936">
        <v>0</v>
      </c>
      <c r="H104" s="414">
        <f t="shared" si="15"/>
        <v>11200</v>
      </c>
      <c r="I104" s="414">
        <f t="shared" si="16"/>
        <v>0</v>
      </c>
      <c r="J104" s="414">
        <f t="shared" si="17"/>
        <v>11200</v>
      </c>
      <c r="K104" s="414"/>
      <c r="L104" s="932"/>
      <c r="M104" s="939" t="s">
        <v>1836</v>
      </c>
    </row>
    <row r="105" spans="1:13" s="922" customFormat="1">
      <c r="A105" s="935"/>
      <c r="B105" s="892" t="s">
        <v>139</v>
      </c>
      <c r="C105" s="1085" t="s">
        <v>1390</v>
      </c>
      <c r="D105" s="408">
        <v>5</v>
      </c>
      <c r="E105" s="936" t="s">
        <v>5</v>
      </c>
      <c r="F105" s="1108">
        <v>250</v>
      </c>
      <c r="G105" s="936">
        <v>0</v>
      </c>
      <c r="H105" s="414">
        <f t="shared" si="15"/>
        <v>1250</v>
      </c>
      <c r="I105" s="414">
        <f t="shared" si="16"/>
        <v>0</v>
      </c>
      <c r="J105" s="414">
        <f t="shared" si="17"/>
        <v>1250</v>
      </c>
      <c r="K105" s="414"/>
      <c r="L105" s="932"/>
      <c r="M105" s="939" t="s">
        <v>1836</v>
      </c>
    </row>
    <row r="106" spans="1:13" s="922" customFormat="1">
      <c r="A106" s="935"/>
      <c r="B106" s="892" t="s">
        <v>139</v>
      </c>
      <c r="C106" s="1085" t="s">
        <v>1389</v>
      </c>
      <c r="D106" s="408">
        <v>6</v>
      </c>
      <c r="E106" s="936" t="s">
        <v>5</v>
      </c>
      <c r="F106" s="1108">
        <v>250</v>
      </c>
      <c r="G106" s="936">
        <v>0</v>
      </c>
      <c r="H106" s="414">
        <f t="shared" si="15"/>
        <v>1500</v>
      </c>
      <c r="I106" s="414">
        <f t="shared" si="16"/>
        <v>0</v>
      </c>
      <c r="J106" s="414">
        <f t="shared" si="17"/>
        <v>1500</v>
      </c>
      <c r="K106" s="414"/>
      <c r="L106" s="932"/>
      <c r="M106" s="939" t="s">
        <v>1836</v>
      </c>
    </row>
    <row r="107" spans="1:13" s="922" customFormat="1">
      <c r="A107" s="893" t="s">
        <v>1391</v>
      </c>
      <c r="B107" s="2446" t="s">
        <v>1392</v>
      </c>
      <c r="C107" s="2447"/>
      <c r="D107" s="1109"/>
      <c r="E107" s="1110"/>
      <c r="F107" s="1111"/>
      <c r="G107" s="1111"/>
      <c r="H107" s="414"/>
      <c r="I107" s="414"/>
      <c r="J107" s="414"/>
      <c r="K107" s="1111"/>
      <c r="L107" s="1106"/>
      <c r="M107" s="939"/>
    </row>
    <row r="108" spans="1:13" s="922" customFormat="1">
      <c r="A108" s="935"/>
      <c r="B108" s="892" t="s">
        <v>139</v>
      </c>
      <c r="C108" s="1085" t="s">
        <v>1394</v>
      </c>
      <c r="D108" s="408">
        <v>1</v>
      </c>
      <c r="E108" s="936" t="s">
        <v>5</v>
      </c>
      <c r="F108" s="1108">
        <v>18400</v>
      </c>
      <c r="G108" s="936">
        <v>2500</v>
      </c>
      <c r="H108" s="414">
        <f>F108*D108</f>
        <v>18400</v>
      </c>
      <c r="I108" s="414">
        <f>D108*G108</f>
        <v>2500</v>
      </c>
      <c r="J108" s="414">
        <f>H108+I108</f>
        <v>20900</v>
      </c>
      <c r="K108" s="414"/>
      <c r="L108" s="932"/>
      <c r="M108" s="939" t="s">
        <v>1836</v>
      </c>
    </row>
    <row r="109" spans="1:13" s="922" customFormat="1">
      <c r="A109" s="935"/>
      <c r="B109" s="892" t="s">
        <v>139</v>
      </c>
      <c r="C109" s="1085" t="s">
        <v>495</v>
      </c>
      <c r="D109" s="408">
        <v>1</v>
      </c>
      <c r="E109" s="936" t="s">
        <v>5</v>
      </c>
      <c r="F109" s="1108">
        <v>7820</v>
      </c>
      <c r="G109" s="936">
        <v>0</v>
      </c>
      <c r="H109" s="414">
        <f>F109*D109</f>
        <v>7820</v>
      </c>
      <c r="I109" s="414">
        <f>D109*G109</f>
        <v>0</v>
      </c>
      <c r="J109" s="414">
        <f>H109+I109</f>
        <v>7820</v>
      </c>
      <c r="K109" s="414"/>
      <c r="L109" s="932"/>
      <c r="M109" s="939" t="s">
        <v>1836</v>
      </c>
    </row>
    <row r="110" spans="1:13" s="922" customFormat="1">
      <c r="A110" s="935"/>
      <c r="B110" s="892" t="s">
        <v>139</v>
      </c>
      <c r="C110" s="1085" t="s">
        <v>1398</v>
      </c>
      <c r="D110" s="408">
        <v>1</v>
      </c>
      <c r="E110" s="936" t="s">
        <v>5</v>
      </c>
      <c r="F110" s="1108">
        <v>3100</v>
      </c>
      <c r="G110" s="936">
        <v>0</v>
      </c>
      <c r="H110" s="414">
        <f>F110*D110</f>
        <v>3100</v>
      </c>
      <c r="I110" s="414">
        <f>D110*G110</f>
        <v>0</v>
      </c>
      <c r="J110" s="414">
        <f>H110+I110</f>
        <v>3100</v>
      </c>
      <c r="K110" s="414"/>
      <c r="L110" s="932"/>
      <c r="M110" s="939" t="s">
        <v>1836</v>
      </c>
    </row>
    <row r="111" spans="1:13" s="922" customFormat="1">
      <c r="A111" s="935"/>
      <c r="B111" s="892" t="s">
        <v>139</v>
      </c>
      <c r="C111" s="1085" t="s">
        <v>1390</v>
      </c>
      <c r="D111" s="408">
        <v>18</v>
      </c>
      <c r="E111" s="936" t="s">
        <v>5</v>
      </c>
      <c r="F111" s="1108">
        <v>250</v>
      </c>
      <c r="G111" s="936">
        <v>0</v>
      </c>
      <c r="H111" s="414">
        <f>F111*D111</f>
        <v>4500</v>
      </c>
      <c r="I111" s="414">
        <f>D111*G111</f>
        <v>0</v>
      </c>
      <c r="J111" s="414">
        <f>H111+I111</f>
        <v>4500</v>
      </c>
      <c r="K111" s="414"/>
      <c r="L111" s="932"/>
      <c r="M111" s="939" t="s">
        <v>1836</v>
      </c>
    </row>
    <row r="112" spans="1:13" s="922" customFormat="1">
      <c r="A112" s="935"/>
      <c r="B112" s="892" t="s">
        <v>139</v>
      </c>
      <c r="C112" s="1085" t="s">
        <v>1389</v>
      </c>
      <c r="D112" s="408">
        <v>15</v>
      </c>
      <c r="E112" s="936" t="s">
        <v>5</v>
      </c>
      <c r="F112" s="1108">
        <v>250</v>
      </c>
      <c r="G112" s="936">
        <v>0</v>
      </c>
      <c r="H112" s="414">
        <f>F112*D112</f>
        <v>3750</v>
      </c>
      <c r="I112" s="414">
        <f>D112*G112</f>
        <v>0</v>
      </c>
      <c r="J112" s="414">
        <f>H112+I112</f>
        <v>3750</v>
      </c>
      <c r="K112" s="414"/>
      <c r="L112" s="932"/>
      <c r="M112" s="939" t="s">
        <v>1836</v>
      </c>
    </row>
    <row r="113" spans="1:13" s="922" customFormat="1">
      <c r="A113" s="893" t="s">
        <v>1395</v>
      </c>
      <c r="B113" s="2446" t="s">
        <v>1396</v>
      </c>
      <c r="C113" s="2447"/>
      <c r="D113" s="1109"/>
      <c r="E113" s="1110"/>
      <c r="F113" s="1111"/>
      <c r="G113" s="1111"/>
      <c r="H113" s="414"/>
      <c r="I113" s="414"/>
      <c r="J113" s="414"/>
      <c r="K113" s="1111"/>
      <c r="L113" s="1106"/>
      <c r="M113" s="939"/>
    </row>
    <row r="114" spans="1:13" s="922" customFormat="1">
      <c r="A114" s="935"/>
      <c r="B114" s="892" t="s">
        <v>139</v>
      </c>
      <c r="C114" s="1085" t="s">
        <v>1397</v>
      </c>
      <c r="D114" s="408">
        <v>1</v>
      </c>
      <c r="E114" s="936" t="s">
        <v>5</v>
      </c>
      <c r="F114" s="1108">
        <v>11800</v>
      </c>
      <c r="G114" s="936">
        <v>2000</v>
      </c>
      <c r="H114" s="414">
        <f>F114*D114</f>
        <v>11800</v>
      </c>
      <c r="I114" s="414">
        <f>D114*G114</f>
        <v>2000</v>
      </c>
      <c r="J114" s="414">
        <f>H114+I114</f>
        <v>13800</v>
      </c>
      <c r="K114" s="414"/>
      <c r="L114" s="932"/>
      <c r="M114" s="939" t="s">
        <v>1836</v>
      </c>
    </row>
    <row r="115" spans="1:13" s="922" customFormat="1">
      <c r="A115" s="935"/>
      <c r="B115" s="892" t="s">
        <v>139</v>
      </c>
      <c r="C115" s="1085" t="s">
        <v>1389</v>
      </c>
      <c r="D115" s="408">
        <v>27</v>
      </c>
      <c r="E115" s="936" t="s">
        <v>5</v>
      </c>
      <c r="F115" s="1108">
        <v>250</v>
      </c>
      <c r="G115" s="936">
        <v>0</v>
      </c>
      <c r="H115" s="414">
        <f>F115*D115</f>
        <v>6750</v>
      </c>
      <c r="I115" s="414">
        <f>D115*G115</f>
        <v>0</v>
      </c>
      <c r="J115" s="414">
        <f>H115+I115</f>
        <v>6750</v>
      </c>
      <c r="K115" s="414"/>
      <c r="L115" s="932"/>
      <c r="M115" s="939" t="s">
        <v>1836</v>
      </c>
    </row>
    <row r="116" spans="1:13" s="922" customFormat="1">
      <c r="A116" s="893" t="s">
        <v>1399</v>
      </c>
      <c r="B116" s="2446" t="s">
        <v>1400</v>
      </c>
      <c r="C116" s="2447"/>
      <c r="D116" s="1109"/>
      <c r="E116" s="1110"/>
      <c r="F116" s="1111"/>
      <c r="G116" s="1111"/>
      <c r="H116" s="414"/>
      <c r="I116" s="414"/>
      <c r="J116" s="414"/>
      <c r="K116" s="1111"/>
      <c r="L116" s="1106"/>
      <c r="M116" s="939"/>
    </row>
    <row r="117" spans="1:13" s="922" customFormat="1">
      <c r="A117" s="935"/>
      <c r="B117" s="892" t="s">
        <v>139</v>
      </c>
      <c r="C117" s="1085" t="s">
        <v>1401</v>
      </c>
      <c r="D117" s="408">
        <v>1</v>
      </c>
      <c r="E117" s="936" t="s">
        <v>5</v>
      </c>
      <c r="F117" s="1108">
        <v>17000</v>
      </c>
      <c r="G117" s="936">
        <v>2500</v>
      </c>
      <c r="H117" s="414">
        <f>F117*D117</f>
        <v>17000</v>
      </c>
      <c r="I117" s="414">
        <f>D117*G117</f>
        <v>2500</v>
      </c>
      <c r="J117" s="414">
        <f>H117+I117</f>
        <v>19500</v>
      </c>
      <c r="K117" s="414"/>
      <c r="L117" s="932"/>
      <c r="M117" s="939" t="s">
        <v>1836</v>
      </c>
    </row>
    <row r="118" spans="1:13" s="922" customFormat="1">
      <c r="A118" s="935"/>
      <c r="B118" s="892" t="s">
        <v>139</v>
      </c>
      <c r="C118" s="1085" t="s">
        <v>496</v>
      </c>
      <c r="D118" s="408">
        <v>1</v>
      </c>
      <c r="E118" s="936" t="s">
        <v>5</v>
      </c>
      <c r="F118" s="1108">
        <v>7680</v>
      </c>
      <c r="G118" s="936">
        <v>0</v>
      </c>
      <c r="H118" s="414">
        <f>F118*D118</f>
        <v>7680</v>
      </c>
      <c r="I118" s="414">
        <f>D118*G118</f>
        <v>0</v>
      </c>
      <c r="J118" s="414">
        <f>H118+I118</f>
        <v>7680</v>
      </c>
      <c r="K118" s="414"/>
      <c r="L118" s="932"/>
      <c r="M118" s="939" t="s">
        <v>1836</v>
      </c>
    </row>
    <row r="119" spans="1:13" s="922" customFormat="1">
      <c r="A119" s="935"/>
      <c r="B119" s="892" t="s">
        <v>139</v>
      </c>
      <c r="C119" s="1085" t="s">
        <v>1398</v>
      </c>
      <c r="D119" s="408">
        <v>1</v>
      </c>
      <c r="E119" s="936" t="s">
        <v>5</v>
      </c>
      <c r="F119" s="1108">
        <v>3100</v>
      </c>
      <c r="G119" s="936">
        <v>0</v>
      </c>
      <c r="H119" s="414">
        <f>F119*D119</f>
        <v>3100</v>
      </c>
      <c r="I119" s="414">
        <f>D119*G119</f>
        <v>0</v>
      </c>
      <c r="J119" s="414">
        <f>H119+I119</f>
        <v>3100</v>
      </c>
      <c r="K119" s="414"/>
      <c r="L119" s="932"/>
      <c r="M119" s="939" t="s">
        <v>1836</v>
      </c>
    </row>
    <row r="120" spans="1:13" s="922" customFormat="1">
      <c r="A120" s="935"/>
      <c r="B120" s="892" t="s">
        <v>139</v>
      </c>
      <c r="C120" s="1085" t="s">
        <v>1390</v>
      </c>
      <c r="D120" s="408">
        <v>16</v>
      </c>
      <c r="E120" s="936" t="s">
        <v>5</v>
      </c>
      <c r="F120" s="1108">
        <v>250</v>
      </c>
      <c r="G120" s="936">
        <v>0</v>
      </c>
      <c r="H120" s="414">
        <f>F120*D120</f>
        <v>4000</v>
      </c>
      <c r="I120" s="414">
        <f>D120*G120</f>
        <v>0</v>
      </c>
      <c r="J120" s="414">
        <f>H120+I120</f>
        <v>4000</v>
      </c>
      <c r="K120" s="414"/>
      <c r="L120" s="932"/>
      <c r="M120" s="939" t="s">
        <v>1836</v>
      </c>
    </row>
    <row r="121" spans="1:13" s="922" customFormat="1">
      <c r="A121" s="935"/>
      <c r="B121" s="892" t="s">
        <v>139</v>
      </c>
      <c r="C121" s="1085" t="s">
        <v>1389</v>
      </c>
      <c r="D121" s="408">
        <v>14</v>
      </c>
      <c r="E121" s="936" t="s">
        <v>5</v>
      </c>
      <c r="F121" s="1108">
        <v>250</v>
      </c>
      <c r="G121" s="936">
        <v>0</v>
      </c>
      <c r="H121" s="414">
        <f>F121*D121</f>
        <v>3500</v>
      </c>
      <c r="I121" s="414">
        <f>D121*G121</f>
        <v>0</v>
      </c>
      <c r="J121" s="414">
        <f>H121+I121</f>
        <v>3500</v>
      </c>
      <c r="K121" s="414"/>
      <c r="L121" s="932"/>
      <c r="M121" s="939" t="s">
        <v>1836</v>
      </c>
    </row>
    <row r="122" spans="1:13" s="922" customFormat="1">
      <c r="A122" s="893" t="s">
        <v>1402</v>
      </c>
      <c r="B122" s="2446" t="s">
        <v>1403</v>
      </c>
      <c r="C122" s="2447"/>
      <c r="D122" s="1109"/>
      <c r="E122" s="1110"/>
      <c r="F122" s="1111"/>
      <c r="G122" s="1111"/>
      <c r="H122" s="414"/>
      <c r="I122" s="414"/>
      <c r="J122" s="414"/>
      <c r="K122" s="1111"/>
      <c r="L122" s="1106"/>
      <c r="M122" s="939"/>
    </row>
    <row r="123" spans="1:13" s="922" customFormat="1">
      <c r="A123" s="935"/>
      <c r="B123" s="892" t="s">
        <v>139</v>
      </c>
      <c r="C123" s="1085" t="s">
        <v>1404</v>
      </c>
      <c r="D123" s="408">
        <v>1</v>
      </c>
      <c r="E123" s="936" t="s">
        <v>5</v>
      </c>
      <c r="F123" s="1108">
        <v>12800</v>
      </c>
      <c r="G123" s="936">
        <v>2500</v>
      </c>
      <c r="H123" s="414">
        <f>F123*D123</f>
        <v>12800</v>
      </c>
      <c r="I123" s="414">
        <f>D123*G123</f>
        <v>2500</v>
      </c>
      <c r="J123" s="414">
        <f>H123+I123</f>
        <v>15300</v>
      </c>
      <c r="K123" s="414"/>
      <c r="L123" s="932"/>
      <c r="M123" s="939" t="s">
        <v>1836</v>
      </c>
    </row>
    <row r="124" spans="1:13" s="922" customFormat="1">
      <c r="A124" s="935"/>
      <c r="B124" s="892" t="s">
        <v>139</v>
      </c>
      <c r="C124" s="1085" t="s">
        <v>1389</v>
      </c>
      <c r="D124" s="408">
        <v>33</v>
      </c>
      <c r="E124" s="936" t="s">
        <v>5</v>
      </c>
      <c r="F124" s="1108">
        <v>250</v>
      </c>
      <c r="G124" s="936">
        <v>0</v>
      </c>
      <c r="H124" s="414">
        <f>F124*D124</f>
        <v>8250</v>
      </c>
      <c r="I124" s="414">
        <f>D124*G124</f>
        <v>0</v>
      </c>
      <c r="J124" s="414">
        <f>H124+I124</f>
        <v>8250</v>
      </c>
      <c r="K124" s="414"/>
      <c r="L124" s="932"/>
      <c r="M124" s="939" t="s">
        <v>1836</v>
      </c>
    </row>
    <row r="125" spans="1:13" s="922" customFormat="1">
      <c r="A125" s="2183"/>
      <c r="B125" s="2183"/>
      <c r="C125" s="2183"/>
      <c r="D125" s="2184"/>
      <c r="E125" s="2185"/>
      <c r="F125" s="2185"/>
      <c r="G125" s="2185"/>
      <c r="H125" s="2185"/>
      <c r="I125" s="2185"/>
      <c r="J125" s="2185"/>
      <c r="K125" s="2185"/>
      <c r="L125" s="932"/>
      <c r="M125" s="939"/>
    </row>
    <row r="126" spans="1:13" s="922" customFormat="1">
      <c r="A126" s="2186"/>
      <c r="B126" s="2187"/>
      <c r="C126" s="2186" t="s">
        <v>133</v>
      </c>
      <c r="D126" s="2188"/>
      <c r="E126" s="418"/>
      <c r="F126" s="2189"/>
      <c r="G126" s="2189"/>
      <c r="H126" s="1277"/>
      <c r="I126" s="1277"/>
      <c r="J126" s="2188"/>
      <c r="K126" s="2188"/>
      <c r="L126" s="932"/>
      <c r="M126" s="939"/>
    </row>
    <row r="127" spans="1:13" s="922" customFormat="1">
      <c r="A127" s="1642"/>
      <c r="B127" s="1017"/>
      <c r="C127" s="2407" t="s">
        <v>1769</v>
      </c>
      <c r="D127" s="2407"/>
      <c r="E127" s="1017"/>
      <c r="F127" s="1017"/>
      <c r="G127" s="1017"/>
      <c r="H127" s="1017" t="s">
        <v>134</v>
      </c>
      <c r="I127" s="1017"/>
      <c r="J127" s="1017"/>
      <c r="K127" s="1017"/>
      <c r="L127" s="932"/>
      <c r="M127" s="939"/>
    </row>
    <row r="128" spans="1:13" s="922" customFormat="1">
      <c r="A128" s="1643"/>
      <c r="B128" s="419"/>
      <c r="C128" s="2408" t="s">
        <v>1970</v>
      </c>
      <c r="D128" s="2408"/>
      <c r="E128" s="419"/>
      <c r="F128" s="419"/>
      <c r="G128" s="419"/>
      <c r="H128" s="419" t="s">
        <v>1971</v>
      </c>
      <c r="I128" s="419"/>
      <c r="J128" s="419"/>
      <c r="K128" s="419"/>
      <c r="L128" s="932"/>
      <c r="M128" s="939"/>
    </row>
    <row r="129" spans="1:13" s="922" customFormat="1">
      <c r="A129" s="2188"/>
      <c r="B129" s="1017"/>
      <c r="C129" s="1017" t="s">
        <v>2031</v>
      </c>
      <c r="D129" s="2188"/>
      <c r="E129" s="419"/>
      <c r="F129" s="419"/>
      <c r="G129" s="419"/>
      <c r="H129" s="1017" t="s">
        <v>134</v>
      </c>
      <c r="I129" s="419"/>
      <c r="J129" s="419"/>
      <c r="K129" s="419"/>
      <c r="L129" s="932"/>
      <c r="M129" s="939"/>
    </row>
    <row r="130" spans="1:13" s="922" customFormat="1">
      <c r="A130" s="1017"/>
      <c r="B130" s="419"/>
      <c r="C130" s="419" t="s">
        <v>1984</v>
      </c>
      <c r="D130" s="2188"/>
      <c r="E130" s="1017"/>
      <c r="F130" s="1017"/>
      <c r="G130" s="1017"/>
      <c r="H130" s="419" t="s">
        <v>1985</v>
      </c>
      <c r="I130" s="1017"/>
      <c r="J130" s="1017"/>
      <c r="K130" s="1017"/>
      <c r="L130" s="932"/>
      <c r="M130" s="939"/>
    </row>
    <row r="131" spans="1:13" s="922" customFormat="1">
      <c r="A131" s="2190"/>
      <c r="B131" s="2190"/>
      <c r="C131" s="1017" t="s">
        <v>670</v>
      </c>
      <c r="D131" s="2191"/>
      <c r="E131" s="2192"/>
      <c r="F131" s="2193"/>
      <c r="G131" s="2194"/>
      <c r="H131" s="2194"/>
      <c r="I131" s="2194"/>
      <c r="J131" s="2194"/>
      <c r="K131" s="2194"/>
      <c r="L131" s="932"/>
      <c r="M131" s="939"/>
    </row>
    <row r="132" spans="1:13" s="922" customFormat="1">
      <c r="A132" s="2195"/>
      <c r="B132" s="2195"/>
      <c r="C132" s="2196" t="s">
        <v>1972</v>
      </c>
      <c r="D132" s="2197"/>
      <c r="E132" s="2198"/>
      <c r="F132" s="2199"/>
      <c r="G132" s="2200"/>
      <c r="H132" s="2200"/>
      <c r="I132" s="2200"/>
      <c r="J132" s="2200"/>
      <c r="K132" s="2200"/>
      <c r="L132" s="932"/>
      <c r="M132" s="939"/>
    </row>
    <row r="133" spans="1:13" s="922" customFormat="1">
      <c r="A133" s="935" t="s">
        <v>1405</v>
      </c>
      <c r="B133" s="953" t="s">
        <v>1406</v>
      </c>
      <c r="C133" s="1085"/>
      <c r="D133" s="408"/>
      <c r="E133" s="936"/>
      <c r="F133" s="1108"/>
      <c r="G133" s="936"/>
      <c r="H133" s="414"/>
      <c r="I133" s="414"/>
      <c r="J133" s="414"/>
      <c r="K133" s="414"/>
      <c r="L133" s="932"/>
      <c r="M133" s="939"/>
    </row>
    <row r="134" spans="1:13" s="922" customFormat="1">
      <c r="A134" s="935"/>
      <c r="B134" s="892" t="s">
        <v>139</v>
      </c>
      <c r="C134" s="1085" t="s">
        <v>1394</v>
      </c>
      <c r="D134" s="408">
        <v>1</v>
      </c>
      <c r="E134" s="936" t="s">
        <v>5</v>
      </c>
      <c r="F134" s="1108">
        <v>18400</v>
      </c>
      <c r="G134" s="936">
        <v>2500</v>
      </c>
      <c r="H134" s="414">
        <f>F134*D134</f>
        <v>18400</v>
      </c>
      <c r="I134" s="414">
        <f>D134*G134</f>
        <v>2500</v>
      </c>
      <c r="J134" s="414">
        <f>H134+I134</f>
        <v>20900</v>
      </c>
      <c r="K134" s="414"/>
      <c r="L134" s="932"/>
      <c r="M134" s="939" t="s">
        <v>1836</v>
      </c>
    </row>
    <row r="135" spans="1:13" s="922" customFormat="1">
      <c r="A135" s="935"/>
      <c r="B135" s="892" t="s">
        <v>139</v>
      </c>
      <c r="C135" s="1085" t="s">
        <v>495</v>
      </c>
      <c r="D135" s="408">
        <v>1</v>
      </c>
      <c r="E135" s="936" t="s">
        <v>5</v>
      </c>
      <c r="F135" s="1108">
        <v>7820</v>
      </c>
      <c r="G135" s="936">
        <v>0</v>
      </c>
      <c r="H135" s="414">
        <f>F135*D135</f>
        <v>7820</v>
      </c>
      <c r="I135" s="414">
        <f>D135*G135</f>
        <v>0</v>
      </c>
      <c r="J135" s="414">
        <f>H135+I135</f>
        <v>7820</v>
      </c>
      <c r="K135" s="414"/>
      <c r="L135" s="932"/>
      <c r="M135" s="939" t="s">
        <v>1836</v>
      </c>
    </row>
    <row r="136" spans="1:13" s="922" customFormat="1">
      <c r="A136" s="935"/>
      <c r="B136" s="892" t="s">
        <v>139</v>
      </c>
      <c r="C136" s="1085" t="s">
        <v>1398</v>
      </c>
      <c r="D136" s="408">
        <v>1</v>
      </c>
      <c r="E136" s="936" t="s">
        <v>5</v>
      </c>
      <c r="F136" s="1108">
        <v>3100</v>
      </c>
      <c r="G136" s="936">
        <v>0</v>
      </c>
      <c r="H136" s="414">
        <f>F136*D136</f>
        <v>3100</v>
      </c>
      <c r="I136" s="414">
        <f>D136*G136</f>
        <v>0</v>
      </c>
      <c r="J136" s="414">
        <f>H136+I136</f>
        <v>3100</v>
      </c>
      <c r="K136" s="414"/>
      <c r="L136" s="932"/>
      <c r="M136" s="939" t="s">
        <v>1836</v>
      </c>
    </row>
    <row r="137" spans="1:13" s="922" customFormat="1">
      <c r="A137" s="935"/>
      <c r="B137" s="892" t="s">
        <v>139</v>
      </c>
      <c r="C137" s="1085" t="s">
        <v>1390</v>
      </c>
      <c r="D137" s="408">
        <v>25</v>
      </c>
      <c r="E137" s="936" t="s">
        <v>5</v>
      </c>
      <c r="F137" s="1108">
        <v>250</v>
      </c>
      <c r="G137" s="936">
        <v>0</v>
      </c>
      <c r="H137" s="414">
        <f>F137*D137</f>
        <v>6250</v>
      </c>
      <c r="I137" s="414">
        <f>D137*G137</f>
        <v>0</v>
      </c>
      <c r="J137" s="414">
        <f>H137+I137</f>
        <v>6250</v>
      </c>
      <c r="K137" s="414"/>
      <c r="L137" s="932"/>
      <c r="M137" s="939" t="s">
        <v>1836</v>
      </c>
    </row>
    <row r="138" spans="1:13" s="922" customFormat="1">
      <c r="A138" s="935"/>
      <c r="B138" s="892" t="s">
        <v>139</v>
      </c>
      <c r="C138" s="1085" t="s">
        <v>1389</v>
      </c>
      <c r="D138" s="408">
        <v>11</v>
      </c>
      <c r="E138" s="936" t="s">
        <v>5</v>
      </c>
      <c r="F138" s="1108">
        <v>250</v>
      </c>
      <c r="G138" s="936">
        <v>0</v>
      </c>
      <c r="H138" s="414">
        <f>F138*D138</f>
        <v>2750</v>
      </c>
      <c r="I138" s="414">
        <f>D138*G138</f>
        <v>0</v>
      </c>
      <c r="J138" s="414">
        <f>H138+I138</f>
        <v>2750</v>
      </c>
      <c r="K138" s="414"/>
      <c r="L138" s="932"/>
      <c r="M138" s="939" t="s">
        <v>1836</v>
      </c>
    </row>
    <row r="139" spans="1:13" s="922" customFormat="1">
      <c r="A139" s="893" t="s">
        <v>1409</v>
      </c>
      <c r="B139" s="2446" t="s">
        <v>1407</v>
      </c>
      <c r="C139" s="2447"/>
      <c r="D139" s="1109"/>
      <c r="E139" s="1110"/>
      <c r="F139" s="1111"/>
      <c r="G139" s="1111"/>
      <c r="H139" s="414"/>
      <c r="I139" s="414"/>
      <c r="J139" s="414"/>
      <c r="K139" s="1111"/>
      <c r="L139" s="1106"/>
      <c r="M139" s="939"/>
    </row>
    <row r="140" spans="1:13" s="922" customFormat="1">
      <c r="A140" s="935"/>
      <c r="B140" s="892" t="s">
        <v>139</v>
      </c>
      <c r="C140" s="1085" t="s">
        <v>1408</v>
      </c>
      <c r="D140" s="408">
        <v>1</v>
      </c>
      <c r="E140" s="936" t="s">
        <v>5</v>
      </c>
      <c r="F140" s="1108">
        <v>11400</v>
      </c>
      <c r="G140" s="936">
        <v>2000</v>
      </c>
      <c r="H140" s="414">
        <f>F140*D140</f>
        <v>11400</v>
      </c>
      <c r="I140" s="414">
        <f>D140*G140</f>
        <v>2000</v>
      </c>
      <c r="J140" s="414">
        <f>H140+I140</f>
        <v>13400</v>
      </c>
      <c r="K140" s="414"/>
      <c r="L140" s="932"/>
      <c r="M140" s="939" t="s">
        <v>1836</v>
      </c>
    </row>
    <row r="141" spans="1:13" s="922" customFormat="1">
      <c r="A141" s="935"/>
      <c r="B141" s="892" t="s">
        <v>139</v>
      </c>
      <c r="C141" s="1085" t="s">
        <v>1389</v>
      </c>
      <c r="D141" s="408">
        <v>33</v>
      </c>
      <c r="E141" s="936" t="s">
        <v>5</v>
      </c>
      <c r="F141" s="1108">
        <v>250</v>
      </c>
      <c r="G141" s="936">
        <v>0</v>
      </c>
      <c r="H141" s="414">
        <f>F141*D141</f>
        <v>8250</v>
      </c>
      <c r="I141" s="414">
        <f>D141*G141</f>
        <v>0</v>
      </c>
      <c r="J141" s="414">
        <f>H141+I141</f>
        <v>8250</v>
      </c>
      <c r="K141" s="414"/>
      <c r="L141" s="932"/>
      <c r="M141" s="939" t="s">
        <v>1836</v>
      </c>
    </row>
    <row r="142" spans="1:13" s="922" customFormat="1">
      <c r="A142" s="893" t="s">
        <v>1410</v>
      </c>
      <c r="B142" s="2446" t="s">
        <v>1411</v>
      </c>
      <c r="C142" s="2447"/>
      <c r="D142" s="1109"/>
      <c r="E142" s="1110"/>
      <c r="F142" s="1111"/>
      <c r="G142" s="1111"/>
      <c r="H142" s="414"/>
      <c r="I142" s="414"/>
      <c r="J142" s="414"/>
      <c r="K142" s="1111"/>
      <c r="L142" s="1106"/>
      <c r="M142" s="939"/>
    </row>
    <row r="143" spans="1:13" s="922" customFormat="1">
      <c r="A143" s="935"/>
      <c r="B143" s="892" t="s">
        <v>139</v>
      </c>
      <c r="C143" s="1085" t="s">
        <v>1401</v>
      </c>
      <c r="D143" s="408">
        <v>1</v>
      </c>
      <c r="E143" s="936" t="s">
        <v>5</v>
      </c>
      <c r="F143" s="1108">
        <v>17000</v>
      </c>
      <c r="G143" s="936">
        <v>2500</v>
      </c>
      <c r="H143" s="414">
        <f>F143*D143</f>
        <v>17000</v>
      </c>
      <c r="I143" s="414">
        <f>D143*G143</f>
        <v>2500</v>
      </c>
      <c r="J143" s="414">
        <f>H143+I143</f>
        <v>19500</v>
      </c>
      <c r="K143" s="414"/>
      <c r="L143" s="932"/>
      <c r="M143" s="939" t="s">
        <v>1836</v>
      </c>
    </row>
    <row r="144" spans="1:13" s="922" customFormat="1">
      <c r="A144" s="935"/>
      <c r="B144" s="892" t="s">
        <v>139</v>
      </c>
      <c r="C144" s="1085" t="s">
        <v>496</v>
      </c>
      <c r="D144" s="408">
        <v>1</v>
      </c>
      <c r="E144" s="936" t="s">
        <v>5</v>
      </c>
      <c r="F144" s="1108">
        <v>7680</v>
      </c>
      <c r="G144" s="936">
        <v>0</v>
      </c>
      <c r="H144" s="414">
        <f>F144*D144</f>
        <v>7680</v>
      </c>
      <c r="I144" s="414">
        <f>D144*G144</f>
        <v>0</v>
      </c>
      <c r="J144" s="414">
        <f>H144+I144</f>
        <v>7680</v>
      </c>
      <c r="K144" s="414"/>
      <c r="L144" s="932"/>
      <c r="M144" s="939" t="s">
        <v>1836</v>
      </c>
    </row>
    <row r="145" spans="1:13" s="922" customFormat="1">
      <c r="A145" s="935"/>
      <c r="B145" s="892" t="s">
        <v>139</v>
      </c>
      <c r="C145" s="1085" t="s">
        <v>1398</v>
      </c>
      <c r="D145" s="408">
        <v>1</v>
      </c>
      <c r="E145" s="936" t="s">
        <v>5</v>
      </c>
      <c r="F145" s="1108">
        <v>3100</v>
      </c>
      <c r="G145" s="936">
        <v>0</v>
      </c>
      <c r="H145" s="414">
        <f>F145*D145</f>
        <v>3100</v>
      </c>
      <c r="I145" s="414">
        <f>D145*G145</f>
        <v>0</v>
      </c>
      <c r="J145" s="414">
        <f>H145+I145</f>
        <v>3100</v>
      </c>
      <c r="K145" s="414"/>
      <c r="L145" s="932"/>
      <c r="M145" s="939" t="s">
        <v>1836</v>
      </c>
    </row>
    <row r="146" spans="1:13" s="922" customFormat="1">
      <c r="A146" s="935"/>
      <c r="B146" s="892" t="s">
        <v>139</v>
      </c>
      <c r="C146" s="1085" t="s">
        <v>1390</v>
      </c>
      <c r="D146" s="408">
        <v>16</v>
      </c>
      <c r="E146" s="936" t="s">
        <v>5</v>
      </c>
      <c r="F146" s="1108">
        <v>250</v>
      </c>
      <c r="G146" s="936">
        <v>0</v>
      </c>
      <c r="H146" s="414">
        <f>F146*D146</f>
        <v>4000</v>
      </c>
      <c r="I146" s="414">
        <f>D146*G146</f>
        <v>0</v>
      </c>
      <c r="J146" s="414">
        <f>H146+I146</f>
        <v>4000</v>
      </c>
      <c r="K146" s="414"/>
      <c r="L146" s="932"/>
      <c r="M146" s="939" t="s">
        <v>1836</v>
      </c>
    </row>
    <row r="147" spans="1:13" s="922" customFormat="1">
      <c r="A147" s="935"/>
      <c r="B147" s="892" t="s">
        <v>139</v>
      </c>
      <c r="C147" s="1085" t="s">
        <v>1389</v>
      </c>
      <c r="D147" s="408">
        <v>11</v>
      </c>
      <c r="E147" s="936" t="s">
        <v>5</v>
      </c>
      <c r="F147" s="1108">
        <v>250</v>
      </c>
      <c r="G147" s="936">
        <v>0</v>
      </c>
      <c r="H147" s="414">
        <f>F147*D147</f>
        <v>2750</v>
      </c>
      <c r="I147" s="414">
        <f>D147*G147</f>
        <v>0</v>
      </c>
      <c r="J147" s="414">
        <f>H147+I147</f>
        <v>2750</v>
      </c>
      <c r="K147" s="414"/>
      <c r="L147" s="932"/>
      <c r="M147" s="939" t="s">
        <v>1836</v>
      </c>
    </row>
    <row r="148" spans="1:13" s="922" customFormat="1">
      <c r="A148" s="897" t="s">
        <v>1412</v>
      </c>
      <c r="B148" s="2457" t="s">
        <v>1413</v>
      </c>
      <c r="C148" s="2458"/>
      <c r="D148" s="1103"/>
      <c r="E148" s="1104"/>
      <c r="F148" s="1105"/>
      <c r="G148" s="1105"/>
      <c r="H148" s="449"/>
      <c r="I148" s="449"/>
      <c r="J148" s="449"/>
      <c r="K148" s="1105"/>
      <c r="L148" s="1106"/>
      <c r="M148" s="939"/>
    </row>
    <row r="149" spans="1:13" s="922" customFormat="1">
      <c r="A149" s="935"/>
      <c r="B149" s="892" t="s">
        <v>139</v>
      </c>
      <c r="C149" s="1085" t="s">
        <v>1397</v>
      </c>
      <c r="D149" s="408">
        <v>1</v>
      </c>
      <c r="E149" s="936" t="s">
        <v>5</v>
      </c>
      <c r="F149" s="1108">
        <v>11800</v>
      </c>
      <c r="G149" s="936">
        <v>2000</v>
      </c>
      <c r="H149" s="414">
        <f>F149*D149</f>
        <v>11800</v>
      </c>
      <c r="I149" s="414">
        <f>D149*G149</f>
        <v>2000</v>
      </c>
      <c r="J149" s="414">
        <f>H149+I149</f>
        <v>13800</v>
      </c>
      <c r="K149" s="414"/>
      <c r="L149" s="932"/>
      <c r="M149" s="939" t="s">
        <v>1836</v>
      </c>
    </row>
    <row r="150" spans="1:13" s="922" customFormat="1">
      <c r="A150" s="935"/>
      <c r="B150" s="892" t="s">
        <v>139</v>
      </c>
      <c r="C150" s="1085" t="s">
        <v>1389</v>
      </c>
      <c r="D150" s="408">
        <v>33</v>
      </c>
      <c r="E150" s="936" t="s">
        <v>5</v>
      </c>
      <c r="F150" s="1108">
        <v>250</v>
      </c>
      <c r="G150" s="936">
        <v>0</v>
      </c>
      <c r="H150" s="414">
        <f>F150*D150</f>
        <v>8250</v>
      </c>
      <c r="I150" s="414">
        <f>D150*G150</f>
        <v>0</v>
      </c>
      <c r="J150" s="414">
        <f>H150+I150</f>
        <v>8250</v>
      </c>
      <c r="K150" s="414"/>
      <c r="L150" s="932"/>
      <c r="M150" s="939" t="s">
        <v>1836</v>
      </c>
    </row>
    <row r="151" spans="1:13" s="922" customFormat="1">
      <c r="A151" s="893" t="s">
        <v>1414</v>
      </c>
      <c r="B151" s="2446" t="s">
        <v>1415</v>
      </c>
      <c r="C151" s="2447"/>
      <c r="D151" s="1109"/>
      <c r="E151" s="1110"/>
      <c r="F151" s="1111"/>
      <c r="G151" s="1111"/>
      <c r="H151" s="414"/>
      <c r="I151" s="414"/>
      <c r="J151" s="414"/>
      <c r="K151" s="1111"/>
      <c r="L151" s="1106"/>
      <c r="M151" s="939"/>
    </row>
    <row r="152" spans="1:13" s="922" customFormat="1">
      <c r="A152" s="935"/>
      <c r="B152" s="892" t="s">
        <v>139</v>
      </c>
      <c r="C152" s="1085" t="s">
        <v>1401</v>
      </c>
      <c r="D152" s="408">
        <v>1</v>
      </c>
      <c r="E152" s="936" t="s">
        <v>5</v>
      </c>
      <c r="F152" s="1108">
        <v>17000</v>
      </c>
      <c r="G152" s="936">
        <v>2500</v>
      </c>
      <c r="H152" s="414">
        <f>F152*D152</f>
        <v>17000</v>
      </c>
      <c r="I152" s="414">
        <f>D152*G152</f>
        <v>2500</v>
      </c>
      <c r="J152" s="414">
        <f>H152+I152</f>
        <v>19500</v>
      </c>
      <c r="K152" s="414"/>
      <c r="L152" s="932"/>
      <c r="M152" s="939" t="s">
        <v>1836</v>
      </c>
    </row>
    <row r="153" spans="1:13" s="922" customFormat="1">
      <c r="A153" s="935"/>
      <c r="B153" s="892" t="s">
        <v>139</v>
      </c>
      <c r="C153" s="1085" t="s">
        <v>496</v>
      </c>
      <c r="D153" s="408">
        <v>1</v>
      </c>
      <c r="E153" s="936" t="s">
        <v>5</v>
      </c>
      <c r="F153" s="1108">
        <v>7680</v>
      </c>
      <c r="G153" s="936">
        <v>0</v>
      </c>
      <c r="H153" s="414">
        <f>F153*D153</f>
        <v>7680</v>
      </c>
      <c r="I153" s="414">
        <f>D153*G153</f>
        <v>0</v>
      </c>
      <c r="J153" s="414">
        <f>H153+I153</f>
        <v>7680</v>
      </c>
      <c r="K153" s="414"/>
      <c r="L153" s="932"/>
      <c r="M153" s="939" t="s">
        <v>1836</v>
      </c>
    </row>
    <row r="154" spans="1:13" s="922" customFormat="1">
      <c r="A154" s="935"/>
      <c r="B154" s="892" t="s">
        <v>139</v>
      </c>
      <c r="C154" s="1085" t="s">
        <v>1398</v>
      </c>
      <c r="D154" s="408">
        <v>1</v>
      </c>
      <c r="E154" s="936" t="s">
        <v>5</v>
      </c>
      <c r="F154" s="1108">
        <v>3100</v>
      </c>
      <c r="G154" s="936">
        <v>0</v>
      </c>
      <c r="H154" s="414">
        <f>F154*D154</f>
        <v>3100</v>
      </c>
      <c r="I154" s="414">
        <f>D154*G154</f>
        <v>0</v>
      </c>
      <c r="J154" s="414">
        <f>H154+I154</f>
        <v>3100</v>
      </c>
      <c r="K154" s="414"/>
      <c r="L154" s="932"/>
      <c r="M154" s="939" t="s">
        <v>1836</v>
      </c>
    </row>
    <row r="155" spans="1:13" s="922" customFormat="1">
      <c r="A155" s="935"/>
      <c r="B155" s="892" t="s">
        <v>139</v>
      </c>
      <c r="C155" s="1085" t="s">
        <v>1390</v>
      </c>
      <c r="D155" s="408">
        <v>16</v>
      </c>
      <c r="E155" s="936" t="s">
        <v>5</v>
      </c>
      <c r="F155" s="1108">
        <v>250</v>
      </c>
      <c r="G155" s="936">
        <v>0</v>
      </c>
      <c r="H155" s="414">
        <f>F155*D155</f>
        <v>4000</v>
      </c>
      <c r="I155" s="414">
        <f>D155*G155</f>
        <v>0</v>
      </c>
      <c r="J155" s="414">
        <f>H155+I155</f>
        <v>4000</v>
      </c>
      <c r="K155" s="414"/>
      <c r="L155" s="932"/>
      <c r="M155" s="939" t="s">
        <v>1836</v>
      </c>
    </row>
    <row r="156" spans="1:13" s="922" customFormat="1">
      <c r="A156" s="2183"/>
      <c r="B156" s="2183"/>
      <c r="C156" s="2183"/>
      <c r="D156" s="2184"/>
      <c r="E156" s="2185"/>
      <c r="F156" s="2185"/>
      <c r="G156" s="2185"/>
      <c r="H156" s="2185"/>
      <c r="I156" s="2185"/>
      <c r="J156" s="2185"/>
      <c r="K156" s="2185"/>
      <c r="L156" s="932"/>
      <c r="M156" s="939"/>
    </row>
    <row r="157" spans="1:13" s="922" customFormat="1">
      <c r="A157" s="2186"/>
      <c r="B157" s="2187"/>
      <c r="C157" s="2186" t="s">
        <v>133</v>
      </c>
      <c r="D157" s="2188"/>
      <c r="E157" s="418"/>
      <c r="F157" s="2189"/>
      <c r="G157" s="2189"/>
      <c r="H157" s="1277"/>
      <c r="I157" s="1277"/>
      <c r="J157" s="2188"/>
      <c r="K157" s="2188"/>
      <c r="L157" s="932"/>
      <c r="M157" s="939"/>
    </row>
    <row r="158" spans="1:13" s="922" customFormat="1">
      <c r="A158" s="1642"/>
      <c r="B158" s="1017"/>
      <c r="C158" s="2407" t="s">
        <v>1769</v>
      </c>
      <c r="D158" s="2407"/>
      <c r="E158" s="1017"/>
      <c r="F158" s="1017"/>
      <c r="G158" s="1017"/>
      <c r="H158" s="1017" t="s">
        <v>134</v>
      </c>
      <c r="I158" s="1017"/>
      <c r="J158" s="1017"/>
      <c r="K158" s="1017"/>
      <c r="L158" s="932"/>
      <c r="M158" s="939"/>
    </row>
    <row r="159" spans="1:13" s="922" customFormat="1">
      <c r="A159" s="1643"/>
      <c r="B159" s="419"/>
      <c r="C159" s="2408" t="s">
        <v>1970</v>
      </c>
      <c r="D159" s="2408"/>
      <c r="E159" s="419"/>
      <c r="F159" s="419"/>
      <c r="G159" s="419"/>
      <c r="H159" s="419" t="s">
        <v>1971</v>
      </c>
      <c r="I159" s="419"/>
      <c r="J159" s="419"/>
      <c r="K159" s="419"/>
      <c r="L159" s="932"/>
      <c r="M159" s="939"/>
    </row>
    <row r="160" spans="1:13" s="922" customFormat="1">
      <c r="A160" s="2188"/>
      <c r="B160" s="1017"/>
      <c r="C160" s="1017" t="s">
        <v>2031</v>
      </c>
      <c r="D160" s="2188"/>
      <c r="E160" s="419"/>
      <c r="F160" s="419"/>
      <c r="G160" s="419"/>
      <c r="H160" s="1017" t="s">
        <v>134</v>
      </c>
      <c r="I160" s="419"/>
      <c r="J160" s="419"/>
      <c r="K160" s="419"/>
      <c r="L160" s="932"/>
      <c r="M160" s="939"/>
    </row>
    <row r="161" spans="1:13" s="922" customFormat="1">
      <c r="A161" s="1017"/>
      <c r="B161" s="419"/>
      <c r="C161" s="419" t="s">
        <v>1984</v>
      </c>
      <c r="D161" s="2188"/>
      <c r="E161" s="1017"/>
      <c r="F161" s="1017"/>
      <c r="G161" s="1017"/>
      <c r="H161" s="419" t="s">
        <v>1985</v>
      </c>
      <c r="I161" s="1017"/>
      <c r="J161" s="1017"/>
      <c r="K161" s="1017"/>
      <c r="L161" s="932"/>
      <c r="M161" s="939"/>
    </row>
    <row r="162" spans="1:13" s="922" customFormat="1">
      <c r="A162" s="2190"/>
      <c r="B162" s="2190"/>
      <c r="C162" s="1017" t="s">
        <v>670</v>
      </c>
      <c r="D162" s="2191"/>
      <c r="E162" s="2192"/>
      <c r="F162" s="2193"/>
      <c r="G162" s="2194"/>
      <c r="H162" s="2194"/>
      <c r="I162" s="2194"/>
      <c r="J162" s="2194"/>
      <c r="K162" s="2194"/>
      <c r="L162" s="932"/>
      <c r="M162" s="939"/>
    </row>
    <row r="163" spans="1:13" s="922" customFormat="1">
      <c r="A163" s="2195"/>
      <c r="B163" s="2195"/>
      <c r="C163" s="2196" t="s">
        <v>1972</v>
      </c>
      <c r="D163" s="2197"/>
      <c r="E163" s="2198"/>
      <c r="F163" s="2199"/>
      <c r="G163" s="2200"/>
      <c r="H163" s="2200"/>
      <c r="I163" s="2200"/>
      <c r="J163" s="2200"/>
      <c r="K163" s="2200"/>
      <c r="L163" s="932"/>
      <c r="M163" s="939"/>
    </row>
    <row r="164" spans="1:13" s="922" customFormat="1">
      <c r="A164" s="935"/>
      <c r="B164" s="892" t="s">
        <v>139</v>
      </c>
      <c r="C164" s="1085" t="s">
        <v>1389</v>
      </c>
      <c r="D164" s="408">
        <v>11</v>
      </c>
      <c r="E164" s="936" t="s">
        <v>5</v>
      </c>
      <c r="F164" s="1108">
        <v>250</v>
      </c>
      <c r="G164" s="936">
        <v>0</v>
      </c>
      <c r="H164" s="414">
        <f>F164*D164</f>
        <v>2750</v>
      </c>
      <c r="I164" s="414">
        <f>D164*G164</f>
        <v>0</v>
      </c>
      <c r="J164" s="414">
        <f>H164+I164</f>
        <v>2750</v>
      </c>
      <c r="K164" s="414"/>
      <c r="L164" s="932"/>
      <c r="M164" s="939" t="s">
        <v>1836</v>
      </c>
    </row>
    <row r="165" spans="1:13" s="922" customFormat="1">
      <c r="A165" s="893" t="s">
        <v>1416</v>
      </c>
      <c r="B165" s="2446" t="s">
        <v>1417</v>
      </c>
      <c r="C165" s="2447"/>
      <c r="D165" s="1109"/>
      <c r="E165" s="1110"/>
      <c r="F165" s="1111"/>
      <c r="G165" s="1111"/>
      <c r="H165" s="414"/>
      <c r="I165" s="414"/>
      <c r="J165" s="414"/>
      <c r="K165" s="1111"/>
      <c r="L165" s="1106"/>
      <c r="M165" s="939"/>
    </row>
    <row r="166" spans="1:13" s="922" customFormat="1">
      <c r="A166" s="935"/>
      <c r="B166" s="892" t="s">
        <v>139</v>
      </c>
      <c r="C166" s="1085" t="s">
        <v>1397</v>
      </c>
      <c r="D166" s="408">
        <v>1</v>
      </c>
      <c r="E166" s="936" t="s">
        <v>5</v>
      </c>
      <c r="F166" s="1108">
        <v>11800</v>
      </c>
      <c r="G166" s="936">
        <v>2000</v>
      </c>
      <c r="H166" s="414">
        <f>F166*D166</f>
        <v>11800</v>
      </c>
      <c r="I166" s="414">
        <f>D166*G166</f>
        <v>2000</v>
      </c>
      <c r="J166" s="414">
        <f>H166+I166</f>
        <v>13800</v>
      </c>
      <c r="K166" s="414"/>
      <c r="L166" s="932"/>
      <c r="M166" s="939" t="s">
        <v>1836</v>
      </c>
    </row>
    <row r="167" spans="1:13" s="922" customFormat="1">
      <c r="A167" s="935"/>
      <c r="B167" s="892" t="s">
        <v>139</v>
      </c>
      <c r="C167" s="1085" t="s">
        <v>1389</v>
      </c>
      <c r="D167" s="408">
        <v>24</v>
      </c>
      <c r="E167" s="936" t="s">
        <v>5</v>
      </c>
      <c r="F167" s="1108">
        <v>250</v>
      </c>
      <c r="G167" s="936">
        <v>0</v>
      </c>
      <c r="H167" s="414">
        <f>F167*D167</f>
        <v>6000</v>
      </c>
      <c r="I167" s="414">
        <f>D167*G167</f>
        <v>0</v>
      </c>
      <c r="J167" s="414">
        <f>H167+I167</f>
        <v>6000</v>
      </c>
      <c r="K167" s="414"/>
      <c r="L167" s="932"/>
      <c r="M167" s="939" t="s">
        <v>1836</v>
      </c>
    </row>
    <row r="168" spans="1:13" s="922" customFormat="1">
      <c r="A168" s="893" t="s">
        <v>1419</v>
      </c>
      <c r="B168" s="2446" t="s">
        <v>1418</v>
      </c>
      <c r="C168" s="2447"/>
      <c r="D168" s="1109"/>
      <c r="E168" s="1110"/>
      <c r="F168" s="1111"/>
      <c r="G168" s="1111"/>
      <c r="H168" s="414"/>
      <c r="I168" s="414"/>
      <c r="J168" s="414"/>
      <c r="K168" s="1111"/>
      <c r="L168" s="1106"/>
      <c r="M168" s="939"/>
    </row>
    <row r="169" spans="1:13" s="922" customFormat="1">
      <c r="A169" s="935"/>
      <c r="B169" s="892" t="s">
        <v>139</v>
      </c>
      <c r="C169" s="1085" t="s">
        <v>1387</v>
      </c>
      <c r="D169" s="408">
        <v>1</v>
      </c>
      <c r="E169" s="936" t="s">
        <v>5</v>
      </c>
      <c r="F169" s="1108">
        <v>15000</v>
      </c>
      <c r="G169" s="936">
        <v>2000</v>
      </c>
      <c r="H169" s="414">
        <f>F169*D169</f>
        <v>15000</v>
      </c>
      <c r="I169" s="414">
        <f>D169*G169</f>
        <v>2000</v>
      </c>
      <c r="J169" s="414">
        <f>H169+I169</f>
        <v>17000</v>
      </c>
      <c r="K169" s="414"/>
      <c r="L169" s="932"/>
      <c r="M169" s="939" t="s">
        <v>1836</v>
      </c>
    </row>
    <row r="170" spans="1:13" s="922" customFormat="1">
      <c r="A170" s="935"/>
      <c r="B170" s="892" t="s">
        <v>139</v>
      </c>
      <c r="C170" s="1085" t="s">
        <v>496</v>
      </c>
      <c r="D170" s="408">
        <v>1</v>
      </c>
      <c r="E170" s="936" t="s">
        <v>5</v>
      </c>
      <c r="F170" s="1108">
        <v>7680</v>
      </c>
      <c r="G170" s="936">
        <v>0</v>
      </c>
      <c r="H170" s="414">
        <f>F170*D170</f>
        <v>7680</v>
      </c>
      <c r="I170" s="414">
        <f>D170*G170</f>
        <v>0</v>
      </c>
      <c r="J170" s="414">
        <f>H170+I170</f>
        <v>7680</v>
      </c>
      <c r="K170" s="414"/>
      <c r="L170" s="932"/>
      <c r="M170" s="939" t="s">
        <v>1836</v>
      </c>
    </row>
    <row r="171" spans="1:13" s="922" customFormat="1">
      <c r="A171" s="935"/>
      <c r="B171" s="892" t="s">
        <v>139</v>
      </c>
      <c r="C171" s="1085" t="s">
        <v>1388</v>
      </c>
      <c r="D171" s="408">
        <v>1</v>
      </c>
      <c r="E171" s="936" t="s">
        <v>5</v>
      </c>
      <c r="F171" s="1108">
        <v>3100</v>
      </c>
      <c r="G171" s="936">
        <v>0</v>
      </c>
      <c r="H171" s="414">
        <f>F171*D171</f>
        <v>3100</v>
      </c>
      <c r="I171" s="414">
        <f>D171*G171</f>
        <v>0</v>
      </c>
      <c r="J171" s="414">
        <f>H171+I171</f>
        <v>3100</v>
      </c>
      <c r="K171" s="414"/>
      <c r="L171" s="932"/>
      <c r="M171" s="939" t="s">
        <v>1836</v>
      </c>
    </row>
    <row r="172" spans="1:13" s="922" customFormat="1">
      <c r="A172" s="935"/>
      <c r="B172" s="892" t="s">
        <v>139</v>
      </c>
      <c r="C172" s="1085" t="s">
        <v>1390</v>
      </c>
      <c r="D172" s="408">
        <v>15</v>
      </c>
      <c r="E172" s="936" t="s">
        <v>5</v>
      </c>
      <c r="F172" s="1108">
        <v>250</v>
      </c>
      <c r="G172" s="936">
        <v>0</v>
      </c>
      <c r="H172" s="414">
        <f>F172*D172</f>
        <v>3750</v>
      </c>
      <c r="I172" s="414">
        <f>D172*G172</f>
        <v>0</v>
      </c>
      <c r="J172" s="414">
        <f>H172+I172</f>
        <v>3750</v>
      </c>
      <c r="K172" s="414"/>
      <c r="L172" s="932"/>
      <c r="M172" s="939" t="s">
        <v>1836</v>
      </c>
    </row>
    <row r="173" spans="1:13" s="922" customFormat="1">
      <c r="A173" s="935"/>
      <c r="B173" s="892" t="s">
        <v>139</v>
      </c>
      <c r="C173" s="1085" t="s">
        <v>1389</v>
      </c>
      <c r="D173" s="408">
        <v>12</v>
      </c>
      <c r="E173" s="936" t="s">
        <v>5</v>
      </c>
      <c r="F173" s="1108">
        <v>250</v>
      </c>
      <c r="G173" s="936">
        <v>0</v>
      </c>
      <c r="H173" s="414">
        <f>F173*D173</f>
        <v>3000</v>
      </c>
      <c r="I173" s="414">
        <f>D173*G173</f>
        <v>0</v>
      </c>
      <c r="J173" s="414">
        <f>H173+I173</f>
        <v>3000</v>
      </c>
      <c r="K173" s="414"/>
      <c r="L173" s="932"/>
      <c r="M173" s="939" t="s">
        <v>1836</v>
      </c>
    </row>
    <row r="174" spans="1:13" s="922" customFormat="1">
      <c r="A174" s="893" t="s">
        <v>1420</v>
      </c>
      <c r="B174" s="2446" t="s">
        <v>1421</v>
      </c>
      <c r="C174" s="2447"/>
      <c r="D174" s="1109"/>
      <c r="E174" s="1110"/>
      <c r="F174" s="1111"/>
      <c r="G174" s="1111"/>
      <c r="H174" s="414"/>
      <c r="I174" s="414"/>
      <c r="J174" s="414"/>
      <c r="K174" s="1111"/>
      <c r="L174" s="1106"/>
      <c r="M174" s="939"/>
    </row>
    <row r="175" spans="1:13" s="922" customFormat="1">
      <c r="A175" s="935"/>
      <c r="B175" s="892" t="s">
        <v>139</v>
      </c>
      <c r="C175" s="1085" t="s">
        <v>1397</v>
      </c>
      <c r="D175" s="408">
        <v>1</v>
      </c>
      <c r="E175" s="936" t="s">
        <v>5</v>
      </c>
      <c r="F175" s="1108">
        <v>11800</v>
      </c>
      <c r="G175" s="936">
        <v>2000</v>
      </c>
      <c r="H175" s="414">
        <f>F175*D175</f>
        <v>11800</v>
      </c>
      <c r="I175" s="414">
        <f>D175*G175</f>
        <v>2000</v>
      </c>
      <c r="J175" s="414">
        <f>H175+I175</f>
        <v>13800</v>
      </c>
      <c r="K175" s="414"/>
      <c r="L175" s="932"/>
      <c r="M175" s="939" t="s">
        <v>1836</v>
      </c>
    </row>
    <row r="176" spans="1:13" s="922" customFormat="1">
      <c r="A176" s="935"/>
      <c r="B176" s="892" t="s">
        <v>139</v>
      </c>
      <c r="C176" s="1085" t="s">
        <v>1389</v>
      </c>
      <c r="D176" s="408">
        <v>24</v>
      </c>
      <c r="E176" s="936" t="s">
        <v>5</v>
      </c>
      <c r="F176" s="1108">
        <v>250</v>
      </c>
      <c r="G176" s="936">
        <v>0</v>
      </c>
      <c r="H176" s="414">
        <f>F176*D176</f>
        <v>6000</v>
      </c>
      <c r="I176" s="414">
        <f>D176*G176</f>
        <v>0</v>
      </c>
      <c r="J176" s="414">
        <f>H176+I176</f>
        <v>6000</v>
      </c>
      <c r="K176" s="414"/>
      <c r="L176" s="932"/>
      <c r="M176" s="939" t="s">
        <v>1836</v>
      </c>
    </row>
    <row r="177" spans="1:13" s="922" customFormat="1">
      <c r="A177" s="893" t="s">
        <v>1422</v>
      </c>
      <c r="B177" s="2446" t="s">
        <v>1423</v>
      </c>
      <c r="C177" s="2447"/>
      <c r="D177" s="1109"/>
      <c r="E177" s="1110"/>
      <c r="F177" s="1111"/>
      <c r="G177" s="1111"/>
      <c r="H177" s="414"/>
      <c r="I177" s="414"/>
      <c r="J177" s="414"/>
      <c r="K177" s="1111"/>
      <c r="L177" s="1106"/>
      <c r="M177" s="939"/>
    </row>
    <row r="178" spans="1:13" s="922" customFormat="1">
      <c r="A178" s="935"/>
      <c r="B178" s="892" t="s">
        <v>139</v>
      </c>
      <c r="C178" s="1085" t="s">
        <v>1401</v>
      </c>
      <c r="D178" s="408">
        <v>1</v>
      </c>
      <c r="E178" s="936" t="s">
        <v>5</v>
      </c>
      <c r="F178" s="1108">
        <v>17000</v>
      </c>
      <c r="G178" s="936">
        <v>2000</v>
      </c>
      <c r="H178" s="414">
        <f>F178*D178</f>
        <v>17000</v>
      </c>
      <c r="I178" s="414">
        <f>D178*G178</f>
        <v>2000</v>
      </c>
      <c r="J178" s="414">
        <f>H178+I178</f>
        <v>19000</v>
      </c>
      <c r="K178" s="414"/>
      <c r="L178" s="932"/>
      <c r="M178" s="939" t="s">
        <v>1836</v>
      </c>
    </row>
    <row r="179" spans="1:13" s="922" customFormat="1">
      <c r="A179" s="935"/>
      <c r="B179" s="892" t="s">
        <v>139</v>
      </c>
      <c r="C179" s="1085" t="s">
        <v>496</v>
      </c>
      <c r="D179" s="408">
        <v>1</v>
      </c>
      <c r="E179" s="936" t="s">
        <v>5</v>
      </c>
      <c r="F179" s="1108">
        <v>7680</v>
      </c>
      <c r="G179" s="936">
        <v>0</v>
      </c>
      <c r="H179" s="414">
        <f>F179*D179</f>
        <v>7680</v>
      </c>
      <c r="I179" s="414">
        <f>D179*G179</f>
        <v>0</v>
      </c>
      <c r="J179" s="414">
        <f>H179+I179</f>
        <v>7680</v>
      </c>
      <c r="K179" s="414"/>
      <c r="L179" s="932"/>
      <c r="M179" s="939" t="s">
        <v>1836</v>
      </c>
    </row>
    <row r="180" spans="1:13" s="922" customFormat="1">
      <c r="A180" s="935"/>
      <c r="B180" s="892" t="s">
        <v>139</v>
      </c>
      <c r="C180" s="1085" t="s">
        <v>1388</v>
      </c>
      <c r="D180" s="408">
        <v>1</v>
      </c>
      <c r="E180" s="936" t="s">
        <v>5</v>
      </c>
      <c r="F180" s="1108">
        <v>3100</v>
      </c>
      <c r="G180" s="936">
        <v>0</v>
      </c>
      <c r="H180" s="414">
        <f>F180*D180</f>
        <v>3100</v>
      </c>
      <c r="I180" s="414">
        <f>D180*G180</f>
        <v>0</v>
      </c>
      <c r="J180" s="414">
        <f>H180+I180</f>
        <v>3100</v>
      </c>
      <c r="K180" s="414"/>
      <c r="L180" s="932"/>
      <c r="M180" s="939" t="s">
        <v>1836</v>
      </c>
    </row>
    <row r="181" spans="1:13" s="922" customFormat="1">
      <c r="A181" s="935"/>
      <c r="B181" s="892" t="s">
        <v>139</v>
      </c>
      <c r="C181" s="1085" t="s">
        <v>1390</v>
      </c>
      <c r="D181" s="408">
        <v>15</v>
      </c>
      <c r="E181" s="936" t="s">
        <v>5</v>
      </c>
      <c r="F181" s="1108">
        <v>250</v>
      </c>
      <c r="G181" s="936">
        <v>0</v>
      </c>
      <c r="H181" s="414">
        <f>F181*D181</f>
        <v>3750</v>
      </c>
      <c r="I181" s="414">
        <f>D181*G181</f>
        <v>0</v>
      </c>
      <c r="J181" s="414">
        <f>H181+I181</f>
        <v>3750</v>
      </c>
      <c r="K181" s="414"/>
      <c r="L181" s="932"/>
      <c r="M181" s="939" t="s">
        <v>1836</v>
      </c>
    </row>
    <row r="182" spans="1:13" s="922" customFormat="1">
      <c r="A182" s="935"/>
      <c r="B182" s="892" t="s">
        <v>139</v>
      </c>
      <c r="C182" s="1085" t="s">
        <v>1389</v>
      </c>
      <c r="D182" s="408">
        <v>12</v>
      </c>
      <c r="E182" s="936" t="s">
        <v>5</v>
      </c>
      <c r="F182" s="1108">
        <v>250</v>
      </c>
      <c r="G182" s="936">
        <v>0</v>
      </c>
      <c r="H182" s="414">
        <f>F182*D182</f>
        <v>3000</v>
      </c>
      <c r="I182" s="414">
        <f>D182*G182</f>
        <v>0</v>
      </c>
      <c r="J182" s="414">
        <f>H182+I182</f>
        <v>3000</v>
      </c>
      <c r="K182" s="414"/>
      <c r="L182" s="932"/>
      <c r="M182" s="939" t="s">
        <v>1836</v>
      </c>
    </row>
    <row r="183" spans="1:13" s="922" customFormat="1">
      <c r="A183" s="893" t="s">
        <v>1424</v>
      </c>
      <c r="B183" s="2446" t="s">
        <v>1425</v>
      </c>
      <c r="C183" s="2447"/>
      <c r="D183" s="1109"/>
      <c r="E183" s="1110"/>
      <c r="F183" s="1111"/>
      <c r="G183" s="1111"/>
      <c r="H183" s="414"/>
      <c r="I183" s="414"/>
      <c r="J183" s="414"/>
      <c r="K183" s="1111"/>
      <c r="L183" s="1106"/>
      <c r="M183" s="939"/>
    </row>
    <row r="184" spans="1:13" s="922" customFormat="1">
      <c r="A184" s="935"/>
      <c r="B184" s="892" t="s">
        <v>139</v>
      </c>
      <c r="C184" s="1085" t="s">
        <v>1397</v>
      </c>
      <c r="D184" s="408">
        <v>1</v>
      </c>
      <c r="E184" s="936" t="s">
        <v>5</v>
      </c>
      <c r="F184" s="1108">
        <v>11800</v>
      </c>
      <c r="G184" s="936">
        <v>2000</v>
      </c>
      <c r="H184" s="414">
        <f>F184*D184</f>
        <v>11800</v>
      </c>
      <c r="I184" s="414">
        <f>D184*G184</f>
        <v>2000</v>
      </c>
      <c r="J184" s="414">
        <f>H184+I184</f>
        <v>13800</v>
      </c>
      <c r="K184" s="414"/>
      <c r="L184" s="932"/>
      <c r="M184" s="939" t="s">
        <v>1836</v>
      </c>
    </row>
    <row r="185" spans="1:13" s="922" customFormat="1">
      <c r="A185" s="935"/>
      <c r="B185" s="892" t="s">
        <v>139</v>
      </c>
      <c r="C185" s="1085" t="s">
        <v>1389</v>
      </c>
      <c r="D185" s="408">
        <v>24</v>
      </c>
      <c r="E185" s="936" t="s">
        <v>5</v>
      </c>
      <c r="F185" s="1108">
        <v>250</v>
      </c>
      <c r="G185" s="936">
        <v>0</v>
      </c>
      <c r="H185" s="414">
        <f>F185*D185</f>
        <v>6000</v>
      </c>
      <c r="I185" s="414">
        <f>D185*G185</f>
        <v>0</v>
      </c>
      <c r="J185" s="414">
        <f>H185+I185</f>
        <v>6000</v>
      </c>
      <c r="K185" s="414"/>
      <c r="L185" s="932"/>
      <c r="M185" s="939" t="s">
        <v>1836</v>
      </c>
    </row>
    <row r="186" spans="1:13" s="922" customFormat="1">
      <c r="A186" s="2183"/>
      <c r="B186" s="2183"/>
      <c r="C186" s="2183"/>
      <c r="D186" s="2184"/>
      <c r="E186" s="2185"/>
      <c r="F186" s="2185"/>
      <c r="G186" s="2185"/>
      <c r="H186" s="2185"/>
      <c r="I186" s="2185"/>
      <c r="J186" s="2185"/>
      <c r="K186" s="2185"/>
      <c r="L186" s="932"/>
      <c r="M186" s="939"/>
    </row>
    <row r="187" spans="1:13" s="922" customFormat="1">
      <c r="A187" s="2186"/>
      <c r="B187" s="2187"/>
      <c r="C187" s="2186" t="s">
        <v>133</v>
      </c>
      <c r="D187" s="2188"/>
      <c r="E187" s="418"/>
      <c r="F187" s="2189"/>
      <c r="G187" s="2189"/>
      <c r="H187" s="1277"/>
      <c r="I187" s="1277"/>
      <c r="J187" s="2188"/>
      <c r="K187" s="2188"/>
      <c r="L187" s="932"/>
      <c r="M187" s="939"/>
    </row>
    <row r="188" spans="1:13" s="922" customFormat="1">
      <c r="A188" s="1642"/>
      <c r="B188" s="1017"/>
      <c r="C188" s="2407" t="s">
        <v>1769</v>
      </c>
      <c r="D188" s="2407"/>
      <c r="E188" s="1017"/>
      <c r="F188" s="1017"/>
      <c r="G188" s="1017"/>
      <c r="H188" s="1017" t="s">
        <v>134</v>
      </c>
      <c r="I188" s="1017"/>
      <c r="J188" s="1017"/>
      <c r="K188" s="1017"/>
      <c r="L188" s="932"/>
      <c r="M188" s="939"/>
    </row>
    <row r="189" spans="1:13" s="922" customFormat="1">
      <c r="A189" s="1643"/>
      <c r="B189" s="419"/>
      <c r="C189" s="2408" t="s">
        <v>1970</v>
      </c>
      <c r="D189" s="2408"/>
      <c r="E189" s="419"/>
      <c r="F189" s="419"/>
      <c r="G189" s="419"/>
      <c r="H189" s="419" t="s">
        <v>1971</v>
      </c>
      <c r="I189" s="419"/>
      <c r="J189" s="419"/>
      <c r="K189" s="419"/>
      <c r="L189" s="932"/>
      <c r="M189" s="939"/>
    </row>
    <row r="190" spans="1:13" s="922" customFormat="1">
      <c r="A190" s="2188"/>
      <c r="B190" s="1017"/>
      <c r="C190" s="1017" t="s">
        <v>2031</v>
      </c>
      <c r="D190" s="2188"/>
      <c r="E190" s="419"/>
      <c r="F190" s="419"/>
      <c r="G190" s="419"/>
      <c r="H190" s="1017" t="s">
        <v>134</v>
      </c>
      <c r="I190" s="419"/>
      <c r="J190" s="419"/>
      <c r="K190" s="419"/>
      <c r="L190" s="932"/>
      <c r="M190" s="939"/>
    </row>
    <row r="191" spans="1:13" s="922" customFormat="1">
      <c r="A191" s="1017"/>
      <c r="B191" s="419"/>
      <c r="C191" s="419" t="s">
        <v>1984</v>
      </c>
      <c r="D191" s="2188"/>
      <c r="E191" s="1017"/>
      <c r="F191" s="1017"/>
      <c r="G191" s="1017"/>
      <c r="H191" s="419" t="s">
        <v>1985</v>
      </c>
      <c r="I191" s="1017"/>
      <c r="J191" s="1017"/>
      <c r="K191" s="1017"/>
      <c r="L191" s="932"/>
      <c r="M191" s="939"/>
    </row>
    <row r="192" spans="1:13" s="922" customFormat="1">
      <c r="A192" s="2190"/>
      <c r="B192" s="2190"/>
      <c r="C192" s="1017" t="s">
        <v>670</v>
      </c>
      <c r="D192" s="2191"/>
      <c r="E192" s="2192"/>
      <c r="F192" s="2193"/>
      <c r="G192" s="2194"/>
      <c r="H192" s="2194"/>
      <c r="I192" s="2194"/>
      <c r="J192" s="2194"/>
      <c r="K192" s="2194"/>
      <c r="L192" s="932"/>
      <c r="M192" s="939"/>
    </row>
    <row r="193" spans="1:13" s="922" customFormat="1">
      <c r="A193" s="2195"/>
      <c r="B193" s="2195"/>
      <c r="C193" s="2196" t="s">
        <v>1972</v>
      </c>
      <c r="D193" s="2197"/>
      <c r="E193" s="2198"/>
      <c r="F193" s="2199"/>
      <c r="G193" s="2200"/>
      <c r="H193" s="2200"/>
      <c r="I193" s="2200"/>
      <c r="J193" s="2200"/>
      <c r="K193" s="2200"/>
      <c r="L193" s="932"/>
      <c r="M193" s="939"/>
    </row>
    <row r="194" spans="1:13" s="922" customFormat="1">
      <c r="A194" s="935" t="s">
        <v>1424</v>
      </c>
      <c r="B194" s="953" t="s">
        <v>1426</v>
      </c>
      <c r="C194" s="1085"/>
      <c r="D194" s="408"/>
      <c r="E194" s="936"/>
      <c r="F194" s="1108"/>
      <c r="G194" s="936"/>
      <c r="H194" s="414"/>
      <c r="I194" s="414"/>
      <c r="J194" s="414"/>
      <c r="K194" s="414"/>
      <c r="L194" s="932"/>
      <c r="M194" s="939"/>
    </row>
    <row r="195" spans="1:13" s="922" customFormat="1">
      <c r="A195" s="935"/>
      <c r="B195" s="892" t="s">
        <v>139</v>
      </c>
      <c r="C195" s="1085" t="s">
        <v>1427</v>
      </c>
      <c r="D195" s="408">
        <v>1</v>
      </c>
      <c r="E195" s="936" t="s">
        <v>5</v>
      </c>
      <c r="F195" s="1108">
        <v>10900</v>
      </c>
      <c r="G195" s="936">
        <v>1500</v>
      </c>
      <c r="H195" s="414">
        <f>F195*D195</f>
        <v>10900</v>
      </c>
      <c r="I195" s="414">
        <f>D195*G195</f>
        <v>1500</v>
      </c>
      <c r="J195" s="414">
        <f>H195+I195</f>
        <v>12400</v>
      </c>
      <c r="K195" s="414"/>
      <c r="L195" s="932"/>
      <c r="M195" s="939" t="s">
        <v>1836</v>
      </c>
    </row>
    <row r="196" spans="1:13" s="922" customFormat="1">
      <c r="A196" s="935"/>
      <c r="B196" s="892" t="s">
        <v>139</v>
      </c>
      <c r="C196" s="1085" t="s">
        <v>503</v>
      </c>
      <c r="D196" s="408">
        <v>1</v>
      </c>
      <c r="E196" s="936" t="s">
        <v>5</v>
      </c>
      <c r="F196" s="1108">
        <v>7310</v>
      </c>
      <c r="G196" s="936">
        <v>0</v>
      </c>
      <c r="H196" s="414">
        <f>F196*D196</f>
        <v>7310</v>
      </c>
      <c r="I196" s="414">
        <f>D196*G196</f>
        <v>0</v>
      </c>
      <c r="J196" s="414">
        <f>H196+I196</f>
        <v>7310</v>
      </c>
      <c r="K196" s="414"/>
      <c r="L196" s="932"/>
      <c r="M196" s="939" t="s">
        <v>1836</v>
      </c>
    </row>
    <row r="197" spans="1:13" s="922" customFormat="1">
      <c r="A197" s="935"/>
      <c r="B197" s="892" t="s">
        <v>139</v>
      </c>
      <c r="C197" s="1085" t="s">
        <v>1390</v>
      </c>
      <c r="D197" s="408">
        <v>3</v>
      </c>
      <c r="E197" s="936" t="s">
        <v>5</v>
      </c>
      <c r="F197" s="1108">
        <v>250</v>
      </c>
      <c r="G197" s="936">
        <v>0</v>
      </c>
      <c r="H197" s="414">
        <f>F197*D197</f>
        <v>750</v>
      </c>
      <c r="I197" s="414">
        <f>D197*G197</f>
        <v>0</v>
      </c>
      <c r="J197" s="414">
        <f>H197+I197</f>
        <v>750</v>
      </c>
      <c r="K197" s="414"/>
      <c r="L197" s="932"/>
      <c r="M197" s="939" t="s">
        <v>1836</v>
      </c>
    </row>
    <row r="198" spans="1:13" s="922" customFormat="1">
      <c r="A198" s="935"/>
      <c r="B198" s="892" t="s">
        <v>139</v>
      </c>
      <c r="C198" s="1085" t="s">
        <v>1389</v>
      </c>
      <c r="D198" s="408">
        <v>6</v>
      </c>
      <c r="E198" s="936" t="s">
        <v>5</v>
      </c>
      <c r="F198" s="1108">
        <v>250</v>
      </c>
      <c r="G198" s="936">
        <v>0</v>
      </c>
      <c r="H198" s="414">
        <f>F198*D198</f>
        <v>1500</v>
      </c>
      <c r="I198" s="414">
        <f>D198*G198</f>
        <v>0</v>
      </c>
      <c r="J198" s="414">
        <f>H198+I198</f>
        <v>1500</v>
      </c>
      <c r="K198" s="414"/>
      <c r="L198" s="932"/>
      <c r="M198" s="939" t="s">
        <v>1836</v>
      </c>
    </row>
    <row r="199" spans="1:13" s="922" customFormat="1">
      <c r="A199" s="893" t="s">
        <v>1428</v>
      </c>
      <c r="B199" s="2446" t="s">
        <v>1429</v>
      </c>
      <c r="C199" s="2447"/>
      <c r="D199" s="1109"/>
      <c r="E199" s="1110"/>
      <c r="F199" s="1111"/>
      <c r="G199" s="1111"/>
      <c r="H199" s="414"/>
      <c r="I199" s="414"/>
      <c r="J199" s="414"/>
      <c r="K199" s="1111"/>
      <c r="L199" s="1106"/>
      <c r="M199" s="939"/>
    </row>
    <row r="200" spans="1:13" s="922" customFormat="1">
      <c r="A200" s="935"/>
      <c r="B200" s="892" t="s">
        <v>139</v>
      </c>
      <c r="C200" s="1085" t="s">
        <v>1430</v>
      </c>
      <c r="D200" s="408">
        <v>1</v>
      </c>
      <c r="E200" s="936" t="s">
        <v>5</v>
      </c>
      <c r="F200" s="1108">
        <v>25500</v>
      </c>
      <c r="G200" s="936">
        <v>2500</v>
      </c>
      <c r="H200" s="414">
        <f t="shared" ref="H200:H207" si="18">F200*D200</f>
        <v>25500</v>
      </c>
      <c r="I200" s="414">
        <f t="shared" ref="I200:I207" si="19">D200*G200</f>
        <v>2500</v>
      </c>
      <c r="J200" s="414">
        <f t="shared" ref="J200:J207" si="20">H200+I200</f>
        <v>28000</v>
      </c>
      <c r="K200" s="414"/>
      <c r="L200" s="932"/>
      <c r="M200" s="939" t="s">
        <v>1836</v>
      </c>
    </row>
    <row r="201" spans="1:13" s="922" customFormat="1">
      <c r="A201" s="935"/>
      <c r="B201" s="892" t="s">
        <v>139</v>
      </c>
      <c r="C201" s="1085" t="s">
        <v>506</v>
      </c>
      <c r="D201" s="408">
        <v>1</v>
      </c>
      <c r="E201" s="936" t="s">
        <v>5</v>
      </c>
      <c r="F201" s="1108">
        <v>14400</v>
      </c>
      <c r="G201" s="936">
        <v>0</v>
      </c>
      <c r="H201" s="414">
        <f t="shared" si="18"/>
        <v>14400</v>
      </c>
      <c r="I201" s="414">
        <f t="shared" si="19"/>
        <v>0</v>
      </c>
      <c r="J201" s="414">
        <f t="shared" si="20"/>
        <v>14400</v>
      </c>
      <c r="K201" s="414"/>
      <c r="L201" s="932"/>
      <c r="M201" s="939" t="s">
        <v>1836</v>
      </c>
    </row>
    <row r="202" spans="1:13" s="922" customFormat="1">
      <c r="A202" s="935"/>
      <c r="B202" s="892" t="s">
        <v>139</v>
      </c>
      <c r="C202" s="1085" t="s">
        <v>1565</v>
      </c>
      <c r="D202" s="408">
        <v>1</v>
      </c>
      <c r="E202" s="936" t="s">
        <v>5</v>
      </c>
      <c r="F202" s="1108">
        <v>4780</v>
      </c>
      <c r="G202" s="936">
        <v>0</v>
      </c>
      <c r="H202" s="414">
        <f t="shared" si="18"/>
        <v>4780</v>
      </c>
      <c r="I202" s="414">
        <f t="shared" si="19"/>
        <v>0</v>
      </c>
      <c r="J202" s="414">
        <f t="shared" si="20"/>
        <v>4780</v>
      </c>
      <c r="K202" s="414"/>
      <c r="L202" s="932"/>
      <c r="M202" s="939" t="s">
        <v>1836</v>
      </c>
    </row>
    <row r="203" spans="1:13" s="922" customFormat="1">
      <c r="A203" s="935"/>
      <c r="B203" s="892" t="s">
        <v>139</v>
      </c>
      <c r="C203" s="1085" t="s">
        <v>1433</v>
      </c>
      <c r="D203" s="408">
        <v>1</v>
      </c>
      <c r="E203" s="936" t="s">
        <v>5</v>
      </c>
      <c r="F203" s="1108">
        <v>3790</v>
      </c>
      <c r="G203" s="936">
        <v>0</v>
      </c>
      <c r="H203" s="414">
        <f t="shared" si="18"/>
        <v>3790</v>
      </c>
      <c r="I203" s="414">
        <f t="shared" si="19"/>
        <v>0</v>
      </c>
      <c r="J203" s="414">
        <f t="shared" si="20"/>
        <v>3790</v>
      </c>
      <c r="K203" s="414"/>
      <c r="L203" s="932"/>
      <c r="M203" s="939" t="s">
        <v>1836</v>
      </c>
    </row>
    <row r="204" spans="1:13" s="922" customFormat="1">
      <c r="A204" s="935"/>
      <c r="B204" s="892" t="s">
        <v>139</v>
      </c>
      <c r="C204" s="1085" t="s">
        <v>1432</v>
      </c>
      <c r="D204" s="408">
        <v>1</v>
      </c>
      <c r="E204" s="936" t="s">
        <v>5</v>
      </c>
      <c r="F204" s="1108">
        <v>3790</v>
      </c>
      <c r="G204" s="936">
        <v>0</v>
      </c>
      <c r="H204" s="414">
        <f t="shared" si="18"/>
        <v>3790</v>
      </c>
      <c r="I204" s="414">
        <f t="shared" si="19"/>
        <v>0</v>
      </c>
      <c r="J204" s="414">
        <f t="shared" si="20"/>
        <v>3790</v>
      </c>
      <c r="K204" s="414"/>
      <c r="L204" s="932"/>
      <c r="M204" s="939" t="s">
        <v>1836</v>
      </c>
    </row>
    <row r="205" spans="1:13" s="922" customFormat="1">
      <c r="A205" s="935"/>
      <c r="B205" s="892" t="s">
        <v>139</v>
      </c>
      <c r="C205" s="1085" t="s">
        <v>1431</v>
      </c>
      <c r="D205" s="408">
        <v>2</v>
      </c>
      <c r="E205" s="936" t="s">
        <v>5</v>
      </c>
      <c r="F205" s="1108">
        <v>3100</v>
      </c>
      <c r="G205" s="936">
        <v>0</v>
      </c>
      <c r="H205" s="414">
        <f t="shared" si="18"/>
        <v>6200</v>
      </c>
      <c r="I205" s="414">
        <f t="shared" si="19"/>
        <v>0</v>
      </c>
      <c r="J205" s="414">
        <f t="shared" si="20"/>
        <v>6200</v>
      </c>
      <c r="K205" s="414"/>
      <c r="L205" s="932"/>
      <c r="M205" s="939" t="s">
        <v>1836</v>
      </c>
    </row>
    <row r="206" spans="1:13" s="922" customFormat="1">
      <c r="A206" s="935"/>
      <c r="B206" s="892" t="s">
        <v>139</v>
      </c>
      <c r="C206" s="1085" t="s">
        <v>1390</v>
      </c>
      <c r="D206" s="408">
        <v>6</v>
      </c>
      <c r="E206" s="936" t="s">
        <v>5</v>
      </c>
      <c r="F206" s="1108">
        <v>250</v>
      </c>
      <c r="G206" s="936">
        <v>0</v>
      </c>
      <c r="H206" s="414">
        <f t="shared" si="18"/>
        <v>1500</v>
      </c>
      <c r="I206" s="414">
        <f t="shared" si="19"/>
        <v>0</v>
      </c>
      <c r="J206" s="414">
        <f t="shared" si="20"/>
        <v>1500</v>
      </c>
      <c r="K206" s="414"/>
      <c r="L206" s="932"/>
      <c r="M206" s="939" t="s">
        <v>1836</v>
      </c>
    </row>
    <row r="207" spans="1:13" s="922" customFormat="1">
      <c r="A207" s="935"/>
      <c r="B207" s="892" t="s">
        <v>139</v>
      </c>
      <c r="C207" s="1085" t="s">
        <v>1389</v>
      </c>
      <c r="D207" s="408">
        <v>15</v>
      </c>
      <c r="E207" s="936" t="s">
        <v>5</v>
      </c>
      <c r="F207" s="1108">
        <v>250</v>
      </c>
      <c r="G207" s="936">
        <v>0</v>
      </c>
      <c r="H207" s="414">
        <f t="shared" si="18"/>
        <v>3750</v>
      </c>
      <c r="I207" s="414">
        <f t="shared" si="19"/>
        <v>0</v>
      </c>
      <c r="J207" s="414">
        <f t="shared" si="20"/>
        <v>3750</v>
      </c>
      <c r="K207" s="414"/>
      <c r="L207" s="932"/>
      <c r="M207" s="939" t="s">
        <v>1836</v>
      </c>
    </row>
    <row r="208" spans="1:13" s="922" customFormat="1">
      <c r="A208" s="893" t="s">
        <v>1434</v>
      </c>
      <c r="B208" s="2446" t="s">
        <v>1435</v>
      </c>
      <c r="C208" s="2447"/>
      <c r="D208" s="1109"/>
      <c r="E208" s="1110"/>
      <c r="F208" s="1111"/>
      <c r="G208" s="1111"/>
      <c r="H208" s="414"/>
      <c r="I208" s="414"/>
      <c r="J208" s="414"/>
      <c r="K208" s="1111"/>
      <c r="L208" s="1106"/>
      <c r="M208" s="939"/>
    </row>
    <row r="209" spans="1:13" s="922" customFormat="1">
      <c r="A209" s="935"/>
      <c r="B209" s="892" t="s">
        <v>139</v>
      </c>
      <c r="C209" s="1085" t="s">
        <v>1436</v>
      </c>
      <c r="D209" s="408">
        <v>1</v>
      </c>
      <c r="E209" s="936" t="s">
        <v>5</v>
      </c>
      <c r="F209" s="1108">
        <v>12900</v>
      </c>
      <c r="G209" s="936">
        <v>1500</v>
      </c>
      <c r="H209" s="414">
        <f>F209*D209</f>
        <v>12900</v>
      </c>
      <c r="I209" s="414">
        <f>D209*G209</f>
        <v>1500</v>
      </c>
      <c r="J209" s="414">
        <f>H209+I209</f>
        <v>14400</v>
      </c>
      <c r="K209" s="414"/>
      <c r="L209" s="932"/>
      <c r="M209" s="939" t="s">
        <v>1836</v>
      </c>
    </row>
    <row r="210" spans="1:13" s="922" customFormat="1">
      <c r="A210" s="935"/>
      <c r="B210" s="892" t="s">
        <v>139</v>
      </c>
      <c r="C210" s="1085" t="s">
        <v>502</v>
      </c>
      <c r="D210" s="408">
        <v>1</v>
      </c>
      <c r="E210" s="936" t="s">
        <v>5</v>
      </c>
      <c r="F210" s="1108">
        <v>7310</v>
      </c>
      <c r="G210" s="936">
        <v>0</v>
      </c>
      <c r="H210" s="414">
        <f>F210*D210</f>
        <v>7310</v>
      </c>
      <c r="I210" s="414">
        <f>D210*G210</f>
        <v>0</v>
      </c>
      <c r="J210" s="414">
        <f>H210+I210</f>
        <v>7310</v>
      </c>
      <c r="K210" s="414"/>
      <c r="L210" s="932"/>
      <c r="M210" s="939" t="s">
        <v>1836</v>
      </c>
    </row>
    <row r="211" spans="1:13" s="922" customFormat="1">
      <c r="A211" s="935"/>
      <c r="B211" s="892" t="s">
        <v>139</v>
      </c>
      <c r="C211" s="1085" t="s">
        <v>1390</v>
      </c>
      <c r="D211" s="408">
        <v>3</v>
      </c>
      <c r="E211" s="936" t="s">
        <v>5</v>
      </c>
      <c r="F211" s="1108">
        <v>250</v>
      </c>
      <c r="G211" s="936">
        <v>0</v>
      </c>
      <c r="H211" s="414">
        <f>F211*D211</f>
        <v>750</v>
      </c>
      <c r="I211" s="414">
        <f>D211*G211</f>
        <v>0</v>
      </c>
      <c r="J211" s="414">
        <f>H211+I211</f>
        <v>750</v>
      </c>
      <c r="K211" s="414"/>
      <c r="L211" s="932"/>
      <c r="M211" s="939" t="s">
        <v>1836</v>
      </c>
    </row>
    <row r="212" spans="1:13" s="922" customFormat="1">
      <c r="A212" s="935"/>
      <c r="B212" s="892" t="s">
        <v>139</v>
      </c>
      <c r="C212" s="1085" t="s">
        <v>1389</v>
      </c>
      <c r="D212" s="408">
        <v>16</v>
      </c>
      <c r="E212" s="936" t="s">
        <v>5</v>
      </c>
      <c r="F212" s="1108">
        <v>250</v>
      </c>
      <c r="G212" s="936">
        <v>0</v>
      </c>
      <c r="H212" s="414">
        <f>F212*D212</f>
        <v>4000</v>
      </c>
      <c r="I212" s="414">
        <f>D212*G212</f>
        <v>0</v>
      </c>
      <c r="J212" s="414">
        <f>H212+I212</f>
        <v>4000</v>
      </c>
      <c r="K212" s="414"/>
      <c r="L212" s="932"/>
      <c r="M212" s="939" t="s">
        <v>1836</v>
      </c>
    </row>
    <row r="213" spans="1:13" s="922" customFormat="1">
      <c r="A213" s="893" t="s">
        <v>1437</v>
      </c>
      <c r="B213" s="2446" t="s">
        <v>1438</v>
      </c>
      <c r="C213" s="2447"/>
      <c r="D213" s="1109"/>
      <c r="E213" s="1110"/>
      <c r="F213" s="1111"/>
      <c r="G213" s="1111"/>
      <c r="H213" s="414"/>
      <c r="I213" s="414"/>
      <c r="J213" s="414"/>
      <c r="K213" s="1111"/>
      <c r="L213" s="1106"/>
      <c r="M213" s="939"/>
    </row>
    <row r="214" spans="1:13" s="922" customFormat="1">
      <c r="A214" s="935"/>
      <c r="B214" s="892" t="s">
        <v>139</v>
      </c>
      <c r="C214" s="1085" t="s">
        <v>1427</v>
      </c>
      <c r="D214" s="408">
        <v>1</v>
      </c>
      <c r="E214" s="936" t="s">
        <v>5</v>
      </c>
      <c r="F214" s="1108">
        <v>10900</v>
      </c>
      <c r="G214" s="936">
        <v>1500</v>
      </c>
      <c r="H214" s="414">
        <f>F214*D214</f>
        <v>10900</v>
      </c>
      <c r="I214" s="414">
        <f>D214*G214</f>
        <v>1500</v>
      </c>
      <c r="J214" s="414">
        <f>H214+I214</f>
        <v>12400</v>
      </c>
      <c r="K214" s="414"/>
      <c r="L214" s="932"/>
      <c r="M214" s="939" t="s">
        <v>1836</v>
      </c>
    </row>
    <row r="215" spans="1:13" s="922" customFormat="1">
      <c r="A215" s="935"/>
      <c r="B215" s="892" t="s">
        <v>139</v>
      </c>
      <c r="C215" s="1085" t="s">
        <v>503</v>
      </c>
      <c r="D215" s="408">
        <v>1</v>
      </c>
      <c r="E215" s="936" t="s">
        <v>5</v>
      </c>
      <c r="F215" s="1108">
        <v>7310</v>
      </c>
      <c r="G215" s="936">
        <v>0</v>
      </c>
      <c r="H215" s="414">
        <f>F215*D215</f>
        <v>7310</v>
      </c>
      <c r="I215" s="414">
        <f>D215*G215</f>
        <v>0</v>
      </c>
      <c r="J215" s="414">
        <f>H215+I215</f>
        <v>7310</v>
      </c>
      <c r="K215" s="414"/>
      <c r="L215" s="932"/>
      <c r="M215" s="939" t="s">
        <v>1836</v>
      </c>
    </row>
    <row r="216" spans="1:13" s="922" customFormat="1">
      <c r="A216" s="935"/>
      <c r="B216" s="892" t="s">
        <v>139</v>
      </c>
      <c r="C216" s="1085" t="s">
        <v>1390</v>
      </c>
      <c r="D216" s="408">
        <v>1</v>
      </c>
      <c r="E216" s="936" t="s">
        <v>5</v>
      </c>
      <c r="F216" s="1108">
        <v>250</v>
      </c>
      <c r="G216" s="936">
        <v>0</v>
      </c>
      <c r="H216" s="414">
        <f>F216*D216</f>
        <v>250</v>
      </c>
      <c r="I216" s="414">
        <f>D216*G216</f>
        <v>0</v>
      </c>
      <c r="J216" s="414">
        <f>H216+I216</f>
        <v>250</v>
      </c>
      <c r="K216" s="414"/>
      <c r="L216" s="932"/>
      <c r="M216" s="939" t="s">
        <v>1836</v>
      </c>
    </row>
    <row r="217" spans="1:13" s="922" customFormat="1">
      <c r="A217" s="2183"/>
      <c r="B217" s="2183"/>
      <c r="C217" s="2183"/>
      <c r="D217" s="2184"/>
      <c r="E217" s="2185"/>
      <c r="F217" s="2185"/>
      <c r="G217" s="2185"/>
      <c r="H217" s="2185"/>
      <c r="I217" s="2185"/>
      <c r="J217" s="2185"/>
      <c r="K217" s="2185"/>
      <c r="L217" s="932"/>
      <c r="M217" s="939"/>
    </row>
    <row r="218" spans="1:13" s="922" customFormat="1">
      <c r="A218" s="2186"/>
      <c r="B218" s="2187"/>
      <c r="C218" s="2186" t="s">
        <v>133</v>
      </c>
      <c r="D218" s="2188"/>
      <c r="E218" s="418"/>
      <c r="F218" s="2189"/>
      <c r="G218" s="2189"/>
      <c r="H218" s="1277"/>
      <c r="I218" s="1277"/>
      <c r="J218" s="2188"/>
      <c r="K218" s="2188"/>
      <c r="L218" s="932"/>
      <c r="M218" s="939"/>
    </row>
    <row r="219" spans="1:13" s="922" customFormat="1">
      <c r="A219" s="1642"/>
      <c r="B219" s="1017"/>
      <c r="C219" s="2407" t="s">
        <v>1769</v>
      </c>
      <c r="D219" s="2407"/>
      <c r="E219" s="1017"/>
      <c r="F219" s="1017"/>
      <c r="G219" s="1017"/>
      <c r="H219" s="1017" t="s">
        <v>134</v>
      </c>
      <c r="I219" s="1017"/>
      <c r="J219" s="1017"/>
      <c r="K219" s="1017"/>
      <c r="L219" s="932"/>
      <c r="M219" s="939"/>
    </row>
    <row r="220" spans="1:13" s="922" customFormat="1">
      <c r="A220" s="1643"/>
      <c r="B220" s="419"/>
      <c r="C220" s="2408" t="s">
        <v>1970</v>
      </c>
      <c r="D220" s="2408"/>
      <c r="E220" s="419"/>
      <c r="F220" s="419"/>
      <c r="G220" s="419"/>
      <c r="H220" s="419" t="s">
        <v>1971</v>
      </c>
      <c r="I220" s="419"/>
      <c r="J220" s="419"/>
      <c r="K220" s="419"/>
      <c r="L220" s="932"/>
      <c r="M220" s="939"/>
    </row>
    <row r="221" spans="1:13" s="922" customFormat="1">
      <c r="A221" s="2188"/>
      <c r="B221" s="1017"/>
      <c r="C221" s="1017" t="s">
        <v>2031</v>
      </c>
      <c r="D221" s="2188"/>
      <c r="E221" s="419"/>
      <c r="F221" s="419"/>
      <c r="G221" s="419"/>
      <c r="H221" s="1017" t="s">
        <v>134</v>
      </c>
      <c r="I221" s="419"/>
      <c r="J221" s="419"/>
      <c r="K221" s="419"/>
      <c r="L221" s="932"/>
      <c r="M221" s="939"/>
    </row>
    <row r="222" spans="1:13" s="922" customFormat="1">
      <c r="A222" s="1017"/>
      <c r="B222" s="419"/>
      <c r="C222" s="419" t="s">
        <v>1984</v>
      </c>
      <c r="D222" s="2188"/>
      <c r="E222" s="1017"/>
      <c r="F222" s="1017"/>
      <c r="G222" s="1017"/>
      <c r="H222" s="419" t="s">
        <v>1985</v>
      </c>
      <c r="I222" s="1017"/>
      <c r="J222" s="1017"/>
      <c r="K222" s="1017"/>
      <c r="L222" s="932"/>
      <c r="M222" s="939"/>
    </row>
    <row r="223" spans="1:13" s="922" customFormat="1">
      <c r="A223" s="2190"/>
      <c r="B223" s="2190"/>
      <c r="C223" s="1017" t="s">
        <v>670</v>
      </c>
      <c r="D223" s="2191"/>
      <c r="E223" s="2192"/>
      <c r="F223" s="2193"/>
      <c r="G223" s="2194"/>
      <c r="H223" s="2194"/>
      <c r="I223" s="2194"/>
      <c r="J223" s="2194"/>
      <c r="K223" s="2194"/>
      <c r="L223" s="932"/>
      <c r="M223" s="939"/>
    </row>
    <row r="224" spans="1:13" s="922" customFormat="1">
      <c r="A224" s="2195"/>
      <c r="B224" s="2195"/>
      <c r="C224" s="2196" t="s">
        <v>1972</v>
      </c>
      <c r="D224" s="2197"/>
      <c r="E224" s="2198"/>
      <c r="F224" s="2199"/>
      <c r="G224" s="2200"/>
      <c r="H224" s="2200"/>
      <c r="I224" s="2200"/>
      <c r="J224" s="2200"/>
      <c r="K224" s="2200"/>
      <c r="L224" s="932"/>
      <c r="M224" s="939"/>
    </row>
    <row r="225" spans="1:13" s="922" customFormat="1">
      <c r="A225" s="935"/>
      <c r="B225" s="892" t="s">
        <v>139</v>
      </c>
      <c r="C225" s="1085" t="s">
        <v>1389</v>
      </c>
      <c r="D225" s="408">
        <v>8</v>
      </c>
      <c r="E225" s="936" t="s">
        <v>5</v>
      </c>
      <c r="F225" s="1108">
        <v>250</v>
      </c>
      <c r="G225" s="936">
        <v>0</v>
      </c>
      <c r="H225" s="414">
        <f>F225*D225</f>
        <v>2000</v>
      </c>
      <c r="I225" s="414">
        <f>D225*G225</f>
        <v>0</v>
      </c>
      <c r="J225" s="414">
        <f>H225+I225</f>
        <v>2000</v>
      </c>
      <c r="K225" s="414"/>
      <c r="L225" s="932"/>
      <c r="M225" s="939" t="s">
        <v>1836</v>
      </c>
    </row>
    <row r="226" spans="1:13" s="922" customFormat="1">
      <c r="A226" s="893" t="s">
        <v>1439</v>
      </c>
      <c r="B226" s="2446" t="s">
        <v>1440</v>
      </c>
      <c r="C226" s="2447"/>
      <c r="D226" s="1109"/>
      <c r="E226" s="1110"/>
      <c r="F226" s="1111"/>
      <c r="G226" s="1111"/>
      <c r="H226" s="414"/>
      <c r="I226" s="414"/>
      <c r="J226" s="414"/>
      <c r="K226" s="414"/>
      <c r="L226" s="932"/>
      <c r="M226" s="939"/>
    </row>
    <row r="227" spans="1:13" s="922" customFormat="1">
      <c r="A227" s="935"/>
      <c r="B227" s="892" t="s">
        <v>139</v>
      </c>
      <c r="C227" s="1085" t="s">
        <v>1427</v>
      </c>
      <c r="D227" s="408">
        <v>1</v>
      </c>
      <c r="E227" s="936" t="s">
        <v>5</v>
      </c>
      <c r="F227" s="1108">
        <v>10900</v>
      </c>
      <c r="G227" s="936">
        <v>1500</v>
      </c>
      <c r="H227" s="414">
        <f>F227*D227</f>
        <v>10900</v>
      </c>
      <c r="I227" s="414">
        <f>D227*G227</f>
        <v>1500</v>
      </c>
      <c r="J227" s="414">
        <f>H227+I227</f>
        <v>12400</v>
      </c>
      <c r="K227" s="414"/>
      <c r="L227" s="932"/>
      <c r="M227" s="939" t="s">
        <v>1836</v>
      </c>
    </row>
    <row r="228" spans="1:13" s="922" customFormat="1">
      <c r="A228" s="935"/>
      <c r="B228" s="892" t="s">
        <v>139</v>
      </c>
      <c r="C228" s="1085" t="s">
        <v>503</v>
      </c>
      <c r="D228" s="408">
        <v>1</v>
      </c>
      <c r="E228" s="936" t="s">
        <v>5</v>
      </c>
      <c r="F228" s="1108">
        <v>7310</v>
      </c>
      <c r="G228" s="936">
        <v>0</v>
      </c>
      <c r="H228" s="414">
        <f>F228*D228</f>
        <v>7310</v>
      </c>
      <c r="I228" s="414">
        <f>D228*G228</f>
        <v>0</v>
      </c>
      <c r="J228" s="414">
        <f>H228+I228</f>
        <v>7310</v>
      </c>
      <c r="K228" s="414"/>
      <c r="L228" s="932"/>
      <c r="M228" s="939" t="s">
        <v>1836</v>
      </c>
    </row>
    <row r="229" spans="1:13" s="922" customFormat="1">
      <c r="A229" s="935"/>
      <c r="B229" s="892" t="s">
        <v>139</v>
      </c>
      <c r="C229" s="1085" t="s">
        <v>1390</v>
      </c>
      <c r="D229" s="408">
        <v>1</v>
      </c>
      <c r="E229" s="936" t="s">
        <v>5</v>
      </c>
      <c r="F229" s="1108">
        <v>250</v>
      </c>
      <c r="G229" s="936">
        <v>0</v>
      </c>
      <c r="H229" s="414">
        <f>F229*D229</f>
        <v>250</v>
      </c>
      <c r="I229" s="414">
        <f>D229*G229</f>
        <v>0</v>
      </c>
      <c r="J229" s="414">
        <f>H229+I229</f>
        <v>250</v>
      </c>
      <c r="K229" s="414"/>
      <c r="L229" s="932"/>
      <c r="M229" s="939" t="s">
        <v>1836</v>
      </c>
    </row>
    <row r="230" spans="1:13" s="922" customFormat="1">
      <c r="A230" s="935"/>
      <c r="B230" s="892" t="s">
        <v>139</v>
      </c>
      <c r="C230" s="1085" t="s">
        <v>1389</v>
      </c>
      <c r="D230" s="408">
        <v>8</v>
      </c>
      <c r="E230" s="936" t="s">
        <v>5</v>
      </c>
      <c r="F230" s="1108">
        <v>250</v>
      </c>
      <c r="G230" s="936">
        <v>0</v>
      </c>
      <c r="H230" s="414">
        <f>F230*D230</f>
        <v>2000</v>
      </c>
      <c r="I230" s="414">
        <f>D230*G230</f>
        <v>0</v>
      </c>
      <c r="J230" s="414">
        <f>H230+I230</f>
        <v>2000</v>
      </c>
      <c r="K230" s="414"/>
      <c r="L230" s="932"/>
      <c r="M230" s="939" t="s">
        <v>1836</v>
      </c>
    </row>
    <row r="231" spans="1:13" s="922" customFormat="1">
      <c r="A231" s="893" t="s">
        <v>1441</v>
      </c>
      <c r="B231" s="2446" t="s">
        <v>1442</v>
      </c>
      <c r="C231" s="2447"/>
      <c r="D231" s="1109"/>
      <c r="E231" s="1110"/>
      <c r="F231" s="1111"/>
      <c r="G231" s="1111"/>
      <c r="H231" s="414"/>
      <c r="I231" s="414"/>
      <c r="J231" s="414"/>
      <c r="K231" s="414"/>
      <c r="L231" s="932"/>
      <c r="M231" s="939"/>
    </row>
    <row r="232" spans="1:13" s="922" customFormat="1">
      <c r="A232" s="935"/>
      <c r="B232" s="892" t="s">
        <v>139</v>
      </c>
      <c r="C232" s="1085" t="s">
        <v>1427</v>
      </c>
      <c r="D232" s="408">
        <v>1</v>
      </c>
      <c r="E232" s="936" t="s">
        <v>5</v>
      </c>
      <c r="F232" s="1108">
        <v>10900</v>
      </c>
      <c r="G232" s="936">
        <v>1500</v>
      </c>
      <c r="H232" s="414">
        <f>F232*D232</f>
        <v>10900</v>
      </c>
      <c r="I232" s="414">
        <f>D232*G232</f>
        <v>1500</v>
      </c>
      <c r="J232" s="414">
        <f>H232+I232</f>
        <v>12400</v>
      </c>
      <c r="K232" s="414"/>
      <c r="L232" s="932"/>
      <c r="M232" s="939" t="s">
        <v>1836</v>
      </c>
    </row>
    <row r="233" spans="1:13" s="922" customFormat="1">
      <c r="A233" s="935"/>
      <c r="B233" s="892" t="s">
        <v>139</v>
      </c>
      <c r="C233" s="1085" t="s">
        <v>503</v>
      </c>
      <c r="D233" s="408">
        <v>1</v>
      </c>
      <c r="E233" s="936" t="s">
        <v>5</v>
      </c>
      <c r="F233" s="1108">
        <v>7310</v>
      </c>
      <c r="G233" s="936">
        <v>0</v>
      </c>
      <c r="H233" s="414">
        <f>F233*D233</f>
        <v>7310</v>
      </c>
      <c r="I233" s="414">
        <f>D233*G233</f>
        <v>0</v>
      </c>
      <c r="J233" s="414">
        <f>H233+I233</f>
        <v>7310</v>
      </c>
      <c r="K233" s="414"/>
      <c r="L233" s="932"/>
      <c r="M233" s="939" t="s">
        <v>1836</v>
      </c>
    </row>
    <row r="234" spans="1:13" s="922" customFormat="1">
      <c r="A234" s="935"/>
      <c r="B234" s="892" t="s">
        <v>139</v>
      </c>
      <c r="C234" s="1085" t="s">
        <v>1390</v>
      </c>
      <c r="D234" s="408">
        <v>1</v>
      </c>
      <c r="E234" s="936" t="s">
        <v>5</v>
      </c>
      <c r="F234" s="1108">
        <v>250</v>
      </c>
      <c r="G234" s="936">
        <v>0</v>
      </c>
      <c r="H234" s="414">
        <f>F234*D234</f>
        <v>250</v>
      </c>
      <c r="I234" s="414">
        <f>D234*G234</f>
        <v>0</v>
      </c>
      <c r="J234" s="414">
        <f>H234+I234</f>
        <v>250</v>
      </c>
      <c r="K234" s="414"/>
      <c r="L234" s="932"/>
      <c r="M234" s="939" t="s">
        <v>1836</v>
      </c>
    </row>
    <row r="235" spans="1:13" s="922" customFormat="1">
      <c r="A235" s="935"/>
      <c r="B235" s="892" t="s">
        <v>139</v>
      </c>
      <c r="C235" s="1085" t="s">
        <v>1389</v>
      </c>
      <c r="D235" s="408">
        <v>8</v>
      </c>
      <c r="E235" s="936" t="s">
        <v>5</v>
      </c>
      <c r="F235" s="1108">
        <v>250</v>
      </c>
      <c r="G235" s="936">
        <v>0</v>
      </c>
      <c r="H235" s="414">
        <f>F235*D235</f>
        <v>2000</v>
      </c>
      <c r="I235" s="414">
        <f>D235*G235</f>
        <v>0</v>
      </c>
      <c r="J235" s="414">
        <f>H235+I235</f>
        <v>2000</v>
      </c>
      <c r="K235" s="414"/>
      <c r="L235" s="932"/>
      <c r="M235" s="939" t="s">
        <v>1836</v>
      </c>
    </row>
    <row r="236" spans="1:13" s="922" customFormat="1">
      <c r="A236" s="893" t="s">
        <v>1443</v>
      </c>
      <c r="B236" s="2446" t="s">
        <v>1444</v>
      </c>
      <c r="C236" s="2447"/>
      <c r="D236" s="1109"/>
      <c r="E236" s="1110"/>
      <c r="F236" s="1111"/>
      <c r="G236" s="1111"/>
      <c r="H236" s="414"/>
      <c r="I236" s="414"/>
      <c r="J236" s="414"/>
      <c r="K236" s="414"/>
      <c r="L236" s="932"/>
      <c r="M236" s="939"/>
    </row>
    <row r="237" spans="1:13" s="922" customFormat="1">
      <c r="A237" s="935"/>
      <c r="B237" s="892" t="s">
        <v>139</v>
      </c>
      <c r="C237" s="1085" t="s">
        <v>1427</v>
      </c>
      <c r="D237" s="408">
        <v>1</v>
      </c>
      <c r="E237" s="936" t="s">
        <v>5</v>
      </c>
      <c r="F237" s="1108">
        <v>10900</v>
      </c>
      <c r="G237" s="936">
        <v>1500</v>
      </c>
      <c r="H237" s="414">
        <f>F237*D237</f>
        <v>10900</v>
      </c>
      <c r="I237" s="414">
        <f>D237*G237</f>
        <v>1500</v>
      </c>
      <c r="J237" s="414">
        <f>H237+I237</f>
        <v>12400</v>
      </c>
      <c r="K237" s="414"/>
      <c r="L237" s="932"/>
      <c r="M237" s="939" t="s">
        <v>1836</v>
      </c>
    </row>
    <row r="238" spans="1:13" s="922" customFormat="1">
      <c r="A238" s="935"/>
      <c r="B238" s="892" t="s">
        <v>139</v>
      </c>
      <c r="C238" s="1085" t="s">
        <v>503</v>
      </c>
      <c r="D238" s="408">
        <v>1</v>
      </c>
      <c r="E238" s="936" t="s">
        <v>5</v>
      </c>
      <c r="F238" s="1108">
        <v>7310</v>
      </c>
      <c r="G238" s="936">
        <v>0</v>
      </c>
      <c r="H238" s="414">
        <f>F238*D238</f>
        <v>7310</v>
      </c>
      <c r="I238" s="414">
        <f>D238*G238</f>
        <v>0</v>
      </c>
      <c r="J238" s="414">
        <f>H238+I238</f>
        <v>7310</v>
      </c>
      <c r="K238" s="414"/>
      <c r="L238" s="932"/>
      <c r="M238" s="939" t="s">
        <v>1836</v>
      </c>
    </row>
    <row r="239" spans="1:13" s="922" customFormat="1">
      <c r="A239" s="933"/>
      <c r="B239" s="896" t="s">
        <v>139</v>
      </c>
      <c r="C239" s="1100" t="s">
        <v>1390</v>
      </c>
      <c r="D239" s="410">
        <v>1</v>
      </c>
      <c r="E239" s="934" t="s">
        <v>5</v>
      </c>
      <c r="F239" s="1112">
        <v>250</v>
      </c>
      <c r="G239" s="934">
        <v>0</v>
      </c>
      <c r="H239" s="449">
        <f>F239*D239</f>
        <v>250</v>
      </c>
      <c r="I239" s="449">
        <f>D239*G239</f>
        <v>0</v>
      </c>
      <c r="J239" s="449">
        <f>H239+I239</f>
        <v>250</v>
      </c>
      <c r="K239" s="449"/>
      <c r="L239" s="932"/>
      <c r="M239" s="939" t="s">
        <v>1836</v>
      </c>
    </row>
    <row r="240" spans="1:13" s="922" customFormat="1">
      <c r="A240" s="935"/>
      <c r="B240" s="892" t="s">
        <v>139</v>
      </c>
      <c r="C240" s="1085" t="s">
        <v>1389</v>
      </c>
      <c r="D240" s="408">
        <v>8</v>
      </c>
      <c r="E240" s="936" t="s">
        <v>5</v>
      </c>
      <c r="F240" s="1108">
        <v>250</v>
      </c>
      <c r="G240" s="936">
        <v>0</v>
      </c>
      <c r="H240" s="414">
        <f>F240*D240</f>
        <v>2000</v>
      </c>
      <c r="I240" s="414">
        <f>D240*G240</f>
        <v>0</v>
      </c>
      <c r="J240" s="414">
        <f>H240+I240</f>
        <v>2000</v>
      </c>
      <c r="K240" s="414"/>
      <c r="L240" s="932"/>
      <c r="M240" s="939" t="s">
        <v>1836</v>
      </c>
    </row>
    <row r="241" spans="1:13" s="922" customFormat="1">
      <c r="A241" s="893" t="s">
        <v>1445</v>
      </c>
      <c r="B241" s="2446" t="s">
        <v>1446</v>
      </c>
      <c r="C241" s="2447"/>
      <c r="D241" s="1109"/>
      <c r="E241" s="1110"/>
      <c r="F241" s="1111"/>
      <c r="G241" s="1111"/>
      <c r="H241" s="414"/>
      <c r="I241" s="414"/>
      <c r="J241" s="414"/>
      <c r="K241" s="414"/>
      <c r="L241" s="932"/>
      <c r="M241" s="939"/>
    </row>
    <row r="242" spans="1:13" s="922" customFormat="1">
      <c r="A242" s="935"/>
      <c r="B242" s="892" t="s">
        <v>139</v>
      </c>
      <c r="C242" s="1085" t="s">
        <v>1427</v>
      </c>
      <c r="D242" s="408">
        <v>1</v>
      </c>
      <c r="E242" s="936" t="s">
        <v>5</v>
      </c>
      <c r="F242" s="1108">
        <v>10900</v>
      </c>
      <c r="G242" s="936">
        <v>1500</v>
      </c>
      <c r="H242" s="414">
        <f>F242*D242</f>
        <v>10900</v>
      </c>
      <c r="I242" s="414">
        <f>D242*G242</f>
        <v>1500</v>
      </c>
      <c r="J242" s="414">
        <f>H242+I242</f>
        <v>12400</v>
      </c>
      <c r="K242" s="414"/>
      <c r="L242" s="932"/>
      <c r="M242" s="939" t="s">
        <v>1836</v>
      </c>
    </row>
    <row r="243" spans="1:13" s="922" customFormat="1">
      <c r="A243" s="935"/>
      <c r="B243" s="892" t="s">
        <v>139</v>
      </c>
      <c r="C243" s="1085" t="s">
        <v>503</v>
      </c>
      <c r="D243" s="408">
        <v>1</v>
      </c>
      <c r="E243" s="936" t="s">
        <v>5</v>
      </c>
      <c r="F243" s="1108">
        <v>7310</v>
      </c>
      <c r="G243" s="936">
        <v>0</v>
      </c>
      <c r="H243" s="414">
        <f>F243*D243</f>
        <v>7310</v>
      </c>
      <c r="I243" s="414">
        <f>D243*G243</f>
        <v>0</v>
      </c>
      <c r="J243" s="414">
        <f>H243+I243</f>
        <v>7310</v>
      </c>
      <c r="K243" s="414"/>
      <c r="L243" s="932"/>
      <c r="M243" s="939" t="s">
        <v>1836</v>
      </c>
    </row>
    <row r="244" spans="1:13" s="922" customFormat="1">
      <c r="A244" s="935"/>
      <c r="B244" s="892" t="s">
        <v>139</v>
      </c>
      <c r="C244" s="1085" t="s">
        <v>1390</v>
      </c>
      <c r="D244" s="408">
        <v>1</v>
      </c>
      <c r="E244" s="936" t="s">
        <v>5</v>
      </c>
      <c r="F244" s="1108">
        <v>250</v>
      </c>
      <c r="G244" s="936">
        <v>0</v>
      </c>
      <c r="H244" s="414">
        <f>F244*D244</f>
        <v>250</v>
      </c>
      <c r="I244" s="414">
        <f>D244*G244</f>
        <v>0</v>
      </c>
      <c r="J244" s="414">
        <f>H244+I244</f>
        <v>250</v>
      </c>
      <c r="K244" s="414"/>
      <c r="L244" s="932"/>
      <c r="M244" s="939" t="s">
        <v>1836</v>
      </c>
    </row>
    <row r="245" spans="1:13" s="922" customFormat="1">
      <c r="A245" s="935"/>
      <c r="B245" s="892" t="s">
        <v>139</v>
      </c>
      <c r="C245" s="1085" t="s">
        <v>1389</v>
      </c>
      <c r="D245" s="408">
        <v>8</v>
      </c>
      <c r="E245" s="936" t="s">
        <v>5</v>
      </c>
      <c r="F245" s="1108">
        <v>250</v>
      </c>
      <c r="G245" s="936">
        <v>0</v>
      </c>
      <c r="H245" s="414">
        <f>F245*D245</f>
        <v>2000</v>
      </c>
      <c r="I245" s="414">
        <f>D245*G245</f>
        <v>0</v>
      </c>
      <c r="J245" s="414">
        <f>H245+I245</f>
        <v>2000</v>
      </c>
      <c r="K245" s="414"/>
      <c r="L245" s="932"/>
      <c r="M245" s="939" t="s">
        <v>1836</v>
      </c>
    </row>
    <row r="246" spans="1:13" s="922" customFormat="1">
      <c r="A246" s="893" t="s">
        <v>1447</v>
      </c>
      <c r="B246" s="2446" t="s">
        <v>1448</v>
      </c>
      <c r="C246" s="2447"/>
      <c r="D246" s="1109"/>
      <c r="E246" s="1110"/>
      <c r="F246" s="1111"/>
      <c r="G246" s="1111"/>
      <c r="H246" s="414"/>
      <c r="I246" s="414"/>
      <c r="J246" s="414"/>
      <c r="K246" s="414"/>
      <c r="L246" s="932"/>
      <c r="M246" s="939"/>
    </row>
    <row r="247" spans="1:13" s="922" customFormat="1">
      <c r="A247" s="935"/>
      <c r="B247" s="892" t="s">
        <v>139</v>
      </c>
      <c r="C247" s="1085" t="s">
        <v>1427</v>
      </c>
      <c r="D247" s="408">
        <v>1</v>
      </c>
      <c r="E247" s="936" t="s">
        <v>5</v>
      </c>
      <c r="F247" s="1108">
        <v>10900</v>
      </c>
      <c r="G247" s="936">
        <v>1500</v>
      </c>
      <c r="H247" s="414">
        <f>F247*D247</f>
        <v>10900</v>
      </c>
      <c r="I247" s="414">
        <f>D247*G247</f>
        <v>1500</v>
      </c>
      <c r="J247" s="414">
        <f>H247+I247</f>
        <v>12400</v>
      </c>
      <c r="K247" s="414"/>
      <c r="L247" s="932"/>
      <c r="M247" s="939" t="s">
        <v>1836</v>
      </c>
    </row>
    <row r="248" spans="1:13" s="922" customFormat="1">
      <c r="A248" s="2183"/>
      <c r="B248" s="2183"/>
      <c r="C248" s="2183"/>
      <c r="D248" s="2184"/>
      <c r="E248" s="2185"/>
      <c r="F248" s="2185"/>
      <c r="G248" s="2185"/>
      <c r="H248" s="2185"/>
      <c r="I248" s="2185"/>
      <c r="J248" s="2185"/>
      <c r="K248" s="2185"/>
      <c r="L248" s="932"/>
      <c r="M248" s="939"/>
    </row>
    <row r="249" spans="1:13" s="922" customFormat="1">
      <c r="A249" s="2186"/>
      <c r="B249" s="2187"/>
      <c r="C249" s="2186" t="s">
        <v>133</v>
      </c>
      <c r="D249" s="2188"/>
      <c r="E249" s="418"/>
      <c r="F249" s="2189"/>
      <c r="G249" s="2189"/>
      <c r="H249" s="1277"/>
      <c r="I249" s="1277"/>
      <c r="J249" s="2188"/>
      <c r="K249" s="2188"/>
      <c r="L249" s="932"/>
      <c r="M249" s="939"/>
    </row>
    <row r="250" spans="1:13" s="922" customFormat="1">
      <c r="A250" s="1642"/>
      <c r="B250" s="1017"/>
      <c r="C250" s="2407" t="s">
        <v>1769</v>
      </c>
      <c r="D250" s="2407"/>
      <c r="E250" s="1017"/>
      <c r="F250" s="1017"/>
      <c r="G250" s="1017"/>
      <c r="H250" s="1017" t="s">
        <v>134</v>
      </c>
      <c r="I250" s="1017"/>
      <c r="J250" s="1017"/>
      <c r="K250" s="1017"/>
      <c r="L250" s="932"/>
      <c r="M250" s="939"/>
    </row>
    <row r="251" spans="1:13" s="922" customFormat="1">
      <c r="A251" s="1643"/>
      <c r="B251" s="419"/>
      <c r="C251" s="2408" t="s">
        <v>1970</v>
      </c>
      <c r="D251" s="2408"/>
      <c r="E251" s="419"/>
      <c r="F251" s="419"/>
      <c r="G251" s="419"/>
      <c r="H251" s="419" t="s">
        <v>1971</v>
      </c>
      <c r="I251" s="419"/>
      <c r="J251" s="419"/>
      <c r="K251" s="419"/>
      <c r="L251" s="932"/>
      <c r="M251" s="939"/>
    </row>
    <row r="252" spans="1:13" s="922" customFormat="1">
      <c r="A252" s="2188"/>
      <c r="B252" s="1017"/>
      <c r="C252" s="1017" t="s">
        <v>2031</v>
      </c>
      <c r="D252" s="2188"/>
      <c r="E252" s="419"/>
      <c r="F252" s="419"/>
      <c r="G252" s="419"/>
      <c r="H252" s="1017" t="s">
        <v>134</v>
      </c>
      <c r="I252" s="419"/>
      <c r="J252" s="419"/>
      <c r="K252" s="419"/>
      <c r="L252" s="932"/>
      <c r="M252" s="939"/>
    </row>
    <row r="253" spans="1:13" s="922" customFormat="1">
      <c r="A253" s="1017"/>
      <c r="B253" s="419"/>
      <c r="C253" s="419" t="s">
        <v>1984</v>
      </c>
      <c r="D253" s="2188"/>
      <c r="E253" s="1017"/>
      <c r="F253" s="1017"/>
      <c r="G253" s="1017"/>
      <c r="H253" s="419" t="s">
        <v>1985</v>
      </c>
      <c r="I253" s="1017"/>
      <c r="J253" s="1017"/>
      <c r="K253" s="1017"/>
      <c r="L253" s="932"/>
      <c r="M253" s="939"/>
    </row>
    <row r="254" spans="1:13" s="922" customFormat="1">
      <c r="A254" s="2190"/>
      <c r="B254" s="2190"/>
      <c r="C254" s="1017" t="s">
        <v>670</v>
      </c>
      <c r="D254" s="2191"/>
      <c r="E254" s="2192"/>
      <c r="F254" s="2193"/>
      <c r="G254" s="2194"/>
      <c r="H254" s="2194"/>
      <c r="I254" s="2194"/>
      <c r="J254" s="2194"/>
      <c r="K254" s="2194"/>
      <c r="L254" s="932"/>
      <c r="M254" s="939"/>
    </row>
    <row r="255" spans="1:13" s="922" customFormat="1">
      <c r="A255" s="2195"/>
      <c r="B255" s="2195"/>
      <c r="C255" s="2196" t="s">
        <v>1972</v>
      </c>
      <c r="D255" s="2197"/>
      <c r="E255" s="2198"/>
      <c r="F255" s="2199"/>
      <c r="G255" s="2200"/>
      <c r="H255" s="2200"/>
      <c r="I255" s="2200"/>
      <c r="J255" s="2200"/>
      <c r="K255" s="2200"/>
      <c r="L255" s="932"/>
      <c r="M255" s="939"/>
    </row>
    <row r="256" spans="1:13" s="922" customFormat="1">
      <c r="A256" s="935"/>
      <c r="B256" s="892" t="s">
        <v>139</v>
      </c>
      <c r="C256" s="1085" t="s">
        <v>503</v>
      </c>
      <c r="D256" s="408">
        <v>1</v>
      </c>
      <c r="E256" s="936" t="s">
        <v>5</v>
      </c>
      <c r="F256" s="1108">
        <v>7310</v>
      </c>
      <c r="G256" s="936">
        <v>0</v>
      </c>
      <c r="H256" s="414">
        <f>F256*D256</f>
        <v>7310</v>
      </c>
      <c r="I256" s="414">
        <f>D256*G256</f>
        <v>0</v>
      </c>
      <c r="J256" s="414">
        <f>H256+I256</f>
        <v>7310</v>
      </c>
      <c r="K256" s="414"/>
      <c r="L256" s="932"/>
      <c r="M256" s="939" t="s">
        <v>1836</v>
      </c>
    </row>
    <row r="257" spans="1:13" s="922" customFormat="1">
      <c r="A257" s="935"/>
      <c r="B257" s="892" t="s">
        <v>139</v>
      </c>
      <c r="C257" s="1085" t="s">
        <v>1390</v>
      </c>
      <c r="D257" s="408">
        <v>1</v>
      </c>
      <c r="E257" s="936" t="s">
        <v>5</v>
      </c>
      <c r="F257" s="1108">
        <v>250</v>
      </c>
      <c r="G257" s="936">
        <v>0</v>
      </c>
      <c r="H257" s="414">
        <f>F257*D257</f>
        <v>250</v>
      </c>
      <c r="I257" s="414">
        <f>D257*G257</f>
        <v>0</v>
      </c>
      <c r="J257" s="414">
        <f>H257+I257</f>
        <v>250</v>
      </c>
      <c r="K257" s="414"/>
      <c r="L257" s="932"/>
      <c r="M257" s="939" t="s">
        <v>1836</v>
      </c>
    </row>
    <row r="258" spans="1:13" s="922" customFormat="1">
      <c r="A258" s="935"/>
      <c r="B258" s="892" t="s">
        <v>139</v>
      </c>
      <c r="C258" s="1085" t="s">
        <v>1389</v>
      </c>
      <c r="D258" s="408">
        <v>8</v>
      </c>
      <c r="E258" s="936" t="s">
        <v>5</v>
      </c>
      <c r="F258" s="1108">
        <v>250</v>
      </c>
      <c r="G258" s="936">
        <v>0</v>
      </c>
      <c r="H258" s="414">
        <f>F258*D258</f>
        <v>2000</v>
      </c>
      <c r="I258" s="414">
        <f>D258*G258</f>
        <v>0</v>
      </c>
      <c r="J258" s="414">
        <f>H258+I258</f>
        <v>2000</v>
      </c>
      <c r="K258" s="414"/>
      <c r="L258" s="932"/>
      <c r="M258" s="939" t="s">
        <v>1836</v>
      </c>
    </row>
    <row r="259" spans="1:13" s="922" customFormat="1">
      <c r="A259" s="893" t="s">
        <v>1449</v>
      </c>
      <c r="B259" s="2446" t="s">
        <v>1450</v>
      </c>
      <c r="C259" s="2447"/>
      <c r="D259" s="1109"/>
      <c r="E259" s="1110"/>
      <c r="F259" s="1111"/>
      <c r="G259" s="1111"/>
      <c r="H259" s="414"/>
      <c r="I259" s="414"/>
      <c r="J259" s="414"/>
      <c r="K259" s="414"/>
      <c r="L259" s="932"/>
      <c r="M259" s="939"/>
    </row>
    <row r="260" spans="1:13" s="922" customFormat="1">
      <c r="A260" s="935"/>
      <c r="B260" s="892" t="s">
        <v>139</v>
      </c>
      <c r="C260" s="1085" t="s">
        <v>1427</v>
      </c>
      <c r="D260" s="408">
        <v>1</v>
      </c>
      <c r="E260" s="936" t="s">
        <v>5</v>
      </c>
      <c r="F260" s="1108">
        <v>10900</v>
      </c>
      <c r="G260" s="936">
        <v>1500</v>
      </c>
      <c r="H260" s="414">
        <f>F260*D260</f>
        <v>10900</v>
      </c>
      <c r="I260" s="414">
        <f>D260*G260</f>
        <v>1500</v>
      </c>
      <c r="J260" s="414">
        <f>H260+I260</f>
        <v>12400</v>
      </c>
      <c r="K260" s="414"/>
      <c r="L260" s="932"/>
      <c r="M260" s="939" t="s">
        <v>1836</v>
      </c>
    </row>
    <row r="261" spans="1:13" s="922" customFormat="1">
      <c r="A261" s="935"/>
      <c r="B261" s="892" t="s">
        <v>139</v>
      </c>
      <c r="C261" s="1085" t="s">
        <v>503</v>
      </c>
      <c r="D261" s="408">
        <v>1</v>
      </c>
      <c r="E261" s="936" t="s">
        <v>5</v>
      </c>
      <c r="F261" s="1108">
        <v>7310</v>
      </c>
      <c r="G261" s="936">
        <v>0</v>
      </c>
      <c r="H261" s="414">
        <f>F261*D261</f>
        <v>7310</v>
      </c>
      <c r="I261" s="414">
        <f>D261*G261</f>
        <v>0</v>
      </c>
      <c r="J261" s="414">
        <f>H261+I261</f>
        <v>7310</v>
      </c>
      <c r="K261" s="414"/>
      <c r="L261" s="932"/>
      <c r="M261" s="939" t="s">
        <v>1836</v>
      </c>
    </row>
    <row r="262" spans="1:13" s="922" customFormat="1">
      <c r="A262" s="935"/>
      <c r="B262" s="892" t="s">
        <v>139</v>
      </c>
      <c r="C262" s="1085" t="s">
        <v>1390</v>
      </c>
      <c r="D262" s="408">
        <v>1</v>
      </c>
      <c r="E262" s="936" t="s">
        <v>5</v>
      </c>
      <c r="F262" s="1108">
        <v>250</v>
      </c>
      <c r="G262" s="936">
        <v>0</v>
      </c>
      <c r="H262" s="414">
        <f>F262*D262</f>
        <v>250</v>
      </c>
      <c r="I262" s="414">
        <f>D262*G262</f>
        <v>0</v>
      </c>
      <c r="J262" s="414">
        <f>H262+I262</f>
        <v>250</v>
      </c>
      <c r="K262" s="414"/>
      <c r="L262" s="932"/>
      <c r="M262" s="939" t="s">
        <v>1836</v>
      </c>
    </row>
    <row r="263" spans="1:13" s="922" customFormat="1">
      <c r="A263" s="935"/>
      <c r="B263" s="892" t="s">
        <v>139</v>
      </c>
      <c r="C263" s="1085" t="s">
        <v>1389</v>
      </c>
      <c r="D263" s="408">
        <v>8</v>
      </c>
      <c r="E263" s="936" t="s">
        <v>5</v>
      </c>
      <c r="F263" s="1108">
        <v>250</v>
      </c>
      <c r="G263" s="936">
        <v>0</v>
      </c>
      <c r="H263" s="414">
        <f>F263*D263</f>
        <v>2000</v>
      </c>
      <c r="I263" s="414">
        <f>D263*G263</f>
        <v>0</v>
      </c>
      <c r="J263" s="414">
        <f>H263+I263</f>
        <v>2000</v>
      </c>
      <c r="K263" s="414"/>
      <c r="L263" s="932"/>
      <c r="M263" s="939" t="s">
        <v>1836</v>
      </c>
    </row>
    <row r="264" spans="1:13" s="922" customFormat="1">
      <c r="A264" s="893" t="s">
        <v>1451</v>
      </c>
      <c r="B264" s="2446" t="s">
        <v>1452</v>
      </c>
      <c r="C264" s="2447"/>
      <c r="D264" s="1109"/>
      <c r="E264" s="1110"/>
      <c r="F264" s="1111"/>
      <c r="G264" s="1111"/>
      <c r="H264" s="414"/>
      <c r="I264" s="414"/>
      <c r="J264" s="414"/>
      <c r="K264" s="414"/>
      <c r="L264" s="932"/>
      <c r="M264" s="939"/>
    </row>
    <row r="265" spans="1:13" s="922" customFormat="1">
      <c r="A265" s="935"/>
      <c r="B265" s="892" t="s">
        <v>139</v>
      </c>
      <c r="C265" s="1085" t="s">
        <v>1427</v>
      </c>
      <c r="D265" s="408">
        <v>1</v>
      </c>
      <c r="E265" s="936" t="s">
        <v>5</v>
      </c>
      <c r="F265" s="1108">
        <v>10900</v>
      </c>
      <c r="G265" s="936">
        <v>1500</v>
      </c>
      <c r="H265" s="414">
        <f>F265*D265</f>
        <v>10900</v>
      </c>
      <c r="I265" s="414">
        <f>D265*G265</f>
        <v>1500</v>
      </c>
      <c r="J265" s="414">
        <f>H265+I265</f>
        <v>12400</v>
      </c>
      <c r="K265" s="414"/>
      <c r="L265" s="932"/>
      <c r="M265" s="939" t="s">
        <v>1836</v>
      </c>
    </row>
    <row r="266" spans="1:13" s="922" customFormat="1">
      <c r="A266" s="935"/>
      <c r="B266" s="892" t="s">
        <v>139</v>
      </c>
      <c r="C266" s="1085" t="s">
        <v>503</v>
      </c>
      <c r="D266" s="408">
        <v>1</v>
      </c>
      <c r="E266" s="936" t="s">
        <v>5</v>
      </c>
      <c r="F266" s="1108">
        <v>7310</v>
      </c>
      <c r="G266" s="936">
        <v>0</v>
      </c>
      <c r="H266" s="414">
        <f>F266*D266</f>
        <v>7310</v>
      </c>
      <c r="I266" s="414">
        <f>D266*G266</f>
        <v>0</v>
      </c>
      <c r="J266" s="414">
        <f>H266+I266</f>
        <v>7310</v>
      </c>
      <c r="K266" s="414"/>
      <c r="L266" s="932"/>
      <c r="M266" s="939" t="s">
        <v>1836</v>
      </c>
    </row>
    <row r="267" spans="1:13" s="922" customFormat="1">
      <c r="A267" s="935"/>
      <c r="B267" s="892" t="s">
        <v>139</v>
      </c>
      <c r="C267" s="1085" t="s">
        <v>1390</v>
      </c>
      <c r="D267" s="408">
        <v>1</v>
      </c>
      <c r="E267" s="936" t="s">
        <v>5</v>
      </c>
      <c r="F267" s="1108">
        <v>250</v>
      </c>
      <c r="G267" s="936">
        <v>0</v>
      </c>
      <c r="H267" s="414">
        <f>F267*D267</f>
        <v>250</v>
      </c>
      <c r="I267" s="414">
        <f>D267*G267</f>
        <v>0</v>
      </c>
      <c r="J267" s="414">
        <f>H267+I267</f>
        <v>250</v>
      </c>
      <c r="K267" s="414"/>
      <c r="L267" s="932"/>
      <c r="M267" s="939" t="s">
        <v>1836</v>
      </c>
    </row>
    <row r="268" spans="1:13" s="922" customFormat="1">
      <c r="A268" s="935"/>
      <c r="B268" s="892" t="s">
        <v>139</v>
      </c>
      <c r="C268" s="1085" t="s">
        <v>1389</v>
      </c>
      <c r="D268" s="408">
        <v>8</v>
      </c>
      <c r="E268" s="936" t="s">
        <v>5</v>
      </c>
      <c r="F268" s="1108">
        <v>250</v>
      </c>
      <c r="G268" s="936">
        <v>0</v>
      </c>
      <c r="H268" s="414">
        <f>F268*D268</f>
        <v>2000</v>
      </c>
      <c r="I268" s="414">
        <f>D268*G268</f>
        <v>0</v>
      </c>
      <c r="J268" s="414">
        <f>H268+I268</f>
        <v>2000</v>
      </c>
      <c r="K268" s="414"/>
      <c r="L268" s="932"/>
      <c r="M268" s="939" t="s">
        <v>1836</v>
      </c>
    </row>
    <row r="269" spans="1:13" s="922" customFormat="1">
      <c r="A269" s="935"/>
      <c r="B269" s="892"/>
      <c r="C269" s="1085"/>
      <c r="D269" s="408"/>
      <c r="E269" s="936"/>
      <c r="F269" s="1108"/>
      <c r="G269" s="936"/>
      <c r="H269" s="414"/>
      <c r="I269" s="414"/>
      <c r="J269" s="414"/>
      <c r="K269" s="414"/>
      <c r="L269" s="932"/>
      <c r="M269" s="939"/>
    </row>
    <row r="270" spans="1:13" s="922" customFormat="1">
      <c r="A270" s="893" t="s">
        <v>1454</v>
      </c>
      <c r="B270" s="2446" t="s">
        <v>1453</v>
      </c>
      <c r="C270" s="2447"/>
      <c r="D270" s="1109"/>
      <c r="E270" s="1110"/>
      <c r="F270" s="1111"/>
      <c r="G270" s="1111"/>
      <c r="H270" s="414"/>
      <c r="I270" s="414"/>
      <c r="J270" s="414"/>
      <c r="K270" s="414"/>
      <c r="L270" s="932"/>
      <c r="M270" s="939"/>
    </row>
    <row r="271" spans="1:13" s="922" customFormat="1">
      <c r="A271" s="935"/>
      <c r="B271" s="892" t="s">
        <v>139</v>
      </c>
      <c r="C271" s="1085" t="s">
        <v>1427</v>
      </c>
      <c r="D271" s="408">
        <v>1</v>
      </c>
      <c r="E271" s="936" t="s">
        <v>5</v>
      </c>
      <c r="F271" s="1108">
        <v>10900</v>
      </c>
      <c r="G271" s="936">
        <v>1500</v>
      </c>
      <c r="H271" s="414">
        <f>F271*D271</f>
        <v>10900</v>
      </c>
      <c r="I271" s="414">
        <f>D271*G271</f>
        <v>1500</v>
      </c>
      <c r="J271" s="414">
        <f>H271+I271</f>
        <v>12400</v>
      </c>
      <c r="K271" s="414"/>
      <c r="L271" s="932"/>
      <c r="M271" s="939" t="s">
        <v>1836</v>
      </c>
    </row>
    <row r="272" spans="1:13" s="922" customFormat="1">
      <c r="A272" s="935"/>
      <c r="B272" s="892" t="s">
        <v>139</v>
      </c>
      <c r="C272" s="1085" t="s">
        <v>503</v>
      </c>
      <c r="D272" s="408">
        <v>1</v>
      </c>
      <c r="E272" s="936" t="s">
        <v>5</v>
      </c>
      <c r="F272" s="1108">
        <v>7310</v>
      </c>
      <c r="G272" s="936">
        <v>0</v>
      </c>
      <c r="H272" s="414">
        <f>F272*D272</f>
        <v>7310</v>
      </c>
      <c r="I272" s="414">
        <f>D272*G272</f>
        <v>0</v>
      </c>
      <c r="J272" s="414">
        <f>H272+I272</f>
        <v>7310</v>
      </c>
      <c r="K272" s="414"/>
      <c r="L272" s="932"/>
      <c r="M272" s="939" t="s">
        <v>1836</v>
      </c>
    </row>
    <row r="273" spans="1:13" s="922" customFormat="1">
      <c r="A273" s="935"/>
      <c r="B273" s="892" t="s">
        <v>139</v>
      </c>
      <c r="C273" s="1085" t="s">
        <v>1390</v>
      </c>
      <c r="D273" s="408">
        <v>2</v>
      </c>
      <c r="E273" s="936" t="s">
        <v>5</v>
      </c>
      <c r="F273" s="1108">
        <v>250</v>
      </c>
      <c r="G273" s="936">
        <v>0</v>
      </c>
      <c r="H273" s="414">
        <f>F273*D273</f>
        <v>500</v>
      </c>
      <c r="I273" s="414">
        <f>D273*G273</f>
        <v>0</v>
      </c>
      <c r="J273" s="414">
        <f>H273+I273</f>
        <v>500</v>
      </c>
      <c r="K273" s="414"/>
      <c r="L273" s="932"/>
      <c r="M273" s="939" t="s">
        <v>1836</v>
      </c>
    </row>
    <row r="274" spans="1:13" s="922" customFormat="1">
      <c r="A274" s="935"/>
      <c r="B274" s="892" t="s">
        <v>139</v>
      </c>
      <c r="C274" s="1085" t="s">
        <v>1389</v>
      </c>
      <c r="D274" s="408">
        <v>7</v>
      </c>
      <c r="E274" s="936" t="s">
        <v>5</v>
      </c>
      <c r="F274" s="1108">
        <v>250</v>
      </c>
      <c r="G274" s="936">
        <v>0</v>
      </c>
      <c r="H274" s="414">
        <f>F274*D274</f>
        <v>1750</v>
      </c>
      <c r="I274" s="414">
        <f>D274*G274</f>
        <v>0</v>
      </c>
      <c r="J274" s="414">
        <f>H274+I274</f>
        <v>1750</v>
      </c>
      <c r="K274" s="414"/>
      <c r="L274" s="932"/>
      <c r="M274" s="939" t="s">
        <v>1836</v>
      </c>
    </row>
    <row r="275" spans="1:13" s="922" customFormat="1">
      <c r="A275" s="893" t="s">
        <v>1563</v>
      </c>
      <c r="B275" s="2446" t="s">
        <v>1564</v>
      </c>
      <c r="C275" s="2447"/>
      <c r="D275" s="1109"/>
      <c r="E275" s="1110"/>
      <c r="F275" s="1111"/>
      <c r="G275" s="1111"/>
      <c r="H275" s="414"/>
      <c r="I275" s="414"/>
      <c r="J275" s="414"/>
      <c r="K275" s="414"/>
      <c r="L275" s="932"/>
      <c r="M275" s="939"/>
    </row>
    <row r="276" spans="1:13" s="922" customFormat="1">
      <c r="A276" s="935"/>
      <c r="B276" s="892" t="s">
        <v>139</v>
      </c>
      <c r="C276" s="1085" t="s">
        <v>1569</v>
      </c>
      <c r="D276" s="408">
        <v>1</v>
      </c>
      <c r="E276" s="936" t="s">
        <v>5</v>
      </c>
      <c r="F276" s="1108">
        <v>10500</v>
      </c>
      <c r="G276" s="936">
        <v>1500</v>
      </c>
      <c r="H276" s="414">
        <f>F276*D276</f>
        <v>10500</v>
      </c>
      <c r="I276" s="414">
        <f>D276*G276</f>
        <v>1500</v>
      </c>
      <c r="J276" s="414">
        <f>H276+I276</f>
        <v>12000</v>
      </c>
      <c r="K276" s="414"/>
      <c r="L276" s="932"/>
      <c r="M276" s="939" t="s">
        <v>1836</v>
      </c>
    </row>
    <row r="277" spans="1:13" s="922" customFormat="1">
      <c r="A277" s="935"/>
      <c r="B277" s="892" t="s">
        <v>139</v>
      </c>
      <c r="C277" s="1085" t="s">
        <v>1565</v>
      </c>
      <c r="D277" s="408">
        <v>1</v>
      </c>
      <c r="E277" s="936" t="s">
        <v>5</v>
      </c>
      <c r="F277" s="1108">
        <v>4780</v>
      </c>
      <c r="G277" s="936">
        <v>0</v>
      </c>
      <c r="H277" s="414">
        <f>F277*D277</f>
        <v>4780</v>
      </c>
      <c r="I277" s="414">
        <f>D277*G277</f>
        <v>0</v>
      </c>
      <c r="J277" s="414">
        <f>H277+I277</f>
        <v>4780</v>
      </c>
      <c r="K277" s="414"/>
      <c r="L277" s="932"/>
      <c r="M277" s="939" t="s">
        <v>1836</v>
      </c>
    </row>
    <row r="278" spans="1:13" s="922" customFormat="1">
      <c r="A278" s="935"/>
      <c r="B278" s="892" t="s">
        <v>139</v>
      </c>
      <c r="C278" s="1085" t="s">
        <v>1433</v>
      </c>
      <c r="D278" s="408">
        <v>1</v>
      </c>
      <c r="E278" s="936" t="s">
        <v>5</v>
      </c>
      <c r="F278" s="1108">
        <v>3790</v>
      </c>
      <c r="G278" s="936">
        <v>0</v>
      </c>
      <c r="H278" s="414">
        <f>F278*D278</f>
        <v>3790</v>
      </c>
      <c r="I278" s="414">
        <f>D278*G278</f>
        <v>0</v>
      </c>
      <c r="J278" s="414">
        <f>H278+I278</f>
        <v>3790</v>
      </c>
      <c r="K278" s="414"/>
      <c r="L278" s="932"/>
      <c r="M278" s="939" t="s">
        <v>1836</v>
      </c>
    </row>
    <row r="279" spans="1:13" s="922" customFormat="1">
      <c r="A279" s="2183"/>
      <c r="B279" s="2183"/>
      <c r="C279" s="2183"/>
      <c r="D279" s="2184"/>
      <c r="E279" s="2185"/>
      <c r="F279" s="2185"/>
      <c r="G279" s="2185"/>
      <c r="H279" s="2185"/>
      <c r="I279" s="2185"/>
      <c r="J279" s="2185"/>
      <c r="K279" s="2185"/>
      <c r="L279" s="932"/>
      <c r="M279" s="939"/>
    </row>
    <row r="280" spans="1:13" s="922" customFormat="1">
      <c r="A280" s="2186"/>
      <c r="B280" s="2187"/>
      <c r="C280" s="2186" t="s">
        <v>133</v>
      </c>
      <c r="D280" s="2188"/>
      <c r="E280" s="418"/>
      <c r="F280" s="2189"/>
      <c r="G280" s="2189"/>
      <c r="H280" s="1277"/>
      <c r="I280" s="1277"/>
      <c r="J280" s="2188"/>
      <c r="K280" s="2188"/>
      <c r="L280" s="932"/>
      <c r="M280" s="939"/>
    </row>
    <row r="281" spans="1:13" s="922" customFormat="1">
      <c r="A281" s="1642"/>
      <c r="B281" s="1017"/>
      <c r="C281" s="2407" t="s">
        <v>1769</v>
      </c>
      <c r="D281" s="2407"/>
      <c r="E281" s="1017"/>
      <c r="F281" s="1017"/>
      <c r="G281" s="1017"/>
      <c r="H281" s="1017" t="s">
        <v>134</v>
      </c>
      <c r="I281" s="1017"/>
      <c r="J281" s="1017"/>
      <c r="K281" s="1017"/>
      <c r="L281" s="932"/>
      <c r="M281" s="939"/>
    </row>
    <row r="282" spans="1:13" s="922" customFormat="1">
      <c r="A282" s="1643"/>
      <c r="B282" s="419"/>
      <c r="C282" s="2408" t="s">
        <v>1970</v>
      </c>
      <c r="D282" s="2408"/>
      <c r="E282" s="419"/>
      <c r="F282" s="419"/>
      <c r="G282" s="419"/>
      <c r="H282" s="419" t="s">
        <v>1971</v>
      </c>
      <c r="I282" s="419"/>
      <c r="J282" s="419"/>
      <c r="K282" s="419"/>
      <c r="L282" s="932"/>
      <c r="M282" s="939"/>
    </row>
    <row r="283" spans="1:13" s="922" customFormat="1">
      <c r="A283" s="2188"/>
      <c r="B283" s="1017"/>
      <c r="C283" s="1017" t="s">
        <v>2031</v>
      </c>
      <c r="D283" s="2188"/>
      <c r="E283" s="419"/>
      <c r="F283" s="419"/>
      <c r="G283" s="419"/>
      <c r="H283" s="1017" t="s">
        <v>134</v>
      </c>
      <c r="I283" s="419"/>
      <c r="J283" s="419"/>
      <c r="K283" s="419"/>
      <c r="L283" s="932"/>
      <c r="M283" s="939"/>
    </row>
    <row r="284" spans="1:13" s="922" customFormat="1">
      <c r="A284" s="1017"/>
      <c r="B284" s="419"/>
      <c r="C284" s="419" t="s">
        <v>1984</v>
      </c>
      <c r="D284" s="2188"/>
      <c r="E284" s="1017"/>
      <c r="F284" s="1017"/>
      <c r="G284" s="1017"/>
      <c r="H284" s="419" t="s">
        <v>1985</v>
      </c>
      <c r="I284" s="1017"/>
      <c r="J284" s="1017"/>
      <c r="K284" s="1017"/>
      <c r="L284" s="932"/>
      <c r="M284" s="939"/>
    </row>
    <row r="285" spans="1:13" s="922" customFormat="1">
      <c r="A285" s="2190"/>
      <c r="B285" s="2190"/>
      <c r="C285" s="1017" t="s">
        <v>670</v>
      </c>
      <c r="D285" s="2191"/>
      <c r="E285" s="2192"/>
      <c r="F285" s="2193"/>
      <c r="G285" s="2194"/>
      <c r="H285" s="2194"/>
      <c r="I285" s="2194"/>
      <c r="J285" s="2194"/>
      <c r="K285" s="2194"/>
      <c r="L285" s="932"/>
      <c r="M285" s="939"/>
    </row>
    <row r="286" spans="1:13" s="922" customFormat="1">
      <c r="A286" s="2195"/>
      <c r="B286" s="2195"/>
      <c r="C286" s="2196" t="s">
        <v>1972</v>
      </c>
      <c r="D286" s="2197"/>
      <c r="E286" s="2198"/>
      <c r="F286" s="2199"/>
      <c r="G286" s="2200"/>
      <c r="H286" s="2200"/>
      <c r="I286" s="2200"/>
      <c r="J286" s="2200"/>
      <c r="K286" s="2200"/>
      <c r="L286" s="932"/>
      <c r="M286" s="939"/>
    </row>
    <row r="287" spans="1:13" s="922" customFormat="1">
      <c r="A287" s="935"/>
      <c r="B287" s="892" t="s">
        <v>139</v>
      </c>
      <c r="C287" s="1085" t="s">
        <v>1566</v>
      </c>
      <c r="D287" s="408">
        <v>1</v>
      </c>
      <c r="E287" s="936" t="s">
        <v>5</v>
      </c>
      <c r="F287" s="1108">
        <v>795</v>
      </c>
      <c r="G287" s="936">
        <v>250</v>
      </c>
      <c r="H287" s="414">
        <f>F287*D287</f>
        <v>795</v>
      </c>
      <c r="I287" s="414">
        <f>D287*G287</f>
        <v>250</v>
      </c>
      <c r="J287" s="414">
        <f>H287+I287</f>
        <v>1045</v>
      </c>
      <c r="K287" s="414"/>
      <c r="L287" s="932"/>
      <c r="M287" s="939" t="s">
        <v>1836</v>
      </c>
    </row>
    <row r="288" spans="1:13" s="922" customFormat="1">
      <c r="A288" s="935"/>
      <c r="B288" s="892" t="s">
        <v>139</v>
      </c>
      <c r="C288" s="1085" t="s">
        <v>1567</v>
      </c>
      <c r="D288" s="408">
        <v>1</v>
      </c>
      <c r="E288" s="936" t="s">
        <v>5</v>
      </c>
      <c r="F288" s="1108">
        <v>500</v>
      </c>
      <c r="G288" s="936">
        <v>250</v>
      </c>
      <c r="H288" s="414">
        <f>F288*D288</f>
        <v>500</v>
      </c>
      <c r="I288" s="414">
        <f>D288*G288</f>
        <v>250</v>
      </c>
      <c r="J288" s="414">
        <f>H288+I288</f>
        <v>750</v>
      </c>
      <c r="K288" s="414"/>
      <c r="L288" s="932"/>
      <c r="M288" s="939" t="s">
        <v>1836</v>
      </c>
    </row>
    <row r="289" spans="1:13" s="922" customFormat="1">
      <c r="A289" s="935" t="s">
        <v>1570</v>
      </c>
      <c r="B289" s="953" t="s">
        <v>1571</v>
      </c>
      <c r="C289" s="1085"/>
      <c r="D289" s="408"/>
      <c r="E289" s="936"/>
      <c r="F289" s="1108"/>
      <c r="G289" s="936"/>
      <c r="H289" s="414"/>
      <c r="I289" s="414"/>
      <c r="J289" s="414"/>
      <c r="K289" s="414"/>
      <c r="L289" s="932"/>
      <c r="M289" s="939"/>
    </row>
    <row r="290" spans="1:13" s="922" customFormat="1">
      <c r="A290" s="935"/>
      <c r="B290" s="892" t="s">
        <v>139</v>
      </c>
      <c r="C290" s="1085" t="s">
        <v>1568</v>
      </c>
      <c r="D290" s="408">
        <v>1</v>
      </c>
      <c r="E290" s="936" t="s">
        <v>5</v>
      </c>
      <c r="F290" s="1108">
        <v>8190</v>
      </c>
      <c r="G290" s="936">
        <v>1500</v>
      </c>
      <c r="H290" s="414">
        <f>F290*D290</f>
        <v>8190</v>
      </c>
      <c r="I290" s="414">
        <f>D290*G290</f>
        <v>1500</v>
      </c>
      <c r="J290" s="414">
        <f>H290+I290</f>
        <v>9690</v>
      </c>
      <c r="K290" s="414"/>
      <c r="L290" s="932"/>
      <c r="M290" s="939" t="s">
        <v>1836</v>
      </c>
    </row>
    <row r="291" spans="1:13" s="922" customFormat="1">
      <c r="A291" s="935"/>
      <c r="B291" s="892" t="s">
        <v>139</v>
      </c>
      <c r="C291" s="1085" t="s">
        <v>1433</v>
      </c>
      <c r="D291" s="408">
        <v>2</v>
      </c>
      <c r="E291" s="936" t="s">
        <v>5</v>
      </c>
      <c r="F291" s="1108">
        <v>3790</v>
      </c>
      <c r="G291" s="936">
        <v>0</v>
      </c>
      <c r="H291" s="414">
        <f>F291*D291</f>
        <v>7580</v>
      </c>
      <c r="I291" s="414">
        <f>D291*G291</f>
        <v>0</v>
      </c>
      <c r="J291" s="414">
        <f>H291+I291</f>
        <v>7580</v>
      </c>
      <c r="K291" s="414"/>
      <c r="L291" s="932"/>
      <c r="M291" s="939" t="s">
        <v>1836</v>
      </c>
    </row>
    <row r="292" spans="1:13" s="922" customFormat="1">
      <c r="A292" s="935"/>
      <c r="B292" s="892" t="s">
        <v>139</v>
      </c>
      <c r="C292" s="1085" t="s">
        <v>1566</v>
      </c>
      <c r="D292" s="408">
        <v>1</v>
      </c>
      <c r="E292" s="936" t="s">
        <v>5</v>
      </c>
      <c r="F292" s="1108">
        <v>795</v>
      </c>
      <c r="G292" s="936">
        <v>250</v>
      </c>
      <c r="H292" s="414">
        <f>F292*D292</f>
        <v>795</v>
      </c>
      <c r="I292" s="414">
        <f>D292*G292</f>
        <v>250</v>
      </c>
      <c r="J292" s="414">
        <f>H292+I292</f>
        <v>1045</v>
      </c>
      <c r="K292" s="414"/>
      <c r="L292" s="932"/>
      <c r="M292" s="939" t="s">
        <v>1836</v>
      </c>
    </row>
    <row r="293" spans="1:13" s="922" customFormat="1">
      <c r="A293" s="1089"/>
      <c r="B293" s="892" t="s">
        <v>139</v>
      </c>
      <c r="C293" s="1085" t="s">
        <v>1567</v>
      </c>
      <c r="D293" s="408">
        <v>1</v>
      </c>
      <c r="E293" s="936" t="s">
        <v>5</v>
      </c>
      <c r="F293" s="1108">
        <v>500</v>
      </c>
      <c r="G293" s="936">
        <v>250</v>
      </c>
      <c r="H293" s="414">
        <f>F293*D293</f>
        <v>500</v>
      </c>
      <c r="I293" s="414">
        <f>D293*G293</f>
        <v>250</v>
      </c>
      <c r="J293" s="414">
        <f>H293+I293</f>
        <v>750</v>
      </c>
      <c r="K293" s="1002"/>
      <c r="L293" s="932"/>
      <c r="M293" s="939" t="s">
        <v>1836</v>
      </c>
    </row>
    <row r="294" spans="1:13" s="922" customFormat="1">
      <c r="A294" s="893" t="s">
        <v>1572</v>
      </c>
      <c r="B294" s="2446" t="s">
        <v>1573</v>
      </c>
      <c r="C294" s="2447"/>
      <c r="D294" s="1109"/>
      <c r="E294" s="1110"/>
      <c r="F294" s="1111"/>
      <c r="G294" s="1111"/>
      <c r="H294" s="414"/>
      <c r="I294" s="414"/>
      <c r="J294" s="414"/>
      <c r="K294" s="1002"/>
      <c r="L294" s="932"/>
      <c r="M294" s="939"/>
    </row>
    <row r="295" spans="1:13" s="922" customFormat="1">
      <c r="A295" s="935"/>
      <c r="B295" s="892" t="s">
        <v>139</v>
      </c>
      <c r="C295" s="1085" t="s">
        <v>1569</v>
      </c>
      <c r="D295" s="408">
        <v>1</v>
      </c>
      <c r="E295" s="936" t="s">
        <v>5</v>
      </c>
      <c r="F295" s="1108">
        <v>10500</v>
      </c>
      <c r="G295" s="936">
        <v>1500</v>
      </c>
      <c r="H295" s="414">
        <f>F295*D295</f>
        <v>10500</v>
      </c>
      <c r="I295" s="414">
        <f>D295*G295</f>
        <v>1500</v>
      </c>
      <c r="J295" s="414">
        <f>H295+I295</f>
        <v>12000</v>
      </c>
      <c r="K295" s="1002"/>
      <c r="L295" s="932"/>
      <c r="M295" s="939" t="s">
        <v>1836</v>
      </c>
    </row>
    <row r="296" spans="1:13" s="922" customFormat="1">
      <c r="A296" s="935"/>
      <c r="B296" s="892" t="s">
        <v>139</v>
      </c>
      <c r="C296" s="1085" t="s">
        <v>1565</v>
      </c>
      <c r="D296" s="408">
        <v>1</v>
      </c>
      <c r="E296" s="936" t="s">
        <v>5</v>
      </c>
      <c r="F296" s="1108">
        <v>4780</v>
      </c>
      <c r="G296" s="936">
        <v>0</v>
      </c>
      <c r="H296" s="414">
        <f>F296*D296</f>
        <v>4780</v>
      </c>
      <c r="I296" s="414">
        <f>D296*G296</f>
        <v>0</v>
      </c>
      <c r="J296" s="414">
        <f>H296+I296</f>
        <v>4780</v>
      </c>
      <c r="K296" s="1002"/>
      <c r="L296" s="932"/>
      <c r="M296" s="939" t="s">
        <v>1836</v>
      </c>
    </row>
    <row r="297" spans="1:13" s="922" customFormat="1">
      <c r="A297" s="935"/>
      <c r="B297" s="892" t="s">
        <v>139</v>
      </c>
      <c r="C297" s="1085" t="s">
        <v>1433</v>
      </c>
      <c r="D297" s="408">
        <v>1</v>
      </c>
      <c r="E297" s="936" t="s">
        <v>5</v>
      </c>
      <c r="F297" s="1108">
        <v>3790</v>
      </c>
      <c r="G297" s="936">
        <v>0</v>
      </c>
      <c r="H297" s="414">
        <f>F297*D297</f>
        <v>3790</v>
      </c>
      <c r="I297" s="414">
        <f>D297*G297</f>
        <v>0</v>
      </c>
      <c r="J297" s="414">
        <f>H297+I297</f>
        <v>3790</v>
      </c>
      <c r="K297" s="1002"/>
      <c r="L297" s="932"/>
      <c r="M297" s="939" t="s">
        <v>1836</v>
      </c>
    </row>
    <row r="298" spans="1:13" s="922" customFormat="1">
      <c r="A298" s="935"/>
      <c r="B298" s="892" t="s">
        <v>139</v>
      </c>
      <c r="C298" s="1085" t="s">
        <v>1566</v>
      </c>
      <c r="D298" s="408">
        <v>1</v>
      </c>
      <c r="E298" s="936" t="s">
        <v>5</v>
      </c>
      <c r="F298" s="1108">
        <v>795</v>
      </c>
      <c r="G298" s="936">
        <v>250</v>
      </c>
      <c r="H298" s="414">
        <f>F298*D298</f>
        <v>795</v>
      </c>
      <c r="I298" s="414">
        <f>D298*G298</f>
        <v>250</v>
      </c>
      <c r="J298" s="414">
        <f>H298+I298</f>
        <v>1045</v>
      </c>
      <c r="K298" s="1002"/>
      <c r="L298" s="932"/>
      <c r="M298" s="939" t="s">
        <v>1836</v>
      </c>
    </row>
    <row r="299" spans="1:13" s="922" customFormat="1">
      <c r="A299" s="1089"/>
      <c r="B299" s="892" t="s">
        <v>139</v>
      </c>
      <c r="C299" s="1085" t="s">
        <v>1567</v>
      </c>
      <c r="D299" s="408">
        <v>1</v>
      </c>
      <c r="E299" s="936" t="s">
        <v>5</v>
      </c>
      <c r="F299" s="1108">
        <v>500</v>
      </c>
      <c r="G299" s="936">
        <v>250</v>
      </c>
      <c r="H299" s="414">
        <f>F299*D299</f>
        <v>500</v>
      </c>
      <c r="I299" s="414">
        <f>D299*G299</f>
        <v>250</v>
      </c>
      <c r="J299" s="414">
        <f>H299+I299</f>
        <v>750</v>
      </c>
      <c r="K299" s="1002"/>
      <c r="L299" s="932"/>
      <c r="M299" s="939" t="s">
        <v>1836</v>
      </c>
    </row>
    <row r="300" spans="1:13" s="922" customFormat="1">
      <c r="A300" s="893" t="s">
        <v>1574</v>
      </c>
      <c r="B300" s="2446" t="s">
        <v>1575</v>
      </c>
      <c r="C300" s="2447"/>
      <c r="D300" s="1109"/>
      <c r="E300" s="1110"/>
      <c r="F300" s="1111"/>
      <c r="G300" s="1111"/>
      <c r="H300" s="414"/>
      <c r="I300" s="414"/>
      <c r="J300" s="414"/>
      <c r="K300" s="1002"/>
      <c r="L300" s="932"/>
      <c r="M300" s="939"/>
    </row>
    <row r="301" spans="1:13" s="922" customFormat="1">
      <c r="A301" s="935"/>
      <c r="B301" s="892" t="s">
        <v>139</v>
      </c>
      <c r="C301" s="1085" t="s">
        <v>1569</v>
      </c>
      <c r="D301" s="408">
        <v>1</v>
      </c>
      <c r="E301" s="936" t="s">
        <v>5</v>
      </c>
      <c r="F301" s="1108">
        <v>10500</v>
      </c>
      <c r="G301" s="936">
        <v>1500</v>
      </c>
      <c r="H301" s="414">
        <f>F301*D301</f>
        <v>10500</v>
      </c>
      <c r="I301" s="414">
        <f>D301*G301</f>
        <v>1500</v>
      </c>
      <c r="J301" s="414">
        <f>H301+I301</f>
        <v>12000</v>
      </c>
      <c r="K301" s="1002"/>
      <c r="L301" s="932"/>
      <c r="M301" s="939" t="s">
        <v>1836</v>
      </c>
    </row>
    <row r="302" spans="1:13" s="922" customFormat="1">
      <c r="A302" s="935"/>
      <c r="B302" s="892" t="s">
        <v>139</v>
      </c>
      <c r="C302" s="1085" t="s">
        <v>1565</v>
      </c>
      <c r="D302" s="408">
        <v>1</v>
      </c>
      <c r="E302" s="936" t="s">
        <v>5</v>
      </c>
      <c r="F302" s="1108">
        <v>4780</v>
      </c>
      <c r="G302" s="936">
        <v>0</v>
      </c>
      <c r="H302" s="414">
        <f>F302*D302</f>
        <v>4780</v>
      </c>
      <c r="I302" s="414">
        <f>D302*G302</f>
        <v>0</v>
      </c>
      <c r="J302" s="414">
        <f>H302+I302</f>
        <v>4780</v>
      </c>
      <c r="K302" s="1002"/>
      <c r="L302" s="932"/>
      <c r="M302" s="939" t="s">
        <v>1836</v>
      </c>
    </row>
    <row r="303" spans="1:13" s="922" customFormat="1">
      <c r="A303" s="935"/>
      <c r="B303" s="892" t="s">
        <v>139</v>
      </c>
      <c r="C303" s="1085" t="s">
        <v>1433</v>
      </c>
      <c r="D303" s="408">
        <v>1</v>
      </c>
      <c r="E303" s="936" t="s">
        <v>5</v>
      </c>
      <c r="F303" s="1108">
        <v>3790</v>
      </c>
      <c r="G303" s="936">
        <v>0</v>
      </c>
      <c r="H303" s="414">
        <f>F303*D303</f>
        <v>3790</v>
      </c>
      <c r="I303" s="414">
        <f>D303*G303</f>
        <v>0</v>
      </c>
      <c r="J303" s="414">
        <f>H303+I303</f>
        <v>3790</v>
      </c>
      <c r="K303" s="1002"/>
      <c r="L303" s="932"/>
      <c r="M303" s="939" t="s">
        <v>1836</v>
      </c>
    </row>
    <row r="304" spans="1:13" s="922" customFormat="1">
      <c r="A304" s="935"/>
      <c r="B304" s="892" t="s">
        <v>139</v>
      </c>
      <c r="C304" s="1085" t="s">
        <v>1566</v>
      </c>
      <c r="D304" s="408">
        <v>1</v>
      </c>
      <c r="E304" s="936" t="s">
        <v>5</v>
      </c>
      <c r="F304" s="1108">
        <v>795</v>
      </c>
      <c r="G304" s="936">
        <v>250</v>
      </c>
      <c r="H304" s="414">
        <f>F304*D304</f>
        <v>795</v>
      </c>
      <c r="I304" s="414">
        <f>D304*G304</f>
        <v>250</v>
      </c>
      <c r="J304" s="414">
        <f>H304+I304</f>
        <v>1045</v>
      </c>
      <c r="K304" s="1002"/>
      <c r="L304" s="932"/>
      <c r="M304" s="939" t="s">
        <v>1836</v>
      </c>
    </row>
    <row r="305" spans="1:13" s="922" customFormat="1">
      <c r="A305" s="1089"/>
      <c r="B305" s="892" t="s">
        <v>139</v>
      </c>
      <c r="C305" s="1085" t="s">
        <v>1567</v>
      </c>
      <c r="D305" s="408">
        <v>1</v>
      </c>
      <c r="E305" s="936" t="s">
        <v>5</v>
      </c>
      <c r="F305" s="1108">
        <v>500</v>
      </c>
      <c r="G305" s="936">
        <v>250</v>
      </c>
      <c r="H305" s="414">
        <f>F305*D305</f>
        <v>500</v>
      </c>
      <c r="I305" s="414">
        <f>D305*G305</f>
        <v>250</v>
      </c>
      <c r="J305" s="414">
        <f>H305+I305</f>
        <v>750</v>
      </c>
      <c r="K305" s="1002"/>
      <c r="L305" s="932"/>
      <c r="M305" s="939" t="s">
        <v>1836</v>
      </c>
    </row>
    <row r="306" spans="1:13" s="922" customFormat="1">
      <c r="A306" s="893" t="s">
        <v>1576</v>
      </c>
      <c r="B306" s="2446" t="s">
        <v>1577</v>
      </c>
      <c r="C306" s="2447"/>
      <c r="D306" s="1109"/>
      <c r="E306" s="1110"/>
      <c r="F306" s="1111"/>
      <c r="G306" s="1111"/>
      <c r="H306" s="414"/>
      <c r="I306" s="414"/>
      <c r="J306" s="414"/>
      <c r="K306" s="1002"/>
      <c r="L306" s="932"/>
      <c r="M306" s="939"/>
    </row>
    <row r="307" spans="1:13" s="922" customFormat="1">
      <c r="A307" s="935"/>
      <c r="B307" s="892" t="s">
        <v>139</v>
      </c>
      <c r="C307" s="1085" t="s">
        <v>1569</v>
      </c>
      <c r="D307" s="408">
        <v>1</v>
      </c>
      <c r="E307" s="936" t="s">
        <v>5</v>
      </c>
      <c r="F307" s="1108">
        <v>10500</v>
      </c>
      <c r="G307" s="936">
        <v>1500</v>
      </c>
      <c r="H307" s="414">
        <f>F307*D307</f>
        <v>10500</v>
      </c>
      <c r="I307" s="414">
        <f>D307*G307</f>
        <v>1500</v>
      </c>
      <c r="J307" s="414">
        <f>H307+I307</f>
        <v>12000</v>
      </c>
      <c r="K307" s="1002"/>
      <c r="L307" s="932"/>
      <c r="M307" s="939" t="s">
        <v>1836</v>
      </c>
    </row>
    <row r="308" spans="1:13" s="922" customFormat="1">
      <c r="A308" s="935"/>
      <c r="B308" s="892" t="s">
        <v>139</v>
      </c>
      <c r="C308" s="1085" t="s">
        <v>1565</v>
      </c>
      <c r="D308" s="408">
        <v>1</v>
      </c>
      <c r="E308" s="936" t="s">
        <v>5</v>
      </c>
      <c r="F308" s="1108">
        <v>4780</v>
      </c>
      <c r="G308" s="936">
        <v>0</v>
      </c>
      <c r="H308" s="414">
        <f>F308*D308</f>
        <v>4780</v>
      </c>
      <c r="I308" s="414">
        <f>D308*G308</f>
        <v>0</v>
      </c>
      <c r="J308" s="414">
        <f>H308+I308</f>
        <v>4780</v>
      </c>
      <c r="K308" s="1002"/>
      <c r="L308" s="932"/>
      <c r="M308" s="939" t="s">
        <v>1836</v>
      </c>
    </row>
    <row r="309" spans="1:13" s="922" customFormat="1">
      <c r="A309" s="935"/>
      <c r="B309" s="892" t="s">
        <v>139</v>
      </c>
      <c r="C309" s="1085" t="s">
        <v>1433</v>
      </c>
      <c r="D309" s="408">
        <v>1</v>
      </c>
      <c r="E309" s="936" t="s">
        <v>5</v>
      </c>
      <c r="F309" s="1108">
        <v>3790</v>
      </c>
      <c r="G309" s="936">
        <v>0</v>
      </c>
      <c r="H309" s="414">
        <f>F309*D309</f>
        <v>3790</v>
      </c>
      <c r="I309" s="414">
        <f>D309*G309</f>
        <v>0</v>
      </c>
      <c r="J309" s="414">
        <f>H309+I309</f>
        <v>3790</v>
      </c>
      <c r="K309" s="1002"/>
      <c r="L309" s="932"/>
      <c r="M309" s="939" t="s">
        <v>1836</v>
      </c>
    </row>
    <row r="310" spans="1:13" s="922" customFormat="1">
      <c r="A310" s="2183"/>
      <c r="B310" s="2183"/>
      <c r="C310" s="2183"/>
      <c r="D310" s="2184"/>
      <c r="E310" s="2185"/>
      <c r="F310" s="2185"/>
      <c r="G310" s="2185"/>
      <c r="H310" s="2185"/>
      <c r="I310" s="2185"/>
      <c r="J310" s="2185"/>
      <c r="K310" s="2185"/>
      <c r="L310" s="932"/>
      <c r="M310" s="939"/>
    </row>
    <row r="311" spans="1:13" s="922" customFormat="1">
      <c r="A311" s="2186"/>
      <c r="B311" s="2187"/>
      <c r="C311" s="2186" t="s">
        <v>133</v>
      </c>
      <c r="D311" s="2188"/>
      <c r="E311" s="418"/>
      <c r="F311" s="2189"/>
      <c r="G311" s="2189"/>
      <c r="H311" s="1277"/>
      <c r="I311" s="1277"/>
      <c r="J311" s="2188"/>
      <c r="K311" s="2188"/>
      <c r="L311" s="932"/>
      <c r="M311" s="939"/>
    </row>
    <row r="312" spans="1:13" s="922" customFormat="1">
      <c r="A312" s="1642"/>
      <c r="B312" s="1017"/>
      <c r="C312" s="2407" t="s">
        <v>1769</v>
      </c>
      <c r="D312" s="2407"/>
      <c r="E312" s="1017"/>
      <c r="F312" s="1017"/>
      <c r="G312" s="1017"/>
      <c r="H312" s="1017" t="s">
        <v>134</v>
      </c>
      <c r="I312" s="1017"/>
      <c r="J312" s="1017"/>
      <c r="K312" s="1017"/>
      <c r="L312" s="932"/>
      <c r="M312" s="939"/>
    </row>
    <row r="313" spans="1:13" s="922" customFormat="1">
      <c r="A313" s="1643"/>
      <c r="B313" s="419"/>
      <c r="C313" s="2408" t="s">
        <v>1970</v>
      </c>
      <c r="D313" s="2408"/>
      <c r="E313" s="419"/>
      <c r="F313" s="419"/>
      <c r="G313" s="419"/>
      <c r="H313" s="419" t="s">
        <v>1971</v>
      </c>
      <c r="I313" s="419"/>
      <c r="J313" s="419"/>
      <c r="K313" s="419"/>
      <c r="L313" s="932"/>
      <c r="M313" s="939"/>
    </row>
    <row r="314" spans="1:13" s="922" customFormat="1">
      <c r="A314" s="2188"/>
      <c r="B314" s="1017"/>
      <c r="C314" s="1017" t="s">
        <v>2031</v>
      </c>
      <c r="D314" s="2188"/>
      <c r="E314" s="419"/>
      <c r="F314" s="419"/>
      <c r="G314" s="419"/>
      <c r="H314" s="1017" t="s">
        <v>134</v>
      </c>
      <c r="I314" s="419"/>
      <c r="J314" s="419"/>
      <c r="K314" s="419"/>
      <c r="L314" s="932"/>
      <c r="M314" s="939"/>
    </row>
    <row r="315" spans="1:13" s="922" customFormat="1">
      <c r="A315" s="1017"/>
      <c r="B315" s="419"/>
      <c r="C315" s="419" t="s">
        <v>1984</v>
      </c>
      <c r="D315" s="2188"/>
      <c r="E315" s="1017"/>
      <c r="F315" s="1017"/>
      <c r="G315" s="1017"/>
      <c r="H315" s="419" t="s">
        <v>1985</v>
      </c>
      <c r="I315" s="1017"/>
      <c r="J315" s="1017"/>
      <c r="K315" s="1017"/>
      <c r="L315" s="932"/>
      <c r="M315" s="939"/>
    </row>
    <row r="316" spans="1:13" s="922" customFormat="1">
      <c r="A316" s="2190"/>
      <c r="B316" s="2190"/>
      <c r="C316" s="1017" t="s">
        <v>670</v>
      </c>
      <c r="D316" s="2191"/>
      <c r="E316" s="2192"/>
      <c r="F316" s="2193"/>
      <c r="G316" s="2194"/>
      <c r="H316" s="2194"/>
      <c r="I316" s="2194"/>
      <c r="J316" s="2194"/>
      <c r="K316" s="2194"/>
      <c r="L316" s="932"/>
      <c r="M316" s="939"/>
    </row>
    <row r="317" spans="1:13" s="922" customFormat="1">
      <c r="A317" s="2195"/>
      <c r="B317" s="2195"/>
      <c r="C317" s="2196" t="s">
        <v>1972</v>
      </c>
      <c r="D317" s="2197"/>
      <c r="E317" s="2198"/>
      <c r="F317" s="2199"/>
      <c r="G317" s="2200"/>
      <c r="H317" s="2200"/>
      <c r="I317" s="2200"/>
      <c r="J317" s="2200"/>
      <c r="K317" s="2200"/>
      <c r="L317" s="932"/>
      <c r="M317" s="939"/>
    </row>
    <row r="318" spans="1:13" s="922" customFormat="1">
      <c r="A318" s="935"/>
      <c r="B318" s="892" t="s">
        <v>139</v>
      </c>
      <c r="C318" s="1085" t="s">
        <v>1566</v>
      </c>
      <c r="D318" s="408">
        <v>1</v>
      </c>
      <c r="E318" s="936" t="s">
        <v>5</v>
      </c>
      <c r="F318" s="1108">
        <v>795</v>
      </c>
      <c r="G318" s="936">
        <v>250</v>
      </c>
      <c r="H318" s="414">
        <f>F318*D318</f>
        <v>795</v>
      </c>
      <c r="I318" s="414">
        <f>D318*G318</f>
        <v>250</v>
      </c>
      <c r="J318" s="414">
        <f>H318+I318</f>
        <v>1045</v>
      </c>
      <c r="K318" s="1002"/>
      <c r="L318" s="932"/>
      <c r="M318" s="939" t="s">
        <v>1836</v>
      </c>
    </row>
    <row r="319" spans="1:13" s="922" customFormat="1">
      <c r="A319" s="1089"/>
      <c r="B319" s="892" t="s">
        <v>139</v>
      </c>
      <c r="C319" s="1085" t="s">
        <v>1567</v>
      </c>
      <c r="D319" s="408">
        <v>1</v>
      </c>
      <c r="E319" s="936" t="s">
        <v>5</v>
      </c>
      <c r="F319" s="1108">
        <v>500</v>
      </c>
      <c r="G319" s="936">
        <v>250</v>
      </c>
      <c r="H319" s="414">
        <f>F319*D319</f>
        <v>500</v>
      </c>
      <c r="I319" s="414">
        <f>D319*G319</f>
        <v>250</v>
      </c>
      <c r="J319" s="414">
        <f>H319+I319</f>
        <v>750</v>
      </c>
      <c r="K319" s="1002"/>
      <c r="L319" s="932"/>
      <c r="M319" s="939" t="s">
        <v>1836</v>
      </c>
    </row>
    <row r="320" spans="1:13" s="922" customFormat="1">
      <c r="A320" s="893" t="s">
        <v>1578</v>
      </c>
      <c r="B320" s="2446" t="s">
        <v>1579</v>
      </c>
      <c r="C320" s="2447"/>
      <c r="D320" s="1109"/>
      <c r="E320" s="1110"/>
      <c r="F320" s="1111"/>
      <c r="G320" s="1111"/>
      <c r="H320" s="414"/>
      <c r="I320" s="414"/>
      <c r="J320" s="414"/>
      <c r="K320" s="1002"/>
      <c r="L320" s="932"/>
      <c r="M320" s="939"/>
    </row>
    <row r="321" spans="1:13" s="922" customFormat="1">
      <c r="A321" s="935"/>
      <c r="B321" s="892" t="s">
        <v>139</v>
      </c>
      <c r="C321" s="1085" t="s">
        <v>1568</v>
      </c>
      <c r="D321" s="408">
        <v>1</v>
      </c>
      <c r="E321" s="936" t="s">
        <v>5</v>
      </c>
      <c r="F321" s="1108">
        <v>8190</v>
      </c>
      <c r="G321" s="936">
        <v>1500</v>
      </c>
      <c r="H321" s="414">
        <f>F321*D321</f>
        <v>8190</v>
      </c>
      <c r="I321" s="414">
        <f>D321*G321</f>
        <v>1500</v>
      </c>
      <c r="J321" s="414">
        <f>H321+I321</f>
        <v>9690</v>
      </c>
      <c r="K321" s="1002"/>
      <c r="L321" s="932"/>
      <c r="M321" s="939" t="s">
        <v>1836</v>
      </c>
    </row>
    <row r="322" spans="1:13" s="922" customFormat="1">
      <c r="A322" s="935"/>
      <c r="B322" s="892" t="s">
        <v>139</v>
      </c>
      <c r="C322" s="1085" t="s">
        <v>1433</v>
      </c>
      <c r="D322" s="408">
        <v>2</v>
      </c>
      <c r="E322" s="936" t="s">
        <v>5</v>
      </c>
      <c r="F322" s="1108">
        <v>3790</v>
      </c>
      <c r="G322" s="936">
        <v>0</v>
      </c>
      <c r="H322" s="414">
        <f>F322*D322</f>
        <v>7580</v>
      </c>
      <c r="I322" s="414">
        <f>D322*G322</f>
        <v>0</v>
      </c>
      <c r="J322" s="414">
        <f>H322+I322</f>
        <v>7580</v>
      </c>
      <c r="K322" s="1002"/>
      <c r="L322" s="932"/>
      <c r="M322" s="939" t="s">
        <v>1836</v>
      </c>
    </row>
    <row r="323" spans="1:13" s="922" customFormat="1">
      <c r="A323" s="935"/>
      <c r="B323" s="892" t="s">
        <v>139</v>
      </c>
      <c r="C323" s="1085" t="s">
        <v>1566</v>
      </c>
      <c r="D323" s="408">
        <v>1</v>
      </c>
      <c r="E323" s="936" t="s">
        <v>5</v>
      </c>
      <c r="F323" s="1108">
        <v>795</v>
      </c>
      <c r="G323" s="936">
        <v>250</v>
      </c>
      <c r="H323" s="414">
        <f>F323*D323</f>
        <v>795</v>
      </c>
      <c r="I323" s="414">
        <f>D323*G323</f>
        <v>250</v>
      </c>
      <c r="J323" s="414">
        <f>H323+I323</f>
        <v>1045</v>
      </c>
      <c r="K323" s="1002"/>
      <c r="L323" s="932"/>
      <c r="M323" s="939" t="s">
        <v>1836</v>
      </c>
    </row>
    <row r="324" spans="1:13" s="922" customFormat="1">
      <c r="A324" s="1089"/>
      <c r="B324" s="892" t="s">
        <v>139</v>
      </c>
      <c r="C324" s="1085" t="s">
        <v>1567</v>
      </c>
      <c r="D324" s="408">
        <v>1</v>
      </c>
      <c r="E324" s="936" t="s">
        <v>5</v>
      </c>
      <c r="F324" s="1108">
        <v>500</v>
      </c>
      <c r="G324" s="936">
        <v>250</v>
      </c>
      <c r="H324" s="414">
        <f>F324*D324</f>
        <v>500</v>
      </c>
      <c r="I324" s="414">
        <f>D324*G324</f>
        <v>250</v>
      </c>
      <c r="J324" s="414">
        <f>H324+I324</f>
        <v>750</v>
      </c>
      <c r="K324" s="1002"/>
      <c r="L324" s="932"/>
      <c r="M324" s="939" t="s">
        <v>1836</v>
      </c>
    </row>
    <row r="325" spans="1:13" s="922" customFormat="1">
      <c r="A325" s="893" t="s">
        <v>1580</v>
      </c>
      <c r="B325" s="2446" t="s">
        <v>1581</v>
      </c>
      <c r="C325" s="2447"/>
      <c r="D325" s="1109"/>
      <c r="E325" s="1110"/>
      <c r="F325" s="1111"/>
      <c r="G325" s="1111"/>
      <c r="H325" s="414"/>
      <c r="I325" s="414"/>
      <c r="J325" s="414"/>
      <c r="K325" s="1002"/>
      <c r="L325" s="932"/>
      <c r="M325" s="939"/>
    </row>
    <row r="326" spans="1:13" s="922" customFormat="1">
      <c r="A326" s="935"/>
      <c r="B326" s="892" t="s">
        <v>139</v>
      </c>
      <c r="C326" s="1085" t="s">
        <v>1568</v>
      </c>
      <c r="D326" s="408">
        <v>1</v>
      </c>
      <c r="E326" s="936" t="s">
        <v>5</v>
      </c>
      <c r="F326" s="1108">
        <v>8190</v>
      </c>
      <c r="G326" s="936">
        <v>1500</v>
      </c>
      <c r="H326" s="414">
        <f>F326*D326</f>
        <v>8190</v>
      </c>
      <c r="I326" s="414">
        <f>D326*G326</f>
        <v>1500</v>
      </c>
      <c r="J326" s="414">
        <f>H326+I326</f>
        <v>9690</v>
      </c>
      <c r="K326" s="1002"/>
      <c r="L326" s="932"/>
      <c r="M326" s="939" t="s">
        <v>1836</v>
      </c>
    </row>
    <row r="327" spans="1:13" s="922" customFormat="1">
      <c r="A327" s="935"/>
      <c r="B327" s="892" t="s">
        <v>139</v>
      </c>
      <c r="C327" s="1085" t="s">
        <v>1433</v>
      </c>
      <c r="D327" s="408">
        <v>2</v>
      </c>
      <c r="E327" s="936" t="s">
        <v>5</v>
      </c>
      <c r="F327" s="1108">
        <v>3790</v>
      </c>
      <c r="G327" s="936">
        <v>0</v>
      </c>
      <c r="H327" s="414">
        <f>F327*D327</f>
        <v>7580</v>
      </c>
      <c r="I327" s="414">
        <f>D327*G327</f>
        <v>0</v>
      </c>
      <c r="J327" s="414">
        <f>H327+I327</f>
        <v>7580</v>
      </c>
      <c r="K327" s="1002"/>
      <c r="L327" s="932"/>
      <c r="M327" s="939" t="s">
        <v>1836</v>
      </c>
    </row>
    <row r="328" spans="1:13" s="922" customFormat="1">
      <c r="A328" s="935"/>
      <c r="B328" s="892" t="s">
        <v>139</v>
      </c>
      <c r="C328" s="1085" t="s">
        <v>1566</v>
      </c>
      <c r="D328" s="408">
        <v>1</v>
      </c>
      <c r="E328" s="936" t="s">
        <v>5</v>
      </c>
      <c r="F328" s="1108">
        <v>795</v>
      </c>
      <c r="G328" s="936">
        <v>250</v>
      </c>
      <c r="H328" s="414">
        <f>F328*D328</f>
        <v>795</v>
      </c>
      <c r="I328" s="414">
        <f>D328*G328</f>
        <v>250</v>
      </c>
      <c r="J328" s="414">
        <f>H328+I328</f>
        <v>1045</v>
      </c>
      <c r="K328" s="1002"/>
      <c r="L328" s="932"/>
      <c r="M328" s="939" t="s">
        <v>1836</v>
      </c>
    </row>
    <row r="329" spans="1:13" s="922" customFormat="1">
      <c r="A329" s="935"/>
      <c r="B329" s="892" t="s">
        <v>139</v>
      </c>
      <c r="C329" s="1085" t="s">
        <v>1567</v>
      </c>
      <c r="D329" s="408">
        <v>1</v>
      </c>
      <c r="E329" s="936" t="s">
        <v>5</v>
      </c>
      <c r="F329" s="1108">
        <v>500</v>
      </c>
      <c r="G329" s="936">
        <v>250</v>
      </c>
      <c r="H329" s="414">
        <f>F329*D329</f>
        <v>500</v>
      </c>
      <c r="I329" s="414">
        <f>D329*G329</f>
        <v>250</v>
      </c>
      <c r="J329" s="414">
        <f>H329+I329</f>
        <v>750</v>
      </c>
      <c r="K329" s="1002"/>
      <c r="L329" s="932"/>
      <c r="M329" s="939" t="s">
        <v>1836</v>
      </c>
    </row>
    <row r="330" spans="1:13" s="922" customFormat="1">
      <c r="A330" s="959"/>
      <c r="B330" s="894"/>
      <c r="C330" s="1102"/>
      <c r="D330" s="424"/>
      <c r="E330" s="961"/>
      <c r="F330" s="1113"/>
      <c r="G330" s="961"/>
      <c r="H330" s="415"/>
      <c r="I330" s="415"/>
      <c r="J330" s="415"/>
      <c r="K330" s="1002"/>
      <c r="L330" s="932"/>
      <c r="M330" s="939"/>
    </row>
    <row r="331" spans="1:13" s="968" customFormat="1" ht="24.75" thickBot="1">
      <c r="A331" s="962"/>
      <c r="B331" s="1092"/>
      <c r="C331" s="1093" t="str">
        <f>"รวมราคา "&amp;B99</f>
        <v>รวมราคา งานตู้ควบคุมไฟฟ้า ( LOAD PANEL )</v>
      </c>
      <c r="D331" s="1094"/>
      <c r="E331" s="966"/>
      <c r="F331" s="966"/>
      <c r="G331" s="966"/>
      <c r="H331" s="966">
        <f>SUM(H100:H330)</f>
        <v>845645</v>
      </c>
      <c r="I331" s="966">
        <f>SUM(I100:I330)</f>
        <v>66000</v>
      </c>
      <c r="J331" s="966">
        <f>SUM(J100:J330)</f>
        <v>911645</v>
      </c>
      <c r="K331" s="966"/>
      <c r="L331" s="967"/>
      <c r="M331" s="1095"/>
    </row>
    <row r="332" spans="1:13" s="968" customFormat="1" ht="24.75" thickTop="1">
      <c r="A332" s="929">
        <v>4.4000000000000004</v>
      </c>
      <c r="B332" s="2468" t="s">
        <v>1457</v>
      </c>
      <c r="C332" s="2469"/>
      <c r="D332" s="921"/>
      <c r="E332" s="995"/>
      <c r="F332" s="995"/>
      <c r="G332" s="995"/>
      <c r="H332" s="996"/>
      <c r="I332" s="996"/>
      <c r="J332" s="996"/>
      <c r="K332" s="996"/>
      <c r="L332" s="967"/>
      <c r="M332" s="1095"/>
    </row>
    <row r="333" spans="1:13" s="922" customFormat="1">
      <c r="A333" s="933" t="s">
        <v>216</v>
      </c>
      <c r="B333" s="2470" t="s">
        <v>1502</v>
      </c>
      <c r="C333" s="2471"/>
      <c r="D333" s="406"/>
      <c r="E333" s="934"/>
      <c r="F333" s="449"/>
      <c r="G333" s="449"/>
      <c r="H333" s="449"/>
      <c r="I333" s="449"/>
      <c r="J333" s="449"/>
      <c r="K333" s="449"/>
      <c r="L333" s="932"/>
      <c r="M333" s="1077"/>
    </row>
    <row r="334" spans="1:13" s="922" customFormat="1">
      <c r="A334" s="935"/>
      <c r="B334" s="953" t="s">
        <v>1503</v>
      </c>
      <c r="C334" s="953"/>
      <c r="D334" s="404"/>
      <c r="E334" s="936"/>
      <c r="F334" s="414"/>
      <c r="G334" s="414"/>
      <c r="H334" s="414"/>
      <c r="I334" s="414"/>
      <c r="J334" s="414"/>
      <c r="K334" s="414"/>
      <c r="L334" s="932"/>
      <c r="M334" s="1077"/>
    </row>
    <row r="335" spans="1:13" s="952" customFormat="1">
      <c r="A335" s="946"/>
      <c r="B335" s="947" t="s">
        <v>139</v>
      </c>
      <c r="C335" s="1114" t="s">
        <v>1507</v>
      </c>
      <c r="D335" s="670">
        <v>3</v>
      </c>
      <c r="E335" s="945" t="s">
        <v>84</v>
      </c>
      <c r="F335" s="949">
        <v>860</v>
      </c>
      <c r="G335" s="949">
        <v>45</v>
      </c>
      <c r="H335" s="949">
        <f>F335*D335</f>
        <v>2580</v>
      </c>
      <c r="I335" s="949">
        <f>D335*G335</f>
        <v>135</v>
      </c>
      <c r="J335" s="949">
        <f>H335+I335</f>
        <v>2715</v>
      </c>
      <c r="K335" s="949"/>
      <c r="L335" s="950"/>
      <c r="M335" s="1084" t="s">
        <v>642</v>
      </c>
    </row>
    <row r="336" spans="1:13" s="922" customFormat="1">
      <c r="A336" s="935"/>
      <c r="B336" s="892" t="s">
        <v>139</v>
      </c>
      <c r="C336" s="1115" t="s">
        <v>1458</v>
      </c>
      <c r="D336" s="404">
        <v>24</v>
      </c>
      <c r="E336" s="936" t="s">
        <v>84</v>
      </c>
      <c r="F336" s="414">
        <v>187</v>
      </c>
      <c r="G336" s="414">
        <v>30</v>
      </c>
      <c r="H336" s="414">
        <f>F336*D336</f>
        <v>4488</v>
      </c>
      <c r="I336" s="414">
        <f>D336*G336</f>
        <v>720</v>
      </c>
      <c r="J336" s="414">
        <f>H336+I336</f>
        <v>5208</v>
      </c>
      <c r="K336" s="414"/>
      <c r="L336" s="932"/>
      <c r="M336" s="939" t="s">
        <v>642</v>
      </c>
    </row>
    <row r="337" spans="1:13" s="922" customFormat="1">
      <c r="A337" s="935"/>
      <c r="B337" s="892" t="s">
        <v>139</v>
      </c>
      <c r="C337" s="1115" t="s">
        <v>1459</v>
      </c>
      <c r="D337" s="404">
        <f>48*4</f>
        <v>192</v>
      </c>
      <c r="E337" s="936" t="s">
        <v>84</v>
      </c>
      <c r="F337" s="414">
        <v>707</v>
      </c>
      <c r="G337" s="414">
        <v>65</v>
      </c>
      <c r="H337" s="414">
        <f>F337*D337</f>
        <v>135744</v>
      </c>
      <c r="I337" s="414">
        <f>D337*G337</f>
        <v>12480</v>
      </c>
      <c r="J337" s="414">
        <f>H337+I337</f>
        <v>148224</v>
      </c>
      <c r="K337" s="414"/>
      <c r="L337" s="932"/>
      <c r="M337" s="939" t="s">
        <v>642</v>
      </c>
    </row>
    <row r="338" spans="1:13" s="922" customFormat="1">
      <c r="A338" s="935"/>
      <c r="B338" s="953" t="s">
        <v>1504</v>
      </c>
      <c r="C338" s="953"/>
      <c r="D338" s="404"/>
      <c r="E338" s="936"/>
      <c r="F338" s="1116"/>
      <c r="G338" s="414"/>
      <c r="H338" s="414"/>
      <c r="I338" s="414"/>
      <c r="J338" s="414"/>
      <c r="K338" s="414"/>
      <c r="L338" s="932"/>
      <c r="M338" s="1117"/>
    </row>
    <row r="339" spans="1:13" s="922" customFormat="1">
      <c r="A339" s="935"/>
      <c r="B339" s="892" t="s">
        <v>139</v>
      </c>
      <c r="C339" s="1115" t="s">
        <v>1460</v>
      </c>
      <c r="D339" s="404">
        <v>3</v>
      </c>
      <c r="E339" s="936" t="s">
        <v>5</v>
      </c>
      <c r="F339" s="414">
        <v>6500</v>
      </c>
      <c r="G339" s="414">
        <v>1500</v>
      </c>
      <c r="H339" s="414">
        <f t="shared" ref="H339:H352" si="21">F339*D339</f>
        <v>19500</v>
      </c>
      <c r="I339" s="414">
        <f>D339*G339</f>
        <v>4500</v>
      </c>
      <c r="J339" s="414">
        <f>H339+I339</f>
        <v>24000</v>
      </c>
      <c r="K339" s="414"/>
      <c r="L339" s="932"/>
      <c r="M339" s="939" t="s">
        <v>642</v>
      </c>
    </row>
    <row r="340" spans="1:13" s="922" customFormat="1">
      <c r="A340" s="935"/>
      <c r="B340" s="892" t="s">
        <v>139</v>
      </c>
      <c r="C340" s="1115" t="s">
        <v>136</v>
      </c>
      <c r="D340" s="404">
        <v>2</v>
      </c>
      <c r="E340" s="936" t="s">
        <v>5</v>
      </c>
      <c r="F340" s="414">
        <v>25000</v>
      </c>
      <c r="G340" s="414">
        <v>3500</v>
      </c>
      <c r="H340" s="414">
        <f t="shared" si="21"/>
        <v>50000</v>
      </c>
      <c r="I340" s="414">
        <f>D340*G340</f>
        <v>7000</v>
      </c>
      <c r="J340" s="414">
        <f>H340+I340</f>
        <v>57000</v>
      </c>
      <c r="K340" s="414"/>
      <c r="L340" s="932"/>
      <c r="M340" s="939" t="s">
        <v>642</v>
      </c>
    </row>
    <row r="341" spans="1:13" s="922" customFormat="1">
      <c r="A341" s="2183"/>
      <c r="B341" s="2183"/>
      <c r="C341" s="2183"/>
      <c r="D341" s="2184"/>
      <c r="E341" s="2185"/>
      <c r="F341" s="2185"/>
      <c r="G341" s="2185"/>
      <c r="H341" s="2185"/>
      <c r="I341" s="2185"/>
      <c r="J341" s="2185"/>
      <c r="K341" s="2185"/>
      <c r="L341" s="932"/>
      <c r="M341" s="939"/>
    </row>
    <row r="342" spans="1:13" s="922" customFormat="1">
      <c r="A342" s="2186"/>
      <c r="B342" s="2187"/>
      <c r="C342" s="2186" t="s">
        <v>133</v>
      </c>
      <c r="D342" s="2188"/>
      <c r="E342" s="418"/>
      <c r="F342" s="2189"/>
      <c r="G342" s="2189"/>
      <c r="H342" s="1277"/>
      <c r="I342" s="1277"/>
      <c r="J342" s="2188"/>
      <c r="K342" s="2188"/>
      <c r="L342" s="932"/>
      <c r="M342" s="939"/>
    </row>
    <row r="343" spans="1:13" s="922" customFormat="1">
      <c r="A343" s="1642"/>
      <c r="B343" s="1017"/>
      <c r="C343" s="2407" t="s">
        <v>1769</v>
      </c>
      <c r="D343" s="2407"/>
      <c r="E343" s="1017"/>
      <c r="F343" s="1017"/>
      <c r="G343" s="1017"/>
      <c r="H343" s="1017" t="s">
        <v>134</v>
      </c>
      <c r="I343" s="1017"/>
      <c r="J343" s="1017"/>
      <c r="K343" s="1017"/>
      <c r="L343" s="932"/>
      <c r="M343" s="939"/>
    </row>
    <row r="344" spans="1:13" s="922" customFormat="1">
      <c r="A344" s="1643"/>
      <c r="B344" s="419"/>
      <c r="C344" s="2408" t="s">
        <v>1970</v>
      </c>
      <c r="D344" s="2408"/>
      <c r="E344" s="419"/>
      <c r="F344" s="419"/>
      <c r="G344" s="419"/>
      <c r="H344" s="419" t="s">
        <v>1971</v>
      </c>
      <c r="I344" s="419"/>
      <c r="J344" s="419"/>
      <c r="K344" s="419"/>
      <c r="L344" s="932"/>
      <c r="M344" s="939"/>
    </row>
    <row r="345" spans="1:13" s="922" customFormat="1">
      <c r="A345" s="2188"/>
      <c r="B345" s="1017"/>
      <c r="C345" s="1017" t="s">
        <v>2031</v>
      </c>
      <c r="D345" s="2188"/>
      <c r="E345" s="419"/>
      <c r="F345" s="419"/>
      <c r="G345" s="419"/>
      <c r="H345" s="1017" t="s">
        <v>134</v>
      </c>
      <c r="I345" s="419"/>
      <c r="J345" s="419"/>
      <c r="K345" s="419"/>
      <c r="L345" s="932"/>
      <c r="M345" s="939"/>
    </row>
    <row r="346" spans="1:13" s="922" customFormat="1">
      <c r="A346" s="1017"/>
      <c r="B346" s="419"/>
      <c r="C346" s="419" t="s">
        <v>1984</v>
      </c>
      <c r="D346" s="2188"/>
      <c r="E346" s="1017"/>
      <c r="F346" s="1017"/>
      <c r="G346" s="1017"/>
      <c r="H346" s="419" t="s">
        <v>1985</v>
      </c>
      <c r="I346" s="1017"/>
      <c r="J346" s="1017"/>
      <c r="K346" s="1017"/>
      <c r="L346" s="932"/>
      <c r="M346" s="939"/>
    </row>
    <row r="347" spans="1:13" s="922" customFormat="1">
      <c r="A347" s="2190"/>
      <c r="B347" s="2190"/>
      <c r="C347" s="1017" t="s">
        <v>670</v>
      </c>
      <c r="D347" s="2191"/>
      <c r="E347" s="2192"/>
      <c r="F347" s="2193"/>
      <c r="G347" s="2194"/>
      <c r="H347" s="2194"/>
      <c r="I347" s="2194"/>
      <c r="J347" s="2194"/>
      <c r="K347" s="2194"/>
      <c r="L347" s="932"/>
      <c r="M347" s="939"/>
    </row>
    <row r="348" spans="1:13" s="922" customFormat="1">
      <c r="A348" s="2195"/>
      <c r="B348" s="2195"/>
      <c r="C348" s="2196" t="s">
        <v>1972</v>
      </c>
      <c r="D348" s="2197"/>
      <c r="E348" s="2198"/>
      <c r="F348" s="2199"/>
      <c r="G348" s="2200"/>
      <c r="H348" s="2200"/>
      <c r="I348" s="2200"/>
      <c r="J348" s="2200"/>
      <c r="K348" s="2200"/>
      <c r="L348" s="932"/>
      <c r="M348" s="939"/>
    </row>
    <row r="349" spans="1:13" s="922" customFormat="1">
      <c r="A349" s="935"/>
      <c r="B349" s="892" t="s">
        <v>107</v>
      </c>
      <c r="C349" s="1115" t="s">
        <v>402</v>
      </c>
      <c r="D349" s="404">
        <v>6</v>
      </c>
      <c r="E349" s="936" t="s">
        <v>85</v>
      </c>
      <c r="F349" s="414">
        <v>1610</v>
      </c>
      <c r="G349" s="414">
        <v>398</v>
      </c>
      <c r="H349" s="414">
        <f t="shared" si="21"/>
        <v>9660</v>
      </c>
      <c r="I349" s="414">
        <f>G349*D349</f>
        <v>2388</v>
      </c>
      <c r="J349" s="414">
        <f>SUM(H349:I349)</f>
        <v>12048</v>
      </c>
      <c r="K349" s="414"/>
      <c r="L349" s="932"/>
      <c r="M349" s="939" t="s">
        <v>642</v>
      </c>
    </row>
    <row r="350" spans="1:13" s="922" customFormat="1">
      <c r="A350" s="935"/>
      <c r="B350" s="1118" t="s">
        <v>107</v>
      </c>
      <c r="C350" s="1085" t="s">
        <v>403</v>
      </c>
      <c r="D350" s="404">
        <v>6</v>
      </c>
      <c r="E350" s="936" t="s">
        <v>85</v>
      </c>
      <c r="F350" s="414">
        <v>495</v>
      </c>
      <c r="G350" s="414">
        <v>91</v>
      </c>
      <c r="H350" s="404">
        <f t="shared" si="21"/>
        <v>2970</v>
      </c>
      <c r="I350" s="404">
        <f>G350*D350</f>
        <v>546</v>
      </c>
      <c r="J350" s="404">
        <f>SUM(H350:I350)</f>
        <v>3516</v>
      </c>
      <c r="K350" s="414"/>
      <c r="L350" s="932"/>
      <c r="M350" s="939" t="s">
        <v>642</v>
      </c>
    </row>
    <row r="351" spans="1:13" s="922" customFormat="1">
      <c r="A351" s="935"/>
      <c r="B351" s="892" t="s">
        <v>139</v>
      </c>
      <c r="C351" s="944" t="s">
        <v>456</v>
      </c>
      <c r="D351" s="404">
        <v>10</v>
      </c>
      <c r="E351" s="945" t="s">
        <v>85</v>
      </c>
      <c r="F351" s="414">
        <v>0</v>
      </c>
      <c r="G351" s="414">
        <v>99</v>
      </c>
      <c r="H351" s="404">
        <f t="shared" si="21"/>
        <v>0</v>
      </c>
      <c r="I351" s="414">
        <f>D351*G351</f>
        <v>990</v>
      </c>
      <c r="J351" s="414">
        <f>H351+I351</f>
        <v>990</v>
      </c>
      <c r="K351" s="414"/>
      <c r="L351" s="932"/>
      <c r="M351" s="939" t="s">
        <v>642</v>
      </c>
    </row>
    <row r="352" spans="1:13" s="952" customFormat="1">
      <c r="A352" s="946"/>
      <c r="B352" s="1119" t="s">
        <v>139</v>
      </c>
      <c r="C352" s="1120" t="s">
        <v>1843</v>
      </c>
      <c r="D352" s="670">
        <v>1</v>
      </c>
      <c r="E352" s="945" t="s">
        <v>105</v>
      </c>
      <c r="F352" s="949">
        <f>ROUND(SUM(H335:H337)*0.15,0)</f>
        <v>21422</v>
      </c>
      <c r="G352" s="949">
        <v>0</v>
      </c>
      <c r="H352" s="949">
        <f t="shared" si="21"/>
        <v>21422</v>
      </c>
      <c r="I352" s="949">
        <f>D352*G352</f>
        <v>0</v>
      </c>
      <c r="J352" s="949">
        <f>H352+I352</f>
        <v>21422</v>
      </c>
      <c r="K352" s="949"/>
      <c r="L352" s="950"/>
      <c r="M352" s="1121" t="s">
        <v>282</v>
      </c>
    </row>
    <row r="353" spans="1:13" s="922" customFormat="1">
      <c r="A353" s="935"/>
      <c r="B353" s="953" t="s">
        <v>1505</v>
      </c>
      <c r="C353" s="953"/>
      <c r="D353" s="404"/>
      <c r="E353" s="936"/>
      <c r="F353" s="1116"/>
      <c r="G353" s="414"/>
      <c r="H353" s="414"/>
      <c r="I353" s="414"/>
      <c r="J353" s="414"/>
      <c r="K353" s="414"/>
      <c r="L353" s="932"/>
      <c r="M353" s="1117"/>
    </row>
    <row r="354" spans="1:13" s="922" customFormat="1">
      <c r="A354" s="935"/>
      <c r="B354" s="892" t="s">
        <v>139</v>
      </c>
      <c r="C354" s="1122" t="s">
        <v>1461</v>
      </c>
      <c r="D354" s="404">
        <f>60*4*4</f>
        <v>960</v>
      </c>
      <c r="E354" s="936" t="s">
        <v>84</v>
      </c>
      <c r="F354" s="414">
        <v>794</v>
      </c>
      <c r="G354" s="414">
        <v>85</v>
      </c>
      <c r="H354" s="414">
        <f>F354*D354</f>
        <v>762240</v>
      </c>
      <c r="I354" s="414">
        <f>D354*G354</f>
        <v>81600</v>
      </c>
      <c r="J354" s="414">
        <f>H354+I354</f>
        <v>843840</v>
      </c>
      <c r="K354" s="414"/>
      <c r="L354" s="932"/>
      <c r="M354" s="939" t="s">
        <v>642</v>
      </c>
    </row>
    <row r="355" spans="1:13" s="922" customFormat="1">
      <c r="A355" s="935"/>
      <c r="B355" s="953" t="s">
        <v>1506</v>
      </c>
      <c r="C355" s="953"/>
      <c r="D355" s="404"/>
      <c r="E355" s="936"/>
      <c r="F355" s="1116"/>
      <c r="G355" s="414"/>
      <c r="H355" s="414"/>
      <c r="I355" s="414"/>
      <c r="J355" s="414"/>
      <c r="K355" s="414"/>
      <c r="L355" s="932"/>
      <c r="M355" s="1117"/>
    </row>
    <row r="356" spans="1:13" s="952" customFormat="1">
      <c r="A356" s="946"/>
      <c r="B356" s="947" t="s">
        <v>139</v>
      </c>
      <c r="C356" s="1120" t="s">
        <v>1842</v>
      </c>
      <c r="D356" s="670">
        <v>1</v>
      </c>
      <c r="E356" s="945" t="s">
        <v>105</v>
      </c>
      <c r="F356" s="949">
        <f>SUM(H354)*0.05</f>
        <v>38112</v>
      </c>
      <c r="G356" s="949">
        <v>0</v>
      </c>
      <c r="H356" s="949">
        <f>F356*D356</f>
        <v>38112</v>
      </c>
      <c r="I356" s="949">
        <f>D356*G356</f>
        <v>0</v>
      </c>
      <c r="J356" s="949">
        <f>H356+I356</f>
        <v>38112</v>
      </c>
      <c r="K356" s="949"/>
      <c r="L356" s="950"/>
      <c r="M356" s="1121" t="s">
        <v>282</v>
      </c>
    </row>
    <row r="357" spans="1:13" s="922" customFormat="1">
      <c r="A357" s="935" t="s">
        <v>325</v>
      </c>
      <c r="B357" s="2464" t="s">
        <v>1583</v>
      </c>
      <c r="C357" s="2465"/>
      <c r="D357" s="404"/>
      <c r="E357" s="936"/>
      <c r="F357" s="1116"/>
      <c r="G357" s="414"/>
      <c r="H357" s="414"/>
      <c r="I357" s="414"/>
      <c r="J357" s="414"/>
      <c r="K357" s="414"/>
      <c r="L357" s="932"/>
      <c r="M357" s="1117"/>
    </row>
    <row r="358" spans="1:13" s="922" customFormat="1">
      <c r="A358" s="935"/>
      <c r="B358" s="2466" t="s">
        <v>1465</v>
      </c>
      <c r="C358" s="2467"/>
      <c r="D358" s="404"/>
      <c r="E358" s="936"/>
      <c r="F358" s="1116"/>
      <c r="G358" s="414"/>
      <c r="H358" s="414"/>
      <c r="I358" s="414"/>
      <c r="J358" s="414"/>
      <c r="K358" s="414"/>
      <c r="L358" s="932"/>
      <c r="M358" s="1117"/>
    </row>
    <row r="359" spans="1:13" s="922" customFormat="1">
      <c r="A359" s="935"/>
      <c r="B359" s="892" t="s">
        <v>139</v>
      </c>
      <c r="C359" s="1115" t="s">
        <v>1466</v>
      </c>
      <c r="D359" s="404">
        <v>15</v>
      </c>
      <c r="E359" s="936" t="s">
        <v>84</v>
      </c>
      <c r="F359" s="414">
        <v>571</v>
      </c>
      <c r="G359" s="414">
        <v>55</v>
      </c>
      <c r="H359" s="414">
        <f>F359*D359</f>
        <v>8565</v>
      </c>
      <c r="I359" s="414">
        <f>D359*G359</f>
        <v>825</v>
      </c>
      <c r="J359" s="414">
        <f>H359+I359</f>
        <v>9390</v>
      </c>
      <c r="K359" s="414"/>
      <c r="L359" s="932"/>
      <c r="M359" s="939" t="s">
        <v>642</v>
      </c>
    </row>
    <row r="360" spans="1:13" s="922" customFormat="1">
      <c r="A360" s="935"/>
      <c r="B360" s="953" t="s">
        <v>1467</v>
      </c>
      <c r="C360" s="953"/>
      <c r="D360" s="404"/>
      <c r="E360" s="936"/>
      <c r="F360" s="1116"/>
      <c r="G360" s="414"/>
      <c r="H360" s="414"/>
      <c r="I360" s="414"/>
      <c r="J360" s="414"/>
      <c r="K360" s="414"/>
      <c r="L360" s="932"/>
      <c r="M360" s="1117"/>
    </row>
    <row r="361" spans="1:13" s="952" customFormat="1">
      <c r="A361" s="946"/>
      <c r="B361" s="1119" t="s">
        <v>139</v>
      </c>
      <c r="C361" s="1120" t="s">
        <v>1843</v>
      </c>
      <c r="D361" s="670">
        <v>1</v>
      </c>
      <c r="E361" s="945" t="s">
        <v>105</v>
      </c>
      <c r="F361" s="949">
        <f>ROUND(SUM(H358:H359)*0.15,0)</f>
        <v>1285</v>
      </c>
      <c r="G361" s="949">
        <v>0</v>
      </c>
      <c r="H361" s="949">
        <f>F361*D361</f>
        <v>1285</v>
      </c>
      <c r="I361" s="949">
        <f>D361*G361</f>
        <v>0</v>
      </c>
      <c r="J361" s="949">
        <f>H361+I361</f>
        <v>1285</v>
      </c>
      <c r="K361" s="949"/>
      <c r="L361" s="950"/>
      <c r="M361" s="1121" t="s">
        <v>282</v>
      </c>
    </row>
    <row r="362" spans="1:13" s="922" customFormat="1">
      <c r="A362" s="935"/>
      <c r="B362" s="953" t="s">
        <v>1468</v>
      </c>
      <c r="C362" s="953"/>
      <c r="D362" s="404"/>
      <c r="E362" s="936"/>
      <c r="F362" s="1116"/>
      <c r="G362" s="414"/>
      <c r="H362" s="414"/>
      <c r="I362" s="414"/>
      <c r="J362" s="414"/>
      <c r="K362" s="414"/>
      <c r="L362" s="932"/>
      <c r="M362" s="1117"/>
    </row>
    <row r="363" spans="1:13" s="922" customFormat="1">
      <c r="A363" s="935"/>
      <c r="B363" s="892" t="s">
        <v>139</v>
      </c>
      <c r="C363" s="1122" t="s">
        <v>1470</v>
      </c>
      <c r="D363" s="404">
        <f>20*4</f>
        <v>80</v>
      </c>
      <c r="E363" s="936" t="s">
        <v>84</v>
      </c>
      <c r="F363" s="414">
        <v>926</v>
      </c>
      <c r="G363" s="414">
        <v>75</v>
      </c>
      <c r="H363" s="414">
        <f>F363*D363</f>
        <v>74080</v>
      </c>
      <c r="I363" s="414">
        <f>D363*G363</f>
        <v>6000</v>
      </c>
      <c r="J363" s="414">
        <f>H363+I363</f>
        <v>80080</v>
      </c>
      <c r="K363" s="414"/>
      <c r="L363" s="932"/>
      <c r="M363" s="939" t="s">
        <v>642</v>
      </c>
    </row>
    <row r="364" spans="1:13" s="922" customFormat="1">
      <c r="A364" s="935"/>
      <c r="B364" s="892" t="s">
        <v>139</v>
      </c>
      <c r="C364" s="1122" t="s">
        <v>1471</v>
      </c>
      <c r="D364" s="404">
        <v>20</v>
      </c>
      <c r="E364" s="936" t="s">
        <v>84</v>
      </c>
      <c r="F364" s="414">
        <v>148</v>
      </c>
      <c r="G364" s="414">
        <v>30</v>
      </c>
      <c r="H364" s="414">
        <f>F364*D364</f>
        <v>2960</v>
      </c>
      <c r="I364" s="414">
        <f>D364*G364</f>
        <v>600</v>
      </c>
      <c r="J364" s="414">
        <f>H364+I364</f>
        <v>3560</v>
      </c>
      <c r="K364" s="414"/>
      <c r="L364" s="932"/>
      <c r="M364" s="939" t="s">
        <v>642</v>
      </c>
    </row>
    <row r="365" spans="1:13" s="922" customFormat="1">
      <c r="A365" s="935"/>
      <c r="B365" s="953" t="s">
        <v>1469</v>
      </c>
      <c r="C365" s="953"/>
      <c r="D365" s="404"/>
      <c r="E365" s="936"/>
      <c r="F365" s="1116"/>
      <c r="G365" s="414"/>
      <c r="H365" s="414"/>
      <c r="I365" s="414"/>
      <c r="J365" s="414"/>
      <c r="K365" s="414"/>
      <c r="L365" s="932"/>
      <c r="M365" s="1117"/>
    </row>
    <row r="366" spans="1:13" s="952" customFormat="1">
      <c r="A366" s="946"/>
      <c r="B366" s="947" t="s">
        <v>139</v>
      </c>
      <c r="C366" s="1120" t="s">
        <v>1842</v>
      </c>
      <c r="D366" s="670">
        <v>1</v>
      </c>
      <c r="E366" s="945" t="s">
        <v>105</v>
      </c>
      <c r="F366" s="949">
        <f>SUM(H363:H364)*0.05</f>
        <v>3852</v>
      </c>
      <c r="G366" s="949">
        <v>0</v>
      </c>
      <c r="H366" s="949">
        <f>F366*D366</f>
        <v>3852</v>
      </c>
      <c r="I366" s="949">
        <f>D366*G366</f>
        <v>0</v>
      </c>
      <c r="J366" s="949">
        <f>H366+I366</f>
        <v>3852</v>
      </c>
      <c r="K366" s="949"/>
      <c r="L366" s="950"/>
      <c r="M366" s="1121" t="s">
        <v>282</v>
      </c>
    </row>
    <row r="367" spans="1:13" s="922" customFormat="1">
      <c r="A367" s="935" t="s">
        <v>326</v>
      </c>
      <c r="B367" s="2464" t="s">
        <v>1584</v>
      </c>
      <c r="C367" s="2465"/>
      <c r="D367" s="404"/>
      <c r="E367" s="936"/>
      <c r="F367" s="1116"/>
      <c r="G367" s="414"/>
      <c r="H367" s="414"/>
      <c r="I367" s="414"/>
      <c r="J367" s="414"/>
      <c r="K367" s="414"/>
      <c r="L367" s="932"/>
      <c r="M367" s="1117"/>
    </row>
    <row r="368" spans="1:13" s="922" customFormat="1">
      <c r="A368" s="935"/>
      <c r="B368" s="2466" t="s">
        <v>1487</v>
      </c>
      <c r="C368" s="2467"/>
      <c r="D368" s="404"/>
      <c r="E368" s="936"/>
      <c r="F368" s="1116"/>
      <c r="G368" s="414"/>
      <c r="H368" s="414"/>
      <c r="I368" s="414"/>
      <c r="J368" s="414"/>
      <c r="K368" s="414"/>
      <c r="L368" s="932"/>
      <c r="M368" s="1117"/>
    </row>
    <row r="369" spans="1:13" s="922" customFormat="1">
      <c r="A369" s="935"/>
      <c r="B369" s="892" t="s">
        <v>139</v>
      </c>
      <c r="C369" s="1115" t="s">
        <v>1459</v>
      </c>
      <c r="D369" s="404">
        <f>72*2</f>
        <v>144</v>
      </c>
      <c r="E369" s="936" t="s">
        <v>84</v>
      </c>
      <c r="F369" s="414">
        <v>707</v>
      </c>
      <c r="G369" s="414">
        <v>65</v>
      </c>
      <c r="H369" s="414">
        <f>F369*D369</f>
        <v>101808</v>
      </c>
      <c r="I369" s="414">
        <f>D369*G369</f>
        <v>9360</v>
      </c>
      <c r="J369" s="414">
        <f>H369+I369</f>
        <v>111168</v>
      </c>
      <c r="K369" s="414"/>
      <c r="L369" s="932"/>
      <c r="M369" s="939" t="s">
        <v>642</v>
      </c>
    </row>
    <row r="370" spans="1:13" s="922" customFormat="1">
      <c r="A370" s="935"/>
      <c r="B370" s="892" t="s">
        <v>139</v>
      </c>
      <c r="C370" s="1115" t="s">
        <v>1466</v>
      </c>
      <c r="D370" s="404">
        <v>108</v>
      </c>
      <c r="E370" s="936" t="s">
        <v>84</v>
      </c>
      <c r="F370" s="414">
        <v>571</v>
      </c>
      <c r="G370" s="414">
        <v>55</v>
      </c>
      <c r="H370" s="414">
        <f>F370*D370</f>
        <v>61668</v>
      </c>
      <c r="I370" s="414">
        <f>D370*G370</f>
        <v>5940</v>
      </c>
      <c r="J370" s="414">
        <f>H370+I370</f>
        <v>67608</v>
      </c>
      <c r="K370" s="414"/>
      <c r="L370" s="932"/>
      <c r="M370" s="939" t="s">
        <v>642</v>
      </c>
    </row>
    <row r="371" spans="1:13" s="922" customFormat="1">
      <c r="A371" s="935"/>
      <c r="B371" s="892" t="s">
        <v>139</v>
      </c>
      <c r="C371" s="1115" t="s">
        <v>1475</v>
      </c>
      <c r="D371" s="404">
        <v>120</v>
      </c>
      <c r="E371" s="936" t="s">
        <v>84</v>
      </c>
      <c r="F371" s="414">
        <v>229.33</v>
      </c>
      <c r="G371" s="414">
        <v>42</v>
      </c>
      <c r="H371" s="414">
        <f>F371*D371</f>
        <v>27519.600000000002</v>
      </c>
      <c r="I371" s="414">
        <f>D371*G371</f>
        <v>5040</v>
      </c>
      <c r="J371" s="414">
        <f>H371+I371</f>
        <v>32559.600000000002</v>
      </c>
      <c r="K371" s="414"/>
      <c r="L371" s="932"/>
      <c r="M371" s="939" t="s">
        <v>642</v>
      </c>
    </row>
    <row r="372" spans="1:13" s="922" customFormat="1">
      <c r="A372" s="2183"/>
      <c r="B372" s="2183"/>
      <c r="C372" s="2183"/>
      <c r="D372" s="2184"/>
      <c r="E372" s="2185"/>
      <c r="F372" s="2185"/>
      <c r="G372" s="2185"/>
      <c r="H372" s="2185"/>
      <c r="I372" s="2185"/>
      <c r="J372" s="2185"/>
      <c r="K372" s="2185"/>
      <c r="L372" s="932"/>
      <c r="M372" s="939"/>
    </row>
    <row r="373" spans="1:13" s="922" customFormat="1">
      <c r="A373" s="2186"/>
      <c r="B373" s="2187"/>
      <c r="C373" s="2186" t="s">
        <v>133</v>
      </c>
      <c r="D373" s="2188"/>
      <c r="E373" s="418"/>
      <c r="F373" s="2189"/>
      <c r="G373" s="2189"/>
      <c r="H373" s="1277"/>
      <c r="I373" s="1277"/>
      <c r="J373" s="2188"/>
      <c r="K373" s="2188"/>
      <c r="L373" s="932"/>
      <c r="M373" s="939"/>
    </row>
    <row r="374" spans="1:13" s="922" customFormat="1">
      <c r="A374" s="1642"/>
      <c r="B374" s="1017"/>
      <c r="C374" s="2407" t="s">
        <v>1769</v>
      </c>
      <c r="D374" s="2407"/>
      <c r="E374" s="1017"/>
      <c r="F374" s="1017"/>
      <c r="G374" s="1017"/>
      <c r="H374" s="1017" t="s">
        <v>134</v>
      </c>
      <c r="I374" s="1017"/>
      <c r="J374" s="1017"/>
      <c r="K374" s="1017"/>
      <c r="L374" s="932"/>
      <c r="M374" s="939"/>
    </row>
    <row r="375" spans="1:13" s="922" customFormat="1">
      <c r="A375" s="1643"/>
      <c r="B375" s="419"/>
      <c r="C375" s="2408" t="s">
        <v>1970</v>
      </c>
      <c r="D375" s="2408"/>
      <c r="E375" s="419"/>
      <c r="F375" s="419"/>
      <c r="G375" s="419"/>
      <c r="H375" s="419" t="s">
        <v>1971</v>
      </c>
      <c r="I375" s="419"/>
      <c r="J375" s="419"/>
      <c r="K375" s="419"/>
      <c r="L375" s="932"/>
      <c r="M375" s="939"/>
    </row>
    <row r="376" spans="1:13" s="922" customFormat="1">
      <c r="A376" s="2188"/>
      <c r="B376" s="1017"/>
      <c r="C376" s="1017" t="s">
        <v>2031</v>
      </c>
      <c r="D376" s="2188"/>
      <c r="E376" s="419"/>
      <c r="F376" s="419"/>
      <c r="G376" s="419"/>
      <c r="H376" s="1017" t="s">
        <v>134</v>
      </c>
      <c r="I376" s="419"/>
      <c r="J376" s="419"/>
      <c r="K376" s="419"/>
      <c r="L376" s="932"/>
      <c r="M376" s="939"/>
    </row>
    <row r="377" spans="1:13" s="922" customFormat="1">
      <c r="A377" s="1017"/>
      <c r="B377" s="419"/>
      <c r="C377" s="419" t="s">
        <v>1984</v>
      </c>
      <c r="D377" s="2188"/>
      <c r="E377" s="1017"/>
      <c r="F377" s="1017"/>
      <c r="G377" s="1017"/>
      <c r="H377" s="419" t="s">
        <v>1985</v>
      </c>
      <c r="I377" s="1017"/>
      <c r="J377" s="1017"/>
      <c r="K377" s="1017"/>
      <c r="L377" s="932"/>
      <c r="M377" s="939"/>
    </row>
    <row r="378" spans="1:13" s="922" customFormat="1">
      <c r="A378" s="2190"/>
      <c r="B378" s="2190"/>
      <c r="C378" s="1017" t="s">
        <v>670</v>
      </c>
      <c r="D378" s="2191"/>
      <c r="E378" s="2192"/>
      <c r="F378" s="2193"/>
      <c r="G378" s="2194"/>
      <c r="H378" s="2194"/>
      <c r="I378" s="2194"/>
      <c r="J378" s="2194"/>
      <c r="K378" s="2194"/>
      <c r="L378" s="932"/>
      <c r="M378" s="939"/>
    </row>
    <row r="379" spans="1:13" s="922" customFormat="1">
      <c r="A379" s="2195"/>
      <c r="B379" s="2195"/>
      <c r="C379" s="2196" t="s">
        <v>1972</v>
      </c>
      <c r="D379" s="2197"/>
      <c r="E379" s="2198"/>
      <c r="F379" s="2199"/>
      <c r="G379" s="2200"/>
      <c r="H379" s="2200"/>
      <c r="I379" s="2200"/>
      <c r="J379" s="2200"/>
      <c r="K379" s="2200"/>
      <c r="L379" s="932"/>
      <c r="M379" s="939"/>
    </row>
    <row r="380" spans="1:13" s="922" customFormat="1">
      <c r="A380" s="935"/>
      <c r="B380" s="953" t="s">
        <v>1488</v>
      </c>
      <c r="C380" s="1115"/>
      <c r="D380" s="404"/>
      <c r="E380" s="936"/>
      <c r="F380" s="414"/>
      <c r="G380" s="414"/>
      <c r="H380" s="414"/>
      <c r="I380" s="414"/>
      <c r="J380" s="414"/>
      <c r="K380" s="414"/>
      <c r="L380" s="932"/>
      <c r="M380" s="939"/>
    </row>
    <row r="381" spans="1:13" s="952" customFormat="1">
      <c r="A381" s="946"/>
      <c r="B381" s="1119" t="s">
        <v>139</v>
      </c>
      <c r="C381" s="1120" t="s">
        <v>1843</v>
      </c>
      <c r="D381" s="670">
        <v>1</v>
      </c>
      <c r="E381" s="945" t="s">
        <v>105</v>
      </c>
      <c r="F381" s="949">
        <f>ROUND(SUM(H369:H371)*0.15,0)</f>
        <v>28649</v>
      </c>
      <c r="G381" s="949">
        <v>0</v>
      </c>
      <c r="H381" s="949">
        <f>F381*D381</f>
        <v>28649</v>
      </c>
      <c r="I381" s="949">
        <f>D381*G381</f>
        <v>0</v>
      </c>
      <c r="J381" s="949">
        <f>H381+I381</f>
        <v>28649</v>
      </c>
      <c r="K381" s="949"/>
      <c r="L381" s="950"/>
      <c r="M381" s="1121" t="s">
        <v>282</v>
      </c>
    </row>
    <row r="382" spans="1:13" s="922" customFormat="1">
      <c r="A382" s="933"/>
      <c r="B382" s="953" t="s">
        <v>1489</v>
      </c>
      <c r="C382" s="953"/>
      <c r="D382" s="406"/>
      <c r="E382" s="934"/>
      <c r="F382" s="1123"/>
      <c r="G382" s="449"/>
      <c r="H382" s="449"/>
      <c r="I382" s="449"/>
      <c r="J382" s="449"/>
      <c r="K382" s="449"/>
      <c r="L382" s="932"/>
      <c r="M382" s="1117"/>
    </row>
    <row r="383" spans="1:13" s="922" customFormat="1">
      <c r="A383" s="935"/>
      <c r="B383" s="892" t="s">
        <v>139</v>
      </c>
      <c r="C383" s="1122" t="s">
        <v>1461</v>
      </c>
      <c r="D383" s="404">
        <f>75*2*4</f>
        <v>600</v>
      </c>
      <c r="E383" s="936" t="s">
        <v>84</v>
      </c>
      <c r="F383" s="414">
        <v>794</v>
      </c>
      <c r="G383" s="414">
        <v>85</v>
      </c>
      <c r="H383" s="414">
        <f>F383*D383</f>
        <v>476400</v>
      </c>
      <c r="I383" s="414">
        <f>D383*G383</f>
        <v>51000</v>
      </c>
      <c r="J383" s="414">
        <f>H383+I383</f>
        <v>527400</v>
      </c>
      <c r="K383" s="414"/>
      <c r="L383" s="932"/>
      <c r="M383" s="939" t="s">
        <v>642</v>
      </c>
    </row>
    <row r="384" spans="1:13" s="922" customFormat="1">
      <c r="A384" s="935"/>
      <c r="B384" s="892" t="s">
        <v>139</v>
      </c>
      <c r="C384" s="1122" t="s">
        <v>1472</v>
      </c>
      <c r="D384" s="404">
        <f>75*2</f>
        <v>150</v>
      </c>
      <c r="E384" s="936" t="s">
        <v>84</v>
      </c>
      <c r="F384" s="414">
        <v>153</v>
      </c>
      <c r="G384" s="414">
        <v>30</v>
      </c>
      <c r="H384" s="414">
        <f>F384*D384</f>
        <v>22950</v>
      </c>
      <c r="I384" s="414">
        <f>D384*G384</f>
        <v>4500</v>
      </c>
      <c r="J384" s="414">
        <f>H384+I384</f>
        <v>27450</v>
      </c>
      <c r="K384" s="414"/>
      <c r="L384" s="932"/>
      <c r="M384" s="939" t="s">
        <v>642</v>
      </c>
    </row>
    <row r="385" spans="1:13" s="922" customFormat="1">
      <c r="A385" s="935"/>
      <c r="B385" s="892" t="s">
        <v>139</v>
      </c>
      <c r="C385" s="1122" t="s">
        <v>1491</v>
      </c>
      <c r="D385" s="404">
        <f>115*4</f>
        <v>460</v>
      </c>
      <c r="E385" s="936" t="s">
        <v>84</v>
      </c>
      <c r="F385" s="414">
        <v>451.5</v>
      </c>
      <c r="G385" s="414">
        <v>55</v>
      </c>
      <c r="H385" s="414">
        <f>F385*D385</f>
        <v>207690</v>
      </c>
      <c r="I385" s="414">
        <f>D385*G385</f>
        <v>25300</v>
      </c>
      <c r="J385" s="414">
        <f>H385+I385</f>
        <v>232990</v>
      </c>
      <c r="K385" s="414"/>
      <c r="L385" s="932"/>
      <c r="M385" s="939" t="s">
        <v>642</v>
      </c>
    </row>
    <row r="386" spans="1:13" s="922" customFormat="1">
      <c r="A386" s="935"/>
      <c r="B386" s="892" t="s">
        <v>139</v>
      </c>
      <c r="C386" s="1122" t="s">
        <v>1473</v>
      </c>
      <c r="D386" s="404">
        <f>125*4</f>
        <v>500</v>
      </c>
      <c r="E386" s="936" t="s">
        <v>84</v>
      </c>
      <c r="F386" s="414">
        <v>327.7</v>
      </c>
      <c r="G386" s="414">
        <v>45</v>
      </c>
      <c r="H386" s="414">
        <f>F386*D386</f>
        <v>163850</v>
      </c>
      <c r="I386" s="414">
        <f>D386*G386</f>
        <v>22500</v>
      </c>
      <c r="J386" s="414">
        <f>H386+I386</f>
        <v>186350</v>
      </c>
      <c r="K386" s="414"/>
      <c r="L386" s="932"/>
      <c r="M386" s="939" t="s">
        <v>642</v>
      </c>
    </row>
    <row r="387" spans="1:13" s="922" customFormat="1">
      <c r="A387" s="935"/>
      <c r="B387" s="892" t="s">
        <v>139</v>
      </c>
      <c r="C387" s="1122" t="s">
        <v>1474</v>
      </c>
      <c r="D387" s="404">
        <f>125+115</f>
        <v>240</v>
      </c>
      <c r="E387" s="936" t="s">
        <v>84</v>
      </c>
      <c r="F387" s="414">
        <v>76.5</v>
      </c>
      <c r="G387" s="414">
        <v>20</v>
      </c>
      <c r="H387" s="414">
        <f>F387*D387</f>
        <v>18360</v>
      </c>
      <c r="I387" s="414">
        <f>D387*G387</f>
        <v>4800</v>
      </c>
      <c r="J387" s="414">
        <f>H387+I387</f>
        <v>23160</v>
      </c>
      <c r="K387" s="414"/>
      <c r="L387" s="932"/>
      <c r="M387" s="939" t="s">
        <v>642</v>
      </c>
    </row>
    <row r="388" spans="1:13" s="922" customFormat="1">
      <c r="A388" s="935"/>
      <c r="B388" s="953" t="s">
        <v>1490</v>
      </c>
      <c r="C388" s="953"/>
      <c r="D388" s="404"/>
      <c r="E388" s="936"/>
      <c r="F388" s="1116"/>
      <c r="G388" s="414"/>
      <c r="H388" s="414"/>
      <c r="I388" s="414"/>
      <c r="J388" s="414"/>
      <c r="K388" s="414"/>
      <c r="L388" s="932"/>
      <c r="M388" s="1117"/>
    </row>
    <row r="389" spans="1:13" s="952" customFormat="1">
      <c r="A389" s="946"/>
      <c r="B389" s="947" t="s">
        <v>139</v>
      </c>
      <c r="C389" s="1087" t="s">
        <v>1842</v>
      </c>
      <c r="D389" s="670">
        <v>1</v>
      </c>
      <c r="E389" s="945" t="s">
        <v>105</v>
      </c>
      <c r="F389" s="949">
        <f>SUM(H383:H387)*0.05</f>
        <v>44462.5</v>
      </c>
      <c r="G389" s="949">
        <v>0</v>
      </c>
      <c r="H389" s="949">
        <f>F389*D389</f>
        <v>44462.5</v>
      </c>
      <c r="I389" s="949">
        <f>D389*G389</f>
        <v>0</v>
      </c>
      <c r="J389" s="949">
        <f>H389+I389</f>
        <v>44462.5</v>
      </c>
      <c r="K389" s="949"/>
      <c r="L389" s="950"/>
      <c r="M389" s="1121" t="s">
        <v>282</v>
      </c>
    </row>
    <row r="390" spans="1:13" s="922" customFormat="1">
      <c r="A390" s="935" t="s">
        <v>327</v>
      </c>
      <c r="B390" s="2464" t="s">
        <v>1585</v>
      </c>
      <c r="C390" s="2465"/>
      <c r="D390" s="404"/>
      <c r="E390" s="936"/>
      <c r="F390" s="1116"/>
      <c r="G390" s="414"/>
      <c r="H390" s="414"/>
      <c r="I390" s="414"/>
      <c r="J390" s="414"/>
      <c r="K390" s="414"/>
      <c r="L390" s="932"/>
      <c r="M390" s="1117"/>
    </row>
    <row r="391" spans="1:13" s="922" customFormat="1">
      <c r="A391" s="935"/>
      <c r="B391" s="953" t="s">
        <v>1476</v>
      </c>
      <c r="C391" s="953"/>
      <c r="D391" s="404"/>
      <c r="E391" s="936"/>
      <c r="F391" s="1116"/>
      <c r="G391" s="414"/>
      <c r="H391" s="414"/>
      <c r="I391" s="414"/>
      <c r="J391" s="414"/>
      <c r="K391" s="414"/>
      <c r="L391" s="932"/>
      <c r="M391" s="1117"/>
    </row>
    <row r="392" spans="1:13" s="922" customFormat="1">
      <c r="A392" s="935"/>
      <c r="B392" s="892" t="s">
        <v>139</v>
      </c>
      <c r="C392" s="1115" t="s">
        <v>1486</v>
      </c>
      <c r="D392" s="404">
        <v>60</v>
      </c>
      <c r="E392" s="936" t="s">
        <v>84</v>
      </c>
      <c r="F392" s="414">
        <v>640</v>
      </c>
      <c r="G392" s="414">
        <v>55</v>
      </c>
      <c r="H392" s="414">
        <f>F392*D392</f>
        <v>38400</v>
      </c>
      <c r="I392" s="414">
        <f>D392*G392</f>
        <v>3300</v>
      </c>
      <c r="J392" s="414">
        <f>H392+I392</f>
        <v>41700</v>
      </c>
      <c r="K392" s="414"/>
      <c r="L392" s="932"/>
      <c r="M392" s="939" t="s">
        <v>642</v>
      </c>
    </row>
    <row r="393" spans="1:13" s="922" customFormat="1">
      <c r="A393" s="935"/>
      <c r="B393" s="892" t="s">
        <v>139</v>
      </c>
      <c r="C393" s="1115" t="s">
        <v>1527</v>
      </c>
      <c r="D393" s="404">
        <f>60+30</f>
        <v>90</v>
      </c>
      <c r="E393" s="936" t="s">
        <v>84</v>
      </c>
      <c r="F393" s="414">
        <v>380</v>
      </c>
      <c r="G393" s="414">
        <v>45</v>
      </c>
      <c r="H393" s="414">
        <f>F393*D393</f>
        <v>34200</v>
      </c>
      <c r="I393" s="414">
        <f>D393*G393</f>
        <v>4050</v>
      </c>
      <c r="J393" s="414">
        <f>H393+I393</f>
        <v>38250</v>
      </c>
      <c r="K393" s="414"/>
      <c r="L393" s="932"/>
      <c r="M393" s="939" t="s">
        <v>642</v>
      </c>
    </row>
    <row r="394" spans="1:13" s="922" customFormat="1">
      <c r="A394" s="935"/>
      <c r="B394" s="892" t="s">
        <v>139</v>
      </c>
      <c r="C394" s="1115" t="s">
        <v>1475</v>
      </c>
      <c r="D394" s="404">
        <f>21+27</f>
        <v>48</v>
      </c>
      <c r="E394" s="936" t="s">
        <v>84</v>
      </c>
      <c r="F394" s="414">
        <v>229.33</v>
      </c>
      <c r="G394" s="414">
        <v>42</v>
      </c>
      <c r="H394" s="414">
        <f>F394*D394</f>
        <v>11007.84</v>
      </c>
      <c r="I394" s="414">
        <f>D394*G394</f>
        <v>2016</v>
      </c>
      <c r="J394" s="414">
        <f>H394+I394</f>
        <v>13023.84</v>
      </c>
      <c r="K394" s="414"/>
      <c r="L394" s="932"/>
      <c r="M394" s="939" t="s">
        <v>642</v>
      </c>
    </row>
    <row r="395" spans="1:13" s="922" customFormat="1">
      <c r="A395" s="935"/>
      <c r="B395" s="892" t="s">
        <v>139</v>
      </c>
      <c r="C395" s="1115" t="s">
        <v>1484</v>
      </c>
      <c r="D395" s="404">
        <f>9+24+30+33+36+39+42</f>
        <v>213</v>
      </c>
      <c r="E395" s="936" t="s">
        <v>84</v>
      </c>
      <c r="F395" s="414">
        <v>185</v>
      </c>
      <c r="G395" s="414">
        <v>38</v>
      </c>
      <c r="H395" s="414">
        <f>F395*D395</f>
        <v>39405</v>
      </c>
      <c r="I395" s="414">
        <f>D395*G395</f>
        <v>8094</v>
      </c>
      <c r="J395" s="414">
        <f>H395+I395</f>
        <v>47499</v>
      </c>
      <c r="K395" s="414"/>
      <c r="L395" s="932"/>
      <c r="M395" s="939" t="s">
        <v>642</v>
      </c>
    </row>
    <row r="396" spans="1:13" s="922" customFormat="1">
      <c r="A396" s="935"/>
      <c r="B396" s="892" t="s">
        <v>139</v>
      </c>
      <c r="C396" s="1115" t="s">
        <v>1485</v>
      </c>
      <c r="D396" s="404">
        <f>45+240</f>
        <v>285</v>
      </c>
      <c r="E396" s="936" t="s">
        <v>84</v>
      </c>
      <c r="F396" s="414">
        <v>64</v>
      </c>
      <c r="G396" s="414">
        <v>24</v>
      </c>
      <c r="H396" s="414">
        <f>F396*D396</f>
        <v>18240</v>
      </c>
      <c r="I396" s="414">
        <f>D396*G396</f>
        <v>6840</v>
      </c>
      <c r="J396" s="414">
        <f>H396+I396</f>
        <v>25080</v>
      </c>
      <c r="K396" s="414"/>
      <c r="L396" s="932"/>
      <c r="M396" s="939" t="s">
        <v>642</v>
      </c>
    </row>
    <row r="397" spans="1:13" s="922" customFormat="1">
      <c r="A397" s="935"/>
      <c r="B397" s="953" t="s">
        <v>1477</v>
      </c>
      <c r="C397" s="953"/>
      <c r="D397" s="404"/>
      <c r="E397" s="936"/>
      <c r="F397" s="1116"/>
      <c r="G397" s="414"/>
      <c r="H397" s="414"/>
      <c r="I397" s="414"/>
      <c r="J397" s="414"/>
      <c r="K397" s="414"/>
      <c r="L397" s="932"/>
      <c r="M397" s="1117"/>
    </row>
    <row r="398" spans="1:13" s="952" customFormat="1">
      <c r="A398" s="946"/>
      <c r="B398" s="1119" t="s">
        <v>139</v>
      </c>
      <c r="C398" s="1120" t="s">
        <v>1843</v>
      </c>
      <c r="D398" s="670">
        <v>1</v>
      </c>
      <c r="E398" s="945" t="s">
        <v>105</v>
      </c>
      <c r="F398" s="949">
        <f>ROUND(SUM(H392:H396)*0.15,0)</f>
        <v>21188</v>
      </c>
      <c r="G398" s="949">
        <v>0</v>
      </c>
      <c r="H398" s="949">
        <f>F398*D398</f>
        <v>21188</v>
      </c>
      <c r="I398" s="949">
        <f>D398*G398</f>
        <v>0</v>
      </c>
      <c r="J398" s="949">
        <f>H398+I398</f>
        <v>21188</v>
      </c>
      <c r="K398" s="949"/>
      <c r="L398" s="950"/>
      <c r="M398" s="1121" t="s">
        <v>282</v>
      </c>
    </row>
    <row r="399" spans="1:13" s="922" customFormat="1">
      <c r="A399" s="935"/>
      <c r="B399" s="953" t="s">
        <v>1478</v>
      </c>
      <c r="C399" s="953"/>
      <c r="D399" s="404"/>
      <c r="E399" s="936"/>
      <c r="F399" s="1116"/>
      <c r="G399" s="414"/>
      <c r="H399" s="414"/>
      <c r="I399" s="414"/>
      <c r="J399" s="414"/>
      <c r="K399" s="414"/>
      <c r="L399" s="932"/>
      <c r="M399" s="1117"/>
    </row>
    <row r="400" spans="1:13" s="922" customFormat="1">
      <c r="A400" s="935"/>
      <c r="B400" s="892" t="s">
        <v>139</v>
      </c>
      <c r="C400" s="1122" t="s">
        <v>1480</v>
      </c>
      <c r="D400" s="404">
        <v>240</v>
      </c>
      <c r="E400" s="936" t="s">
        <v>84</v>
      </c>
      <c r="F400" s="414">
        <v>229.2</v>
      </c>
      <c r="G400" s="414">
        <v>40</v>
      </c>
      <c r="H400" s="414">
        <f t="shared" ref="H400:H413" si="22">F400*D400</f>
        <v>55008</v>
      </c>
      <c r="I400" s="414">
        <f t="shared" ref="I400:I413" si="23">D400*G400</f>
        <v>9600</v>
      </c>
      <c r="J400" s="414">
        <f t="shared" ref="J400:J413" si="24">H400+I400</f>
        <v>64608</v>
      </c>
      <c r="K400" s="414"/>
      <c r="L400" s="932"/>
      <c r="M400" s="939" t="s">
        <v>642</v>
      </c>
    </row>
    <row r="401" spans="1:13" s="922" customFormat="1">
      <c r="A401" s="935"/>
      <c r="B401" s="892" t="s">
        <v>139</v>
      </c>
      <c r="C401" s="1122" t="s">
        <v>1483</v>
      </c>
      <c r="D401" s="404">
        <f>40+(28+34+37+40+43)*4+12</f>
        <v>780</v>
      </c>
      <c r="E401" s="936" t="s">
        <v>84</v>
      </c>
      <c r="F401" s="414">
        <v>120</v>
      </c>
      <c r="G401" s="414">
        <v>25</v>
      </c>
      <c r="H401" s="414">
        <f t="shared" si="22"/>
        <v>93600</v>
      </c>
      <c r="I401" s="414">
        <f t="shared" si="23"/>
        <v>19500</v>
      </c>
      <c r="J401" s="414">
        <f t="shared" si="24"/>
        <v>113100</v>
      </c>
      <c r="K401" s="414"/>
      <c r="L401" s="932"/>
      <c r="M401" s="939" t="s">
        <v>642</v>
      </c>
    </row>
    <row r="402" spans="1:13" s="922" customFormat="1">
      <c r="A402" s="2183"/>
      <c r="B402" s="2183"/>
      <c r="C402" s="2183"/>
      <c r="D402" s="2184"/>
      <c r="E402" s="2185"/>
      <c r="F402" s="2185"/>
      <c r="G402" s="2185"/>
      <c r="H402" s="2185"/>
      <c r="I402" s="2185"/>
      <c r="J402" s="2185"/>
      <c r="K402" s="2185"/>
      <c r="L402" s="932"/>
      <c r="M402" s="939"/>
    </row>
    <row r="403" spans="1:13" s="922" customFormat="1">
      <c r="A403" s="2186"/>
      <c r="B403" s="2187"/>
      <c r="C403" s="2186" t="s">
        <v>133</v>
      </c>
      <c r="D403" s="2188"/>
      <c r="E403" s="418"/>
      <c r="F403" s="2189"/>
      <c r="G403" s="2189"/>
      <c r="H403" s="1277"/>
      <c r="I403" s="1277"/>
      <c r="J403" s="2188"/>
      <c r="K403" s="2188"/>
      <c r="L403" s="932"/>
      <c r="M403" s="939"/>
    </row>
    <row r="404" spans="1:13" s="922" customFormat="1">
      <c r="A404" s="1642"/>
      <c r="B404" s="1017"/>
      <c r="C404" s="2407" t="s">
        <v>1769</v>
      </c>
      <c r="D404" s="2407"/>
      <c r="E404" s="1017"/>
      <c r="F404" s="1017"/>
      <c r="G404" s="1017"/>
      <c r="H404" s="1017" t="s">
        <v>134</v>
      </c>
      <c r="I404" s="1017"/>
      <c r="J404" s="1017"/>
      <c r="K404" s="1017"/>
      <c r="L404" s="932"/>
      <c r="M404" s="939"/>
    </row>
    <row r="405" spans="1:13" s="922" customFormat="1">
      <c r="A405" s="1643"/>
      <c r="B405" s="419"/>
      <c r="C405" s="2408" t="s">
        <v>1970</v>
      </c>
      <c r="D405" s="2408"/>
      <c r="E405" s="419"/>
      <c r="F405" s="419"/>
      <c r="G405" s="419"/>
      <c r="H405" s="419" t="s">
        <v>1971</v>
      </c>
      <c r="I405" s="419"/>
      <c r="J405" s="419"/>
      <c r="K405" s="419"/>
      <c r="L405" s="932"/>
      <c r="M405" s="939"/>
    </row>
    <row r="406" spans="1:13" s="922" customFormat="1">
      <c r="A406" s="2188"/>
      <c r="B406" s="1017"/>
      <c r="C406" s="1017" t="s">
        <v>2031</v>
      </c>
      <c r="D406" s="2188"/>
      <c r="E406" s="419"/>
      <c r="F406" s="419"/>
      <c r="G406" s="419"/>
      <c r="H406" s="1017" t="s">
        <v>134</v>
      </c>
      <c r="I406" s="419"/>
      <c r="J406" s="419"/>
      <c r="K406" s="419"/>
      <c r="L406" s="932"/>
      <c r="M406" s="939"/>
    </row>
    <row r="407" spans="1:13" s="922" customFormat="1">
      <c r="A407" s="1017"/>
      <c r="B407" s="419"/>
      <c r="C407" s="419" t="s">
        <v>1984</v>
      </c>
      <c r="D407" s="2188"/>
      <c r="E407" s="1017"/>
      <c r="F407" s="1017"/>
      <c r="G407" s="1017"/>
      <c r="H407" s="419" t="s">
        <v>1985</v>
      </c>
      <c r="I407" s="1017"/>
      <c r="J407" s="1017"/>
      <c r="K407" s="1017"/>
      <c r="L407" s="932"/>
      <c r="M407" s="939"/>
    </row>
    <row r="408" spans="1:13" s="922" customFormat="1">
      <c r="A408" s="2190"/>
      <c r="B408" s="2190"/>
      <c r="C408" s="1017" t="s">
        <v>670</v>
      </c>
      <c r="D408" s="2191"/>
      <c r="E408" s="2192"/>
      <c r="F408" s="2193"/>
      <c r="G408" s="2194"/>
      <c r="H408" s="2194"/>
      <c r="I408" s="2194"/>
      <c r="J408" s="2194"/>
      <c r="K408" s="2194"/>
      <c r="L408" s="932"/>
      <c r="M408" s="939"/>
    </row>
    <row r="409" spans="1:13" s="922" customFormat="1">
      <c r="A409" s="2195"/>
      <c r="B409" s="2195"/>
      <c r="C409" s="2196" t="s">
        <v>1972</v>
      </c>
      <c r="D409" s="2197"/>
      <c r="E409" s="2198"/>
      <c r="F409" s="2199"/>
      <c r="G409" s="2200"/>
      <c r="H409" s="2200"/>
      <c r="I409" s="2200"/>
      <c r="J409" s="2200"/>
      <c r="K409" s="2200"/>
      <c r="L409" s="932"/>
      <c r="M409" s="939"/>
    </row>
    <row r="410" spans="1:13" s="922" customFormat="1">
      <c r="A410" s="935"/>
      <c r="B410" s="892" t="s">
        <v>139</v>
      </c>
      <c r="C410" s="1122" t="s">
        <v>1481</v>
      </c>
      <c r="D410" s="404">
        <v>60</v>
      </c>
      <c r="E410" s="936" t="s">
        <v>84</v>
      </c>
      <c r="F410" s="414">
        <v>49.3</v>
      </c>
      <c r="G410" s="414">
        <v>16</v>
      </c>
      <c r="H410" s="414">
        <f t="shared" si="22"/>
        <v>2958</v>
      </c>
      <c r="I410" s="414">
        <f t="shared" si="23"/>
        <v>960</v>
      </c>
      <c r="J410" s="414">
        <f t="shared" si="24"/>
        <v>3918</v>
      </c>
      <c r="K410" s="414"/>
      <c r="L410" s="932"/>
      <c r="M410" s="939" t="s">
        <v>642</v>
      </c>
    </row>
    <row r="411" spans="1:13" s="922" customFormat="1">
      <c r="A411" s="935"/>
      <c r="B411" s="892" t="s">
        <v>139</v>
      </c>
      <c r="C411" s="1122" t="s">
        <v>1482</v>
      </c>
      <c r="D411" s="404">
        <v>400</v>
      </c>
      <c r="E411" s="936" t="s">
        <v>84</v>
      </c>
      <c r="F411" s="414">
        <v>28.3</v>
      </c>
      <c r="G411" s="414">
        <v>12</v>
      </c>
      <c r="H411" s="414">
        <f t="shared" si="22"/>
        <v>11320</v>
      </c>
      <c r="I411" s="414">
        <f t="shared" si="23"/>
        <v>4800</v>
      </c>
      <c r="J411" s="414">
        <f t="shared" si="24"/>
        <v>16120</v>
      </c>
      <c r="K411" s="414"/>
      <c r="L411" s="932"/>
      <c r="M411" s="939" t="s">
        <v>642</v>
      </c>
    </row>
    <row r="412" spans="1:13" s="922" customFormat="1">
      <c r="A412" s="935"/>
      <c r="B412" s="892" t="s">
        <v>139</v>
      </c>
      <c r="C412" s="1122" t="s">
        <v>1492</v>
      </c>
      <c r="D412" s="404">
        <f>250*4+300</f>
        <v>1300</v>
      </c>
      <c r="E412" s="936" t="s">
        <v>84</v>
      </c>
      <c r="F412" s="414">
        <v>17.2</v>
      </c>
      <c r="G412" s="414">
        <v>10</v>
      </c>
      <c r="H412" s="414">
        <f t="shared" si="22"/>
        <v>22360</v>
      </c>
      <c r="I412" s="414">
        <f t="shared" si="23"/>
        <v>13000</v>
      </c>
      <c r="J412" s="414">
        <f t="shared" si="24"/>
        <v>35360</v>
      </c>
      <c r="K412" s="414"/>
      <c r="L412" s="932"/>
      <c r="M412" s="939" t="s">
        <v>642</v>
      </c>
    </row>
    <row r="413" spans="1:13" s="922" customFormat="1">
      <c r="A413" s="935"/>
      <c r="B413" s="892" t="s">
        <v>139</v>
      </c>
      <c r="C413" s="1122" t="s">
        <v>1364</v>
      </c>
      <c r="D413" s="404">
        <v>400</v>
      </c>
      <c r="E413" s="936" t="s">
        <v>84</v>
      </c>
      <c r="F413" s="414">
        <v>11.4</v>
      </c>
      <c r="G413" s="414">
        <v>7</v>
      </c>
      <c r="H413" s="414">
        <f t="shared" si="22"/>
        <v>4560</v>
      </c>
      <c r="I413" s="414">
        <f t="shared" si="23"/>
        <v>2800</v>
      </c>
      <c r="J413" s="414">
        <f t="shared" si="24"/>
        <v>7360</v>
      </c>
      <c r="K413" s="414"/>
      <c r="L413" s="932"/>
      <c r="M413" s="939" t="s">
        <v>642</v>
      </c>
    </row>
    <row r="414" spans="1:13" s="922" customFormat="1">
      <c r="A414" s="935"/>
      <c r="B414" s="953" t="s">
        <v>1479</v>
      </c>
      <c r="C414" s="953"/>
      <c r="D414" s="404"/>
      <c r="E414" s="936"/>
      <c r="F414" s="1116"/>
      <c r="G414" s="414"/>
      <c r="H414" s="414"/>
      <c r="I414" s="414"/>
      <c r="J414" s="414"/>
      <c r="K414" s="414"/>
      <c r="L414" s="932"/>
      <c r="M414" s="1117"/>
    </row>
    <row r="415" spans="1:13" s="952" customFormat="1">
      <c r="A415" s="946"/>
      <c r="B415" s="947" t="s">
        <v>139</v>
      </c>
      <c r="C415" s="1120" t="s">
        <v>1842</v>
      </c>
      <c r="D415" s="670">
        <v>1</v>
      </c>
      <c r="E415" s="945" t="s">
        <v>105</v>
      </c>
      <c r="F415" s="949">
        <f>SUM(H400:H413)*0.05</f>
        <v>9490.3000000000011</v>
      </c>
      <c r="G415" s="949">
        <v>0</v>
      </c>
      <c r="H415" s="949">
        <f>F415*D415</f>
        <v>9490.3000000000011</v>
      </c>
      <c r="I415" s="949">
        <f>D415*G415</f>
        <v>0</v>
      </c>
      <c r="J415" s="949">
        <f>H415+I415</f>
        <v>9490.3000000000011</v>
      </c>
      <c r="K415" s="949"/>
      <c r="L415" s="950"/>
      <c r="M415" s="1121" t="s">
        <v>282</v>
      </c>
    </row>
    <row r="416" spans="1:13" s="922" customFormat="1">
      <c r="A416" s="935" t="s">
        <v>328</v>
      </c>
      <c r="B416" s="2464" t="s">
        <v>1586</v>
      </c>
      <c r="C416" s="2465"/>
      <c r="D416" s="404"/>
      <c r="E416" s="936"/>
      <c r="F416" s="1116"/>
      <c r="G416" s="414"/>
      <c r="H416" s="414"/>
      <c r="I416" s="414"/>
      <c r="J416" s="414"/>
      <c r="K416" s="414"/>
      <c r="L416" s="932"/>
      <c r="M416" s="1117"/>
    </row>
    <row r="417" spans="1:13" s="922" customFormat="1">
      <c r="A417" s="935"/>
      <c r="B417" s="953" t="s">
        <v>1494</v>
      </c>
      <c r="C417" s="953"/>
      <c r="D417" s="404"/>
      <c r="E417" s="936"/>
      <c r="F417" s="1116"/>
      <c r="G417" s="414"/>
      <c r="H417" s="414"/>
      <c r="I417" s="414"/>
      <c r="J417" s="414"/>
      <c r="K417" s="414"/>
      <c r="L417" s="932"/>
      <c r="M417" s="1117"/>
    </row>
    <row r="418" spans="1:13" s="922" customFormat="1">
      <c r="A418" s="935"/>
      <c r="B418" s="892" t="s">
        <v>139</v>
      </c>
      <c r="C418" s="1115" t="s">
        <v>1493</v>
      </c>
      <c r="D418" s="404">
        <v>18</v>
      </c>
      <c r="E418" s="936" t="s">
        <v>84</v>
      </c>
      <c r="F418" s="414">
        <v>990</v>
      </c>
      <c r="G418" s="414">
        <v>70</v>
      </c>
      <c r="H418" s="414">
        <f t="shared" ref="H418:H426" si="25">F418*D418</f>
        <v>17820</v>
      </c>
      <c r="I418" s="414">
        <f t="shared" ref="I418:I426" si="26">D418*G418</f>
        <v>1260</v>
      </c>
      <c r="J418" s="414">
        <f t="shared" ref="J418:J426" si="27">H418+I418</f>
        <v>19080</v>
      </c>
      <c r="K418" s="414"/>
      <c r="L418" s="932"/>
      <c r="M418" s="939" t="s">
        <v>642</v>
      </c>
    </row>
    <row r="419" spans="1:13" s="922" customFormat="1">
      <c r="A419" s="935"/>
      <c r="B419" s="892" t="s">
        <v>139</v>
      </c>
      <c r="C419" s="1115" t="s">
        <v>1498</v>
      </c>
      <c r="D419" s="404">
        <f>12+39</f>
        <v>51</v>
      </c>
      <c r="E419" s="936" t="s">
        <v>84</v>
      </c>
      <c r="F419" s="414">
        <v>365</v>
      </c>
      <c r="G419" s="414">
        <v>48</v>
      </c>
      <c r="H419" s="414">
        <f t="shared" si="25"/>
        <v>18615</v>
      </c>
      <c r="I419" s="414">
        <f t="shared" si="26"/>
        <v>2448</v>
      </c>
      <c r="J419" s="414">
        <f t="shared" si="27"/>
        <v>21063</v>
      </c>
      <c r="K419" s="414"/>
      <c r="L419" s="932"/>
      <c r="M419" s="939" t="s">
        <v>642</v>
      </c>
    </row>
    <row r="420" spans="1:13" s="922" customFormat="1">
      <c r="A420" s="935"/>
      <c r="B420" s="892" t="s">
        <v>139</v>
      </c>
      <c r="C420" s="1115" t="s">
        <v>1499</v>
      </c>
      <c r="D420" s="404">
        <f>12+9+6+6+12</f>
        <v>45</v>
      </c>
      <c r="E420" s="936" t="s">
        <v>84</v>
      </c>
      <c r="F420" s="414">
        <v>267</v>
      </c>
      <c r="G420" s="414">
        <v>42</v>
      </c>
      <c r="H420" s="414">
        <f t="shared" si="25"/>
        <v>12015</v>
      </c>
      <c r="I420" s="414">
        <f t="shared" si="26"/>
        <v>1890</v>
      </c>
      <c r="J420" s="414">
        <f t="shared" si="27"/>
        <v>13905</v>
      </c>
      <c r="K420" s="414"/>
      <c r="L420" s="932"/>
      <c r="M420" s="939" t="s">
        <v>642</v>
      </c>
    </row>
    <row r="421" spans="1:13" s="922" customFormat="1">
      <c r="A421" s="935"/>
      <c r="B421" s="892" t="s">
        <v>139</v>
      </c>
      <c r="C421" s="1115" t="s">
        <v>1500</v>
      </c>
      <c r="D421" s="404">
        <f>45+9+4*6</f>
        <v>78</v>
      </c>
      <c r="E421" s="936" t="s">
        <v>84</v>
      </c>
      <c r="F421" s="414">
        <v>217.67</v>
      </c>
      <c r="G421" s="414">
        <v>38</v>
      </c>
      <c r="H421" s="414">
        <f t="shared" si="25"/>
        <v>16978.259999999998</v>
      </c>
      <c r="I421" s="414">
        <f t="shared" si="26"/>
        <v>2964</v>
      </c>
      <c r="J421" s="414">
        <f t="shared" si="27"/>
        <v>19942.259999999998</v>
      </c>
      <c r="K421" s="414"/>
      <c r="L421" s="932"/>
      <c r="M421" s="939" t="s">
        <v>642</v>
      </c>
    </row>
    <row r="422" spans="1:13" s="922" customFormat="1">
      <c r="A422" s="935"/>
      <c r="B422" s="892" t="s">
        <v>139</v>
      </c>
      <c r="C422" s="1115" t="s">
        <v>1501</v>
      </c>
      <c r="D422" s="404">
        <f>45+60</f>
        <v>105</v>
      </c>
      <c r="E422" s="936" t="s">
        <v>84</v>
      </c>
      <c r="F422" s="414">
        <v>168.67</v>
      </c>
      <c r="G422" s="414">
        <v>32</v>
      </c>
      <c r="H422" s="414">
        <f t="shared" si="25"/>
        <v>17710.349999999999</v>
      </c>
      <c r="I422" s="414">
        <f t="shared" si="26"/>
        <v>3360</v>
      </c>
      <c r="J422" s="414">
        <f t="shared" si="27"/>
        <v>21070.35</v>
      </c>
      <c r="K422" s="414"/>
      <c r="L422" s="932"/>
      <c r="M422" s="939" t="s">
        <v>642</v>
      </c>
    </row>
    <row r="423" spans="1:13" s="922" customFormat="1">
      <c r="A423" s="935"/>
      <c r="B423" s="892" t="s">
        <v>139</v>
      </c>
      <c r="C423" s="1115" t="s">
        <v>512</v>
      </c>
      <c r="D423" s="404">
        <v>15</v>
      </c>
      <c r="E423" s="936" t="s">
        <v>84</v>
      </c>
      <c r="F423" s="414">
        <v>280</v>
      </c>
      <c r="G423" s="414">
        <v>20</v>
      </c>
      <c r="H423" s="414">
        <f t="shared" si="25"/>
        <v>4200</v>
      </c>
      <c r="I423" s="414">
        <f t="shared" si="26"/>
        <v>300</v>
      </c>
      <c r="J423" s="414">
        <f t="shared" si="27"/>
        <v>4500</v>
      </c>
      <c r="K423" s="414"/>
      <c r="L423" s="932"/>
      <c r="M423" s="939" t="s">
        <v>642</v>
      </c>
    </row>
    <row r="424" spans="1:13" s="922" customFormat="1">
      <c r="A424" s="935"/>
      <c r="B424" s="892" t="s">
        <v>139</v>
      </c>
      <c r="C424" s="1115" t="s">
        <v>1510</v>
      </c>
      <c r="D424" s="404">
        <v>15</v>
      </c>
      <c r="E424" s="936" t="s">
        <v>84</v>
      </c>
      <c r="F424" s="414">
        <v>210</v>
      </c>
      <c r="G424" s="414">
        <v>16</v>
      </c>
      <c r="H424" s="414">
        <f t="shared" si="25"/>
        <v>3150</v>
      </c>
      <c r="I424" s="414">
        <f t="shared" si="26"/>
        <v>240</v>
      </c>
      <c r="J424" s="414">
        <f t="shared" si="27"/>
        <v>3390</v>
      </c>
      <c r="K424" s="414"/>
      <c r="L424" s="932"/>
      <c r="M424" s="939" t="s">
        <v>642</v>
      </c>
    </row>
    <row r="425" spans="1:13" s="922" customFormat="1">
      <c r="A425" s="935"/>
      <c r="B425" s="892" t="s">
        <v>139</v>
      </c>
      <c r="C425" s="1115" t="s">
        <v>1511</v>
      </c>
      <c r="D425" s="404">
        <v>15</v>
      </c>
      <c r="E425" s="936" t="s">
        <v>84</v>
      </c>
      <c r="F425" s="414">
        <v>180</v>
      </c>
      <c r="G425" s="414">
        <v>15</v>
      </c>
      <c r="H425" s="414">
        <f t="shared" si="25"/>
        <v>2700</v>
      </c>
      <c r="I425" s="414">
        <f t="shared" si="26"/>
        <v>225</v>
      </c>
      <c r="J425" s="414">
        <f t="shared" si="27"/>
        <v>2925</v>
      </c>
      <c r="K425" s="414"/>
      <c r="L425" s="932"/>
      <c r="M425" s="939" t="s">
        <v>642</v>
      </c>
    </row>
    <row r="426" spans="1:13" s="922" customFormat="1">
      <c r="A426" s="935"/>
      <c r="B426" s="892" t="s">
        <v>139</v>
      </c>
      <c r="C426" s="1122" t="s">
        <v>513</v>
      </c>
      <c r="D426" s="404">
        <v>30</v>
      </c>
      <c r="E426" s="936" t="s">
        <v>84</v>
      </c>
      <c r="F426" s="414">
        <v>90</v>
      </c>
      <c r="G426" s="414">
        <v>14</v>
      </c>
      <c r="H426" s="414">
        <f t="shared" si="25"/>
        <v>2700</v>
      </c>
      <c r="I426" s="414">
        <f t="shared" si="26"/>
        <v>420</v>
      </c>
      <c r="J426" s="414">
        <f t="shared" si="27"/>
        <v>3120</v>
      </c>
      <c r="K426" s="414"/>
      <c r="L426" s="932"/>
      <c r="M426" s="939" t="s">
        <v>642</v>
      </c>
    </row>
    <row r="427" spans="1:13" s="922" customFormat="1">
      <c r="A427" s="933"/>
      <c r="B427" s="953" t="s">
        <v>1495</v>
      </c>
      <c r="C427" s="953"/>
      <c r="D427" s="406"/>
      <c r="E427" s="934"/>
      <c r="F427" s="1123"/>
      <c r="G427" s="449"/>
      <c r="H427" s="449"/>
      <c r="I427" s="449"/>
      <c r="J427" s="449"/>
      <c r="K427" s="449"/>
      <c r="L427" s="932"/>
      <c r="M427" s="1117"/>
    </row>
    <row r="428" spans="1:13" s="952" customFormat="1">
      <c r="A428" s="946"/>
      <c r="B428" s="1119" t="s">
        <v>139</v>
      </c>
      <c r="C428" s="1120" t="s">
        <v>1843</v>
      </c>
      <c r="D428" s="670">
        <v>1</v>
      </c>
      <c r="E428" s="945" t="s">
        <v>105</v>
      </c>
      <c r="F428" s="949">
        <f>ROUND(SUM(H418:H426)*0.15,0)</f>
        <v>14383</v>
      </c>
      <c r="G428" s="949">
        <v>0</v>
      </c>
      <c r="H428" s="949">
        <f>F428*D428</f>
        <v>14383</v>
      </c>
      <c r="I428" s="949">
        <f>D428*G428</f>
        <v>0</v>
      </c>
      <c r="J428" s="949">
        <f>H428+I428</f>
        <v>14383</v>
      </c>
      <c r="K428" s="949"/>
      <c r="L428" s="950"/>
      <c r="M428" s="1121" t="s">
        <v>282</v>
      </c>
    </row>
    <row r="429" spans="1:13" s="922" customFormat="1">
      <c r="A429" s="935"/>
      <c r="B429" s="953" t="s">
        <v>1496</v>
      </c>
      <c r="C429" s="953"/>
      <c r="D429" s="404"/>
      <c r="E429" s="936"/>
      <c r="F429" s="1116"/>
      <c r="G429" s="414"/>
      <c r="H429" s="414"/>
      <c r="I429" s="414"/>
      <c r="J429" s="414"/>
      <c r="K429" s="414"/>
      <c r="L429" s="932"/>
      <c r="M429" s="1117"/>
    </row>
    <row r="430" spans="1:13" s="922" customFormat="1">
      <c r="A430" s="935"/>
      <c r="B430" s="892" t="s">
        <v>139</v>
      </c>
      <c r="C430" s="1122" t="s">
        <v>1473</v>
      </c>
      <c r="D430" s="404">
        <f>60*4</f>
        <v>240</v>
      </c>
      <c r="E430" s="936" t="s">
        <v>84</v>
      </c>
      <c r="F430" s="414">
        <v>327.7</v>
      </c>
      <c r="G430" s="414">
        <v>45</v>
      </c>
      <c r="H430" s="414">
        <f t="shared" ref="H430:H444" si="28">F430*D430</f>
        <v>78648</v>
      </c>
      <c r="I430" s="414">
        <f t="shared" ref="I430:I444" si="29">D430*G430</f>
        <v>10800</v>
      </c>
      <c r="J430" s="414">
        <f t="shared" ref="J430:J444" si="30">H430+I430</f>
        <v>89448</v>
      </c>
      <c r="K430" s="414"/>
      <c r="L430" s="932"/>
      <c r="M430" s="939" t="s">
        <v>642</v>
      </c>
    </row>
    <row r="431" spans="1:13" s="922" customFormat="1">
      <c r="A431" s="935"/>
      <c r="B431" s="892" t="s">
        <v>139</v>
      </c>
      <c r="C431" s="1122" t="s">
        <v>1480</v>
      </c>
      <c r="D431" s="404">
        <f>50*4</f>
        <v>200</v>
      </c>
      <c r="E431" s="936" t="s">
        <v>84</v>
      </c>
      <c r="F431" s="414">
        <v>229.2</v>
      </c>
      <c r="G431" s="414">
        <v>40</v>
      </c>
      <c r="H431" s="414">
        <f t="shared" si="28"/>
        <v>45840</v>
      </c>
      <c r="I431" s="414">
        <f t="shared" si="29"/>
        <v>8000</v>
      </c>
      <c r="J431" s="414">
        <f t="shared" si="30"/>
        <v>53840</v>
      </c>
      <c r="K431" s="414"/>
      <c r="L431" s="932"/>
      <c r="M431" s="939" t="s">
        <v>642</v>
      </c>
    </row>
    <row r="432" spans="1:13" s="922" customFormat="1">
      <c r="A432" s="935"/>
      <c r="B432" s="892" t="s">
        <v>139</v>
      </c>
      <c r="C432" s="1122" t="s">
        <v>1483</v>
      </c>
      <c r="D432" s="404">
        <f>200+60+25*4*4</f>
        <v>660</v>
      </c>
      <c r="E432" s="936" t="s">
        <v>84</v>
      </c>
      <c r="F432" s="414">
        <v>120</v>
      </c>
      <c r="G432" s="414">
        <v>25</v>
      </c>
      <c r="H432" s="414">
        <f t="shared" si="28"/>
        <v>79200</v>
      </c>
      <c r="I432" s="414">
        <f t="shared" si="29"/>
        <v>16500</v>
      </c>
      <c r="J432" s="414">
        <f t="shared" si="30"/>
        <v>95700</v>
      </c>
      <c r="K432" s="414"/>
      <c r="L432" s="932"/>
      <c r="M432" s="939" t="s">
        <v>642</v>
      </c>
    </row>
    <row r="433" spans="1:13" s="922" customFormat="1">
      <c r="A433" s="2183"/>
      <c r="B433" s="2183"/>
      <c r="C433" s="2183"/>
      <c r="D433" s="2184"/>
      <c r="E433" s="2185"/>
      <c r="F433" s="2185"/>
      <c r="G433" s="2185"/>
      <c r="H433" s="2185"/>
      <c r="I433" s="2185"/>
      <c r="J433" s="2185"/>
      <c r="K433" s="2185"/>
      <c r="L433" s="932"/>
      <c r="M433" s="939"/>
    </row>
    <row r="434" spans="1:13" s="922" customFormat="1">
      <c r="A434" s="2186"/>
      <c r="B434" s="2187"/>
      <c r="C434" s="2186" t="s">
        <v>133</v>
      </c>
      <c r="D434" s="2188"/>
      <c r="E434" s="418"/>
      <c r="F434" s="2189"/>
      <c r="G434" s="2189"/>
      <c r="H434" s="1277"/>
      <c r="I434" s="1277"/>
      <c r="J434" s="2188"/>
      <c r="K434" s="2188"/>
      <c r="L434" s="932"/>
      <c r="M434" s="939"/>
    </row>
    <row r="435" spans="1:13" s="922" customFormat="1">
      <c r="A435" s="1642"/>
      <c r="B435" s="1017"/>
      <c r="C435" s="2407" t="s">
        <v>1769</v>
      </c>
      <c r="D435" s="2407"/>
      <c r="E435" s="1017"/>
      <c r="F435" s="1017"/>
      <c r="G435" s="1017"/>
      <c r="H435" s="1017" t="s">
        <v>134</v>
      </c>
      <c r="I435" s="1017"/>
      <c r="J435" s="1017"/>
      <c r="K435" s="1017"/>
      <c r="L435" s="932"/>
      <c r="M435" s="939"/>
    </row>
    <row r="436" spans="1:13" s="922" customFormat="1">
      <c r="A436" s="1643"/>
      <c r="B436" s="419"/>
      <c r="C436" s="2408" t="s">
        <v>1970</v>
      </c>
      <c r="D436" s="2408"/>
      <c r="E436" s="419"/>
      <c r="F436" s="419"/>
      <c r="G436" s="419"/>
      <c r="H436" s="419" t="s">
        <v>1971</v>
      </c>
      <c r="I436" s="419"/>
      <c r="J436" s="419"/>
      <c r="K436" s="419"/>
      <c r="L436" s="932"/>
      <c r="M436" s="939"/>
    </row>
    <row r="437" spans="1:13" s="922" customFormat="1">
      <c r="A437" s="2188"/>
      <c r="B437" s="1017"/>
      <c r="C437" s="1017" t="s">
        <v>2031</v>
      </c>
      <c r="D437" s="2188"/>
      <c r="E437" s="419"/>
      <c r="F437" s="419"/>
      <c r="G437" s="419"/>
      <c r="H437" s="1017" t="s">
        <v>134</v>
      </c>
      <c r="I437" s="419"/>
      <c r="J437" s="419"/>
      <c r="K437" s="419"/>
      <c r="L437" s="932"/>
      <c r="M437" s="939"/>
    </row>
    <row r="438" spans="1:13" s="922" customFormat="1">
      <c r="A438" s="1017"/>
      <c r="B438" s="419"/>
      <c r="C438" s="419" t="s">
        <v>1984</v>
      </c>
      <c r="D438" s="2188"/>
      <c r="E438" s="1017"/>
      <c r="F438" s="1017"/>
      <c r="G438" s="1017"/>
      <c r="H438" s="419" t="s">
        <v>1985</v>
      </c>
      <c r="I438" s="1017"/>
      <c r="J438" s="1017"/>
      <c r="K438" s="1017"/>
      <c r="L438" s="932"/>
      <c r="M438" s="939"/>
    </row>
    <row r="439" spans="1:13" s="922" customFormat="1">
      <c r="A439" s="2190"/>
      <c r="B439" s="2190"/>
      <c r="C439" s="1017" t="s">
        <v>670</v>
      </c>
      <c r="D439" s="2191"/>
      <c r="E439" s="2192"/>
      <c r="F439" s="2193"/>
      <c r="G439" s="2194"/>
      <c r="H439" s="2194"/>
      <c r="I439" s="2194"/>
      <c r="J439" s="2194"/>
      <c r="K439" s="2194"/>
      <c r="L439" s="932"/>
      <c r="M439" s="939"/>
    </row>
    <row r="440" spans="1:13" s="922" customFormat="1">
      <c r="A440" s="2195"/>
      <c r="B440" s="2195"/>
      <c r="C440" s="2196" t="s">
        <v>1972</v>
      </c>
      <c r="D440" s="2197"/>
      <c r="E440" s="2198"/>
      <c r="F440" s="2199"/>
      <c r="G440" s="2200"/>
      <c r="H440" s="2200"/>
      <c r="I440" s="2200"/>
      <c r="J440" s="2200"/>
      <c r="K440" s="2200"/>
      <c r="L440" s="932"/>
      <c r="M440" s="939"/>
    </row>
    <row r="441" spans="1:13" s="922" customFormat="1">
      <c r="A441" s="935"/>
      <c r="B441" s="892" t="s">
        <v>139</v>
      </c>
      <c r="C441" s="1122" t="s">
        <v>1474</v>
      </c>
      <c r="D441" s="404">
        <f>60+10*4*10</f>
        <v>460</v>
      </c>
      <c r="E441" s="936" t="s">
        <v>84</v>
      </c>
      <c r="F441" s="414">
        <v>76.5</v>
      </c>
      <c r="G441" s="414">
        <v>20</v>
      </c>
      <c r="H441" s="414">
        <f t="shared" si="28"/>
        <v>35190</v>
      </c>
      <c r="I441" s="414">
        <f t="shared" si="29"/>
        <v>9200</v>
      </c>
      <c r="J441" s="414">
        <f t="shared" si="30"/>
        <v>44390</v>
      </c>
      <c r="K441" s="414"/>
      <c r="L441" s="932"/>
      <c r="M441" s="939" t="s">
        <v>642</v>
      </c>
    </row>
    <row r="442" spans="1:13" s="922" customFormat="1">
      <c r="A442" s="935"/>
      <c r="B442" s="892" t="s">
        <v>139</v>
      </c>
      <c r="C442" s="1122" t="s">
        <v>1481</v>
      </c>
      <c r="D442" s="404">
        <f>200+50</f>
        <v>250</v>
      </c>
      <c r="E442" s="936" t="s">
        <v>84</v>
      </c>
      <c r="F442" s="414">
        <v>49.3</v>
      </c>
      <c r="G442" s="414">
        <v>16</v>
      </c>
      <c r="H442" s="414">
        <f t="shared" si="28"/>
        <v>12325</v>
      </c>
      <c r="I442" s="414">
        <f t="shared" si="29"/>
        <v>4000</v>
      </c>
      <c r="J442" s="414">
        <f t="shared" si="30"/>
        <v>16325</v>
      </c>
      <c r="K442" s="414"/>
      <c r="L442" s="932"/>
      <c r="M442" s="939" t="s">
        <v>642</v>
      </c>
    </row>
    <row r="443" spans="1:13" s="922" customFormat="1">
      <c r="A443" s="935"/>
      <c r="B443" s="892" t="s">
        <v>139</v>
      </c>
      <c r="C443" s="1122" t="s">
        <v>1482</v>
      </c>
      <c r="D443" s="404">
        <v>300</v>
      </c>
      <c r="E443" s="936" t="s">
        <v>84</v>
      </c>
      <c r="F443" s="414">
        <v>28.3</v>
      </c>
      <c r="G443" s="414">
        <v>12</v>
      </c>
      <c r="H443" s="414">
        <f t="shared" si="28"/>
        <v>8490</v>
      </c>
      <c r="I443" s="414">
        <f t="shared" si="29"/>
        <v>3600</v>
      </c>
      <c r="J443" s="414">
        <f t="shared" si="30"/>
        <v>12090</v>
      </c>
      <c r="K443" s="414"/>
      <c r="L443" s="932"/>
      <c r="M443" s="939" t="s">
        <v>642</v>
      </c>
    </row>
    <row r="444" spans="1:13" s="922" customFormat="1">
      <c r="A444" s="935"/>
      <c r="B444" s="892" t="s">
        <v>139</v>
      </c>
      <c r="C444" s="1122" t="s">
        <v>1492</v>
      </c>
      <c r="D444" s="404">
        <v>100</v>
      </c>
      <c r="E444" s="936" t="s">
        <v>84</v>
      </c>
      <c r="F444" s="414">
        <v>13.24</v>
      </c>
      <c r="G444" s="414">
        <v>10</v>
      </c>
      <c r="H444" s="414">
        <f t="shared" si="28"/>
        <v>1324</v>
      </c>
      <c r="I444" s="414">
        <f t="shared" si="29"/>
        <v>1000</v>
      </c>
      <c r="J444" s="414">
        <f t="shared" si="30"/>
        <v>2324</v>
      </c>
      <c r="K444" s="414"/>
      <c r="L444" s="932"/>
      <c r="M444" s="939" t="s">
        <v>642</v>
      </c>
    </row>
    <row r="445" spans="1:13" s="922" customFormat="1">
      <c r="A445" s="935"/>
      <c r="B445" s="953" t="s">
        <v>1497</v>
      </c>
      <c r="C445" s="953"/>
      <c r="D445" s="404"/>
      <c r="E445" s="936"/>
      <c r="F445" s="1116"/>
      <c r="G445" s="414"/>
      <c r="H445" s="414"/>
      <c r="I445" s="414"/>
      <c r="J445" s="414"/>
      <c r="K445" s="414"/>
      <c r="L445" s="932"/>
      <c r="M445" s="1117"/>
    </row>
    <row r="446" spans="1:13" s="952" customFormat="1">
      <c r="A446" s="946"/>
      <c r="B446" s="947" t="s">
        <v>139</v>
      </c>
      <c r="C446" s="1120" t="s">
        <v>1842</v>
      </c>
      <c r="D446" s="670">
        <v>1</v>
      </c>
      <c r="E446" s="945" t="s">
        <v>105</v>
      </c>
      <c r="F446" s="949">
        <f>SUM(H430:H444)*0.05</f>
        <v>13050.85</v>
      </c>
      <c r="G446" s="949">
        <v>0</v>
      </c>
      <c r="H446" s="949">
        <f>F446*D446</f>
        <v>13050.85</v>
      </c>
      <c r="I446" s="949">
        <f>D446*G446</f>
        <v>0</v>
      </c>
      <c r="J446" s="949">
        <f>H446+I446</f>
        <v>13050.85</v>
      </c>
      <c r="K446" s="949"/>
      <c r="L446" s="950"/>
      <c r="M446" s="1121" t="s">
        <v>282</v>
      </c>
    </row>
    <row r="447" spans="1:13" s="922" customFormat="1">
      <c r="A447" s="935" t="s">
        <v>329</v>
      </c>
      <c r="B447" s="2464" t="s">
        <v>1587</v>
      </c>
      <c r="C447" s="2465"/>
      <c r="D447" s="404"/>
      <c r="E447" s="936"/>
      <c r="F447" s="1116"/>
      <c r="G447" s="414"/>
      <c r="H447" s="414"/>
      <c r="I447" s="414"/>
      <c r="J447" s="414"/>
      <c r="K447" s="414"/>
      <c r="L447" s="932"/>
      <c r="M447" s="1117"/>
    </row>
    <row r="448" spans="1:13" s="922" customFormat="1">
      <c r="A448" s="935"/>
      <c r="B448" s="953" t="s">
        <v>1512</v>
      </c>
      <c r="C448" s="953"/>
      <c r="D448" s="404"/>
      <c r="E448" s="936"/>
      <c r="F448" s="1116"/>
      <c r="G448" s="414"/>
      <c r="H448" s="414"/>
      <c r="I448" s="414"/>
      <c r="J448" s="414"/>
      <c r="K448" s="414"/>
      <c r="L448" s="932"/>
      <c r="M448" s="1117"/>
    </row>
    <row r="449" spans="1:13" s="922" customFormat="1">
      <c r="A449" s="935"/>
      <c r="B449" s="892" t="s">
        <v>139</v>
      </c>
      <c r="C449" s="1115" t="s">
        <v>1499</v>
      </c>
      <c r="D449" s="404">
        <v>75</v>
      </c>
      <c r="E449" s="936" t="s">
        <v>84</v>
      </c>
      <c r="F449" s="414">
        <v>267</v>
      </c>
      <c r="G449" s="414">
        <v>42</v>
      </c>
      <c r="H449" s="414">
        <f>F449*D449</f>
        <v>20025</v>
      </c>
      <c r="I449" s="414">
        <f>D449*G449</f>
        <v>3150</v>
      </c>
      <c r="J449" s="414">
        <f>H449+I449</f>
        <v>23175</v>
      </c>
      <c r="K449" s="414"/>
      <c r="L449" s="932"/>
      <c r="M449" s="939" t="s">
        <v>642</v>
      </c>
    </row>
    <row r="450" spans="1:13" s="922" customFormat="1">
      <c r="A450" s="935"/>
      <c r="B450" s="892" t="s">
        <v>139</v>
      </c>
      <c r="C450" s="1115" t="s">
        <v>1500</v>
      </c>
      <c r="D450" s="404">
        <f>120+75</f>
        <v>195</v>
      </c>
      <c r="E450" s="936" t="s">
        <v>84</v>
      </c>
      <c r="F450" s="414">
        <v>217.67</v>
      </c>
      <c r="G450" s="414">
        <v>38</v>
      </c>
      <c r="H450" s="414">
        <f>F450*D450</f>
        <v>42445.649999999994</v>
      </c>
      <c r="I450" s="414">
        <f>D450*G450</f>
        <v>7410</v>
      </c>
      <c r="J450" s="414">
        <f>H450+I450</f>
        <v>49855.649999999994</v>
      </c>
      <c r="K450" s="414"/>
      <c r="L450" s="932"/>
      <c r="M450" s="939" t="s">
        <v>642</v>
      </c>
    </row>
    <row r="451" spans="1:13" s="922" customFormat="1">
      <c r="A451" s="935"/>
      <c r="B451" s="892" t="s">
        <v>139</v>
      </c>
      <c r="C451" s="1115" t="s">
        <v>1501</v>
      </c>
      <c r="D451" s="404">
        <v>45</v>
      </c>
      <c r="E451" s="936" t="s">
        <v>84</v>
      </c>
      <c r="F451" s="414">
        <v>168.67</v>
      </c>
      <c r="G451" s="414">
        <v>32</v>
      </c>
      <c r="H451" s="414">
        <f>F451*D451</f>
        <v>7590.15</v>
      </c>
      <c r="I451" s="414">
        <f>D451*G451</f>
        <v>1440</v>
      </c>
      <c r="J451" s="414">
        <f>H451+I451</f>
        <v>9030.15</v>
      </c>
      <c r="K451" s="414"/>
      <c r="L451" s="932"/>
      <c r="M451" s="939" t="s">
        <v>642</v>
      </c>
    </row>
    <row r="452" spans="1:13" s="922" customFormat="1">
      <c r="A452" s="935"/>
      <c r="B452" s="892" t="s">
        <v>139</v>
      </c>
      <c r="C452" s="1115" t="s">
        <v>1521</v>
      </c>
      <c r="D452" s="404">
        <v>45</v>
      </c>
      <c r="E452" s="936" t="s">
        <v>84</v>
      </c>
      <c r="F452" s="414">
        <v>125</v>
      </c>
      <c r="G452" s="414">
        <v>28</v>
      </c>
      <c r="H452" s="414">
        <f>F452*D452</f>
        <v>5625</v>
      </c>
      <c r="I452" s="414">
        <f>D452*G452</f>
        <v>1260</v>
      </c>
      <c r="J452" s="414">
        <f>H452+I452</f>
        <v>6885</v>
      </c>
      <c r="K452" s="414"/>
      <c r="L452" s="932"/>
      <c r="M452" s="939" t="s">
        <v>642</v>
      </c>
    </row>
    <row r="453" spans="1:13" s="922" customFormat="1">
      <c r="A453" s="935"/>
      <c r="B453" s="892" t="s">
        <v>139</v>
      </c>
      <c r="C453" s="1115" t="s">
        <v>1516</v>
      </c>
      <c r="D453" s="404">
        <v>30</v>
      </c>
      <c r="E453" s="936" t="s">
        <v>84</v>
      </c>
      <c r="F453" s="414">
        <v>158.66</v>
      </c>
      <c r="G453" s="414">
        <v>32</v>
      </c>
      <c r="H453" s="414">
        <f>F453*D453</f>
        <v>4759.8</v>
      </c>
      <c r="I453" s="414">
        <f>D453*G453</f>
        <v>960</v>
      </c>
      <c r="J453" s="414">
        <f>H453+I453</f>
        <v>5719.8</v>
      </c>
      <c r="K453" s="414"/>
      <c r="L453" s="932"/>
      <c r="M453" s="939" t="s">
        <v>642</v>
      </c>
    </row>
    <row r="454" spans="1:13" s="922" customFormat="1">
      <c r="A454" s="935"/>
      <c r="B454" s="953" t="s">
        <v>1513</v>
      </c>
      <c r="C454" s="953"/>
      <c r="D454" s="404"/>
      <c r="E454" s="936"/>
      <c r="F454" s="1116"/>
      <c r="G454" s="414"/>
      <c r="H454" s="414"/>
      <c r="I454" s="414"/>
      <c r="J454" s="414"/>
      <c r="K454" s="414"/>
      <c r="L454" s="932"/>
      <c r="M454" s="1117"/>
    </row>
    <row r="455" spans="1:13" s="952" customFormat="1">
      <c r="A455" s="946"/>
      <c r="B455" s="1119" t="s">
        <v>139</v>
      </c>
      <c r="C455" s="1120" t="s">
        <v>1843</v>
      </c>
      <c r="D455" s="670">
        <v>1</v>
      </c>
      <c r="E455" s="945" t="s">
        <v>105</v>
      </c>
      <c r="F455" s="949">
        <f>ROUND(SUM(H448:H453)*0.15,0)</f>
        <v>12067</v>
      </c>
      <c r="G455" s="949">
        <v>0</v>
      </c>
      <c r="H455" s="949">
        <f>F455*D455</f>
        <v>12067</v>
      </c>
      <c r="I455" s="949">
        <f>D455*G455</f>
        <v>0</v>
      </c>
      <c r="J455" s="949">
        <f>H455+I455</f>
        <v>12067</v>
      </c>
      <c r="K455" s="949"/>
      <c r="L455" s="950"/>
      <c r="M455" s="1121" t="s">
        <v>282</v>
      </c>
    </row>
    <row r="456" spans="1:13" s="922" customFormat="1">
      <c r="A456" s="935"/>
      <c r="B456" s="953" t="s">
        <v>1514</v>
      </c>
      <c r="C456" s="953"/>
      <c r="D456" s="404"/>
      <c r="E456" s="936"/>
      <c r="F456" s="1116"/>
      <c r="G456" s="414"/>
      <c r="H456" s="414"/>
      <c r="I456" s="414"/>
      <c r="J456" s="414"/>
      <c r="K456" s="414"/>
      <c r="L456" s="932"/>
      <c r="M456" s="1117"/>
    </row>
    <row r="457" spans="1:13" s="922" customFormat="1">
      <c r="A457" s="935"/>
      <c r="B457" s="892" t="s">
        <v>139</v>
      </c>
      <c r="C457" s="1122" t="s">
        <v>1517</v>
      </c>
      <c r="D457" s="404">
        <f>80*4</f>
        <v>320</v>
      </c>
      <c r="E457" s="936" t="s">
        <v>84</v>
      </c>
      <c r="F457" s="414">
        <v>199</v>
      </c>
      <c r="G457" s="414">
        <v>35</v>
      </c>
      <c r="H457" s="414">
        <f t="shared" ref="H457:H472" si="31">F457*D457</f>
        <v>63680</v>
      </c>
      <c r="I457" s="414">
        <f t="shared" ref="I457:I472" si="32">D457*G457</f>
        <v>11200</v>
      </c>
      <c r="J457" s="414">
        <f t="shared" ref="J457:J472" si="33">H457+I457</f>
        <v>74880</v>
      </c>
      <c r="K457" s="414"/>
      <c r="L457" s="932"/>
      <c r="M457" s="939" t="s">
        <v>642</v>
      </c>
    </row>
    <row r="458" spans="1:13" s="922" customFormat="1">
      <c r="A458" s="935"/>
      <c r="B458" s="892" t="s">
        <v>139</v>
      </c>
      <c r="C458" s="1122" t="s">
        <v>1518</v>
      </c>
      <c r="D458" s="404">
        <f>80+80*4</f>
        <v>400</v>
      </c>
      <c r="E458" s="936" t="s">
        <v>84</v>
      </c>
      <c r="F458" s="414">
        <v>98</v>
      </c>
      <c r="G458" s="414">
        <v>25</v>
      </c>
      <c r="H458" s="414">
        <f t="shared" si="31"/>
        <v>39200</v>
      </c>
      <c r="I458" s="414">
        <f t="shared" si="32"/>
        <v>10000</v>
      </c>
      <c r="J458" s="414">
        <f t="shared" si="33"/>
        <v>49200</v>
      </c>
      <c r="K458" s="414"/>
      <c r="L458" s="932"/>
      <c r="M458" s="939" t="s">
        <v>642</v>
      </c>
    </row>
    <row r="459" spans="1:13" s="922" customFormat="1">
      <c r="A459" s="935"/>
      <c r="B459" s="892" t="s">
        <v>139</v>
      </c>
      <c r="C459" s="1122" t="s">
        <v>1519</v>
      </c>
      <c r="D459" s="404">
        <v>500</v>
      </c>
      <c r="E459" s="936" t="s">
        <v>84</v>
      </c>
      <c r="F459" s="414">
        <v>72</v>
      </c>
      <c r="G459" s="414">
        <v>16</v>
      </c>
      <c r="H459" s="414">
        <f t="shared" si="31"/>
        <v>36000</v>
      </c>
      <c r="I459" s="414">
        <f t="shared" si="32"/>
        <v>8000</v>
      </c>
      <c r="J459" s="414">
        <f t="shared" si="33"/>
        <v>44000</v>
      </c>
      <c r="K459" s="414"/>
      <c r="L459" s="932"/>
      <c r="M459" s="939" t="s">
        <v>642</v>
      </c>
    </row>
    <row r="460" spans="1:13" s="922" customFormat="1">
      <c r="A460" s="935"/>
      <c r="B460" s="892" t="s">
        <v>139</v>
      </c>
      <c r="C460" s="1122" t="s">
        <v>1520</v>
      </c>
      <c r="D460" s="404">
        <v>500</v>
      </c>
      <c r="E460" s="936" t="s">
        <v>84</v>
      </c>
      <c r="F460" s="414">
        <v>54</v>
      </c>
      <c r="G460" s="414">
        <v>14</v>
      </c>
      <c r="H460" s="414">
        <f t="shared" si="31"/>
        <v>27000</v>
      </c>
      <c r="I460" s="414">
        <f t="shared" si="32"/>
        <v>7000</v>
      </c>
      <c r="J460" s="414">
        <f t="shared" si="33"/>
        <v>34000</v>
      </c>
      <c r="K460" s="414"/>
      <c r="L460" s="932"/>
      <c r="M460" s="939" t="s">
        <v>642</v>
      </c>
    </row>
    <row r="461" spans="1:13" s="922" customFormat="1">
      <c r="A461" s="935"/>
      <c r="B461" s="892" t="s">
        <v>139</v>
      </c>
      <c r="C461" s="1122" t="s">
        <v>1483</v>
      </c>
      <c r="D461" s="404">
        <f>40*4</f>
        <v>160</v>
      </c>
      <c r="E461" s="936" t="s">
        <v>84</v>
      </c>
      <c r="F461" s="414">
        <v>120</v>
      </c>
      <c r="G461" s="414">
        <v>25</v>
      </c>
      <c r="H461" s="414">
        <f t="shared" si="31"/>
        <v>19200</v>
      </c>
      <c r="I461" s="414">
        <f t="shared" si="32"/>
        <v>4000</v>
      </c>
      <c r="J461" s="414">
        <f t="shared" si="33"/>
        <v>23200</v>
      </c>
      <c r="K461" s="414"/>
      <c r="L461" s="932"/>
      <c r="M461" s="939" t="s">
        <v>642</v>
      </c>
    </row>
    <row r="462" spans="1:13" s="922" customFormat="1">
      <c r="A462" s="935"/>
      <c r="B462" s="892" t="s">
        <v>139</v>
      </c>
      <c r="C462" s="1122" t="s">
        <v>1481</v>
      </c>
      <c r="D462" s="404">
        <v>40</v>
      </c>
      <c r="E462" s="936" t="s">
        <v>84</v>
      </c>
      <c r="F462" s="414">
        <v>49.3</v>
      </c>
      <c r="G462" s="414">
        <v>16</v>
      </c>
      <c r="H462" s="414">
        <f t="shared" si="31"/>
        <v>1972</v>
      </c>
      <c r="I462" s="414">
        <f t="shared" si="32"/>
        <v>640</v>
      </c>
      <c r="J462" s="414">
        <f t="shared" si="33"/>
        <v>2612</v>
      </c>
      <c r="K462" s="414"/>
      <c r="L462" s="932"/>
      <c r="M462" s="939" t="s">
        <v>642</v>
      </c>
    </row>
    <row r="463" spans="1:13" s="922" customFormat="1">
      <c r="A463" s="935"/>
      <c r="B463" s="892" t="s">
        <v>139</v>
      </c>
      <c r="C463" s="1122" t="s">
        <v>1482</v>
      </c>
      <c r="D463" s="404">
        <f>50*4</f>
        <v>200</v>
      </c>
      <c r="E463" s="936" t="s">
        <v>84</v>
      </c>
      <c r="F463" s="414">
        <v>28.3</v>
      </c>
      <c r="G463" s="414">
        <v>12</v>
      </c>
      <c r="H463" s="414">
        <f t="shared" si="31"/>
        <v>5660</v>
      </c>
      <c r="I463" s="414">
        <f t="shared" si="32"/>
        <v>2400</v>
      </c>
      <c r="J463" s="414">
        <f t="shared" si="33"/>
        <v>8060</v>
      </c>
      <c r="K463" s="414"/>
      <c r="L463" s="932"/>
      <c r="M463" s="939" t="s">
        <v>642</v>
      </c>
    </row>
    <row r="464" spans="1:13" s="922" customFormat="1">
      <c r="A464" s="2183"/>
      <c r="B464" s="2183"/>
      <c r="C464" s="2183"/>
      <c r="D464" s="2184"/>
      <c r="E464" s="2185"/>
      <c r="F464" s="2185"/>
      <c r="G464" s="2185"/>
      <c r="H464" s="2185"/>
      <c r="I464" s="2185"/>
      <c r="J464" s="2185"/>
      <c r="K464" s="2185"/>
      <c r="L464" s="932"/>
      <c r="M464" s="939"/>
    </row>
    <row r="465" spans="1:13" s="922" customFormat="1">
      <c r="A465" s="2186"/>
      <c r="B465" s="2187"/>
      <c r="C465" s="2186" t="s">
        <v>133</v>
      </c>
      <c r="D465" s="2188"/>
      <c r="E465" s="418"/>
      <c r="F465" s="2189"/>
      <c r="G465" s="2189"/>
      <c r="H465" s="1277"/>
      <c r="I465" s="1277"/>
      <c r="J465" s="2188"/>
      <c r="K465" s="2188"/>
      <c r="L465" s="932"/>
      <c r="M465" s="939"/>
    </row>
    <row r="466" spans="1:13" s="922" customFormat="1">
      <c r="A466" s="1642"/>
      <c r="B466" s="1017"/>
      <c r="C466" s="2407" t="s">
        <v>1769</v>
      </c>
      <c r="D466" s="2407"/>
      <c r="E466" s="1017"/>
      <c r="F466" s="1017"/>
      <c r="G466" s="1017"/>
      <c r="H466" s="1017" t="s">
        <v>134</v>
      </c>
      <c r="I466" s="1017"/>
      <c r="J466" s="1017"/>
      <c r="K466" s="1017"/>
      <c r="L466" s="932"/>
      <c r="M466" s="939"/>
    </row>
    <row r="467" spans="1:13" s="922" customFormat="1">
      <c r="A467" s="1643"/>
      <c r="B467" s="419"/>
      <c r="C467" s="2408" t="s">
        <v>1970</v>
      </c>
      <c r="D467" s="2408"/>
      <c r="E467" s="419"/>
      <c r="F467" s="419"/>
      <c r="G467" s="419"/>
      <c r="H467" s="419" t="s">
        <v>1971</v>
      </c>
      <c r="I467" s="419"/>
      <c r="J467" s="419"/>
      <c r="K467" s="419"/>
      <c r="L467" s="932"/>
      <c r="M467" s="939"/>
    </row>
    <row r="468" spans="1:13" s="922" customFormat="1">
      <c r="A468" s="2188"/>
      <c r="B468" s="1017"/>
      <c r="C468" s="1017" t="s">
        <v>2031</v>
      </c>
      <c r="D468" s="2188"/>
      <c r="E468" s="419"/>
      <c r="F468" s="419"/>
      <c r="G468" s="419"/>
      <c r="H468" s="1017" t="s">
        <v>134</v>
      </c>
      <c r="I468" s="419"/>
      <c r="J468" s="419"/>
      <c r="K468" s="419"/>
      <c r="L468" s="932"/>
      <c r="M468" s="939"/>
    </row>
    <row r="469" spans="1:13" s="922" customFormat="1">
      <c r="A469" s="1017"/>
      <c r="B469" s="419"/>
      <c r="C469" s="419" t="s">
        <v>1984</v>
      </c>
      <c r="D469" s="2188"/>
      <c r="E469" s="1017"/>
      <c r="F469" s="1017"/>
      <c r="G469" s="1017"/>
      <c r="H469" s="419" t="s">
        <v>1985</v>
      </c>
      <c r="I469" s="1017"/>
      <c r="J469" s="1017"/>
      <c r="K469" s="1017"/>
      <c r="L469" s="932"/>
      <c r="M469" s="939"/>
    </row>
    <row r="470" spans="1:13" s="922" customFormat="1">
      <c r="A470" s="2190"/>
      <c r="B470" s="2190"/>
      <c r="C470" s="1017" t="s">
        <v>670</v>
      </c>
      <c r="D470" s="2191"/>
      <c r="E470" s="2192"/>
      <c r="F470" s="2193"/>
      <c r="G470" s="2194"/>
      <c r="H470" s="2194"/>
      <c r="I470" s="2194"/>
      <c r="J470" s="2194"/>
      <c r="K470" s="2194"/>
      <c r="L470" s="932"/>
      <c r="M470" s="939"/>
    </row>
    <row r="471" spans="1:13" s="922" customFormat="1">
      <c r="A471" s="2195"/>
      <c r="B471" s="2195"/>
      <c r="C471" s="2196" t="s">
        <v>1972</v>
      </c>
      <c r="D471" s="2197"/>
      <c r="E471" s="2198"/>
      <c r="F471" s="2199"/>
      <c r="G471" s="2200"/>
      <c r="H471" s="2200"/>
      <c r="I471" s="2200"/>
      <c r="J471" s="2200"/>
      <c r="K471" s="2200"/>
      <c r="L471" s="932"/>
      <c r="M471" s="939"/>
    </row>
    <row r="472" spans="1:13" s="922" customFormat="1">
      <c r="A472" s="935"/>
      <c r="B472" s="892" t="s">
        <v>139</v>
      </c>
      <c r="C472" s="1122" t="s">
        <v>1492</v>
      </c>
      <c r="D472" s="404">
        <v>100</v>
      </c>
      <c r="E472" s="936" t="s">
        <v>84</v>
      </c>
      <c r="F472" s="414">
        <v>17.2</v>
      </c>
      <c r="G472" s="414">
        <v>10</v>
      </c>
      <c r="H472" s="414">
        <f t="shared" si="31"/>
        <v>1720</v>
      </c>
      <c r="I472" s="414">
        <f t="shared" si="32"/>
        <v>1000</v>
      </c>
      <c r="J472" s="414">
        <f t="shared" si="33"/>
        <v>2720</v>
      </c>
      <c r="K472" s="414"/>
      <c r="L472" s="932"/>
      <c r="M472" s="939" t="s">
        <v>642</v>
      </c>
    </row>
    <row r="473" spans="1:13" s="922" customFormat="1">
      <c r="A473" s="935"/>
      <c r="B473" s="953" t="s">
        <v>1515</v>
      </c>
      <c r="C473" s="1122"/>
      <c r="D473" s="404"/>
      <c r="E473" s="936"/>
      <c r="F473" s="414"/>
      <c r="G473" s="414"/>
      <c r="H473" s="414"/>
      <c r="I473" s="414"/>
      <c r="J473" s="414"/>
      <c r="K473" s="414"/>
      <c r="L473" s="932"/>
      <c r="M473" s="939"/>
    </row>
    <row r="474" spans="1:13" s="952" customFormat="1">
      <c r="A474" s="946"/>
      <c r="B474" s="947" t="s">
        <v>139</v>
      </c>
      <c r="C474" s="1120" t="s">
        <v>1842</v>
      </c>
      <c r="D474" s="670">
        <v>1</v>
      </c>
      <c r="E474" s="945" t="s">
        <v>105</v>
      </c>
      <c r="F474" s="949">
        <f>SUM(H457:H472)*0.05</f>
        <v>9721.6</v>
      </c>
      <c r="G474" s="949">
        <v>0</v>
      </c>
      <c r="H474" s="949">
        <f>F474*D474</f>
        <v>9721.6</v>
      </c>
      <c r="I474" s="949">
        <f>D474*G474</f>
        <v>0</v>
      </c>
      <c r="J474" s="949">
        <f>H474+I474</f>
        <v>9721.6</v>
      </c>
      <c r="K474" s="949"/>
      <c r="L474" s="950"/>
      <c r="M474" s="1121" t="s">
        <v>282</v>
      </c>
    </row>
    <row r="475" spans="1:13" s="922" customFormat="1">
      <c r="A475" s="935" t="s">
        <v>343</v>
      </c>
      <c r="B475" s="2464" t="s">
        <v>1588</v>
      </c>
      <c r="C475" s="2465"/>
      <c r="D475" s="404"/>
      <c r="E475" s="936"/>
      <c r="F475" s="1116"/>
      <c r="G475" s="414"/>
      <c r="H475" s="414"/>
      <c r="I475" s="414"/>
      <c r="J475" s="414"/>
      <c r="K475" s="414"/>
      <c r="L475" s="932"/>
      <c r="M475" s="1117"/>
    </row>
    <row r="476" spans="1:13" s="922" customFormat="1">
      <c r="A476" s="935"/>
      <c r="B476" s="953" t="s">
        <v>1529</v>
      </c>
      <c r="C476" s="1122"/>
      <c r="D476" s="404"/>
      <c r="E476" s="936"/>
      <c r="F476" s="414"/>
      <c r="G476" s="414"/>
      <c r="H476" s="414"/>
      <c r="I476" s="414"/>
      <c r="J476" s="414"/>
      <c r="K476" s="414"/>
      <c r="L476" s="932"/>
      <c r="M476" s="939"/>
    </row>
    <row r="477" spans="1:13" s="922" customFormat="1">
      <c r="A477" s="935"/>
      <c r="B477" s="892" t="s">
        <v>139</v>
      </c>
      <c r="C477" s="1115" t="s">
        <v>1527</v>
      </c>
      <c r="D477" s="404">
        <f>564+24</f>
        <v>588</v>
      </c>
      <c r="E477" s="936" t="s">
        <v>84</v>
      </c>
      <c r="F477" s="414">
        <v>380</v>
      </c>
      <c r="G477" s="414">
        <v>45</v>
      </c>
      <c r="H477" s="414">
        <f t="shared" ref="H477:H484" si="34">F477*D477</f>
        <v>223440</v>
      </c>
      <c r="I477" s="414">
        <f t="shared" ref="I477:I484" si="35">D477*G477</f>
        <v>26460</v>
      </c>
      <c r="J477" s="414">
        <f t="shared" ref="J477:J484" si="36">H477+I477</f>
        <v>249900</v>
      </c>
      <c r="K477" s="414"/>
      <c r="L477" s="932"/>
      <c r="M477" s="939" t="s">
        <v>642</v>
      </c>
    </row>
    <row r="478" spans="1:13" s="922" customFormat="1">
      <c r="A478" s="935"/>
      <c r="B478" s="892" t="s">
        <v>139</v>
      </c>
      <c r="C478" s="1122" t="s">
        <v>1501</v>
      </c>
      <c r="D478" s="404">
        <v>45</v>
      </c>
      <c r="E478" s="936" t="s">
        <v>84</v>
      </c>
      <c r="F478" s="414">
        <v>168.67</v>
      </c>
      <c r="G478" s="414">
        <v>32</v>
      </c>
      <c r="H478" s="414">
        <f t="shared" si="34"/>
        <v>7590.15</v>
      </c>
      <c r="I478" s="414">
        <f t="shared" si="35"/>
        <v>1440</v>
      </c>
      <c r="J478" s="414">
        <f t="shared" si="36"/>
        <v>9030.15</v>
      </c>
      <c r="K478" s="414"/>
      <c r="L478" s="932"/>
      <c r="M478" s="939" t="s">
        <v>642</v>
      </c>
    </row>
    <row r="479" spans="1:13" s="922" customFormat="1">
      <c r="A479" s="933"/>
      <c r="B479" s="896" t="s">
        <v>139</v>
      </c>
      <c r="C479" s="1124" t="s">
        <v>1528</v>
      </c>
      <c r="D479" s="406">
        <v>45</v>
      </c>
      <c r="E479" s="936" t="s">
        <v>84</v>
      </c>
      <c r="F479" s="449">
        <v>77</v>
      </c>
      <c r="G479" s="449">
        <v>26</v>
      </c>
      <c r="H479" s="449">
        <f t="shared" si="34"/>
        <v>3465</v>
      </c>
      <c r="I479" s="449">
        <f t="shared" si="35"/>
        <v>1170</v>
      </c>
      <c r="J479" s="449">
        <f t="shared" si="36"/>
        <v>4635</v>
      </c>
      <c r="K479" s="449"/>
      <c r="L479" s="932"/>
      <c r="M479" s="939" t="s">
        <v>642</v>
      </c>
    </row>
    <row r="480" spans="1:13" s="922" customFormat="1">
      <c r="A480" s="935"/>
      <c r="B480" s="892" t="s">
        <v>139</v>
      </c>
      <c r="C480" s="1115" t="s">
        <v>1526</v>
      </c>
      <c r="D480" s="404">
        <f>180+45</f>
        <v>225</v>
      </c>
      <c r="E480" s="936" t="s">
        <v>84</v>
      </c>
      <c r="F480" s="414">
        <v>91</v>
      </c>
      <c r="G480" s="414">
        <v>22</v>
      </c>
      <c r="H480" s="414">
        <f t="shared" si="34"/>
        <v>20475</v>
      </c>
      <c r="I480" s="414">
        <f t="shared" si="35"/>
        <v>4950</v>
      </c>
      <c r="J480" s="414">
        <f t="shared" si="36"/>
        <v>25425</v>
      </c>
      <c r="K480" s="414"/>
      <c r="L480" s="932"/>
      <c r="M480" s="939" t="s">
        <v>642</v>
      </c>
    </row>
    <row r="481" spans="1:13" s="922" customFormat="1">
      <c r="A481" s="935"/>
      <c r="B481" s="892" t="s">
        <v>139</v>
      </c>
      <c r="C481" s="1115" t="s">
        <v>1485</v>
      </c>
      <c r="D481" s="404">
        <v>120</v>
      </c>
      <c r="E481" s="936" t="s">
        <v>84</v>
      </c>
      <c r="F481" s="414">
        <v>64</v>
      </c>
      <c r="G481" s="414">
        <v>24</v>
      </c>
      <c r="H481" s="414">
        <f t="shared" si="34"/>
        <v>7680</v>
      </c>
      <c r="I481" s="414">
        <f t="shared" si="35"/>
        <v>2880</v>
      </c>
      <c r="J481" s="414">
        <f t="shared" si="36"/>
        <v>10560</v>
      </c>
      <c r="K481" s="414"/>
      <c r="L481" s="932"/>
      <c r="M481" s="939" t="s">
        <v>642</v>
      </c>
    </row>
    <row r="482" spans="1:13" s="922" customFormat="1">
      <c r="A482" s="935"/>
      <c r="B482" s="892" t="s">
        <v>139</v>
      </c>
      <c r="C482" s="1115" t="s">
        <v>1524</v>
      </c>
      <c r="D482" s="404">
        <f>11160+9078+3600+3+3</f>
        <v>23844</v>
      </c>
      <c r="E482" s="936" t="s">
        <v>84</v>
      </c>
      <c r="F482" s="414">
        <v>44.33</v>
      </c>
      <c r="G482" s="414">
        <v>22</v>
      </c>
      <c r="H482" s="414">
        <f t="shared" si="34"/>
        <v>1057004.52</v>
      </c>
      <c r="I482" s="414">
        <f t="shared" si="35"/>
        <v>524568</v>
      </c>
      <c r="J482" s="414">
        <f t="shared" si="36"/>
        <v>1581572.52</v>
      </c>
      <c r="K482" s="414"/>
      <c r="L482" s="932"/>
      <c r="M482" s="939" t="s">
        <v>642</v>
      </c>
    </row>
    <row r="483" spans="1:13" s="922" customFormat="1">
      <c r="A483" s="935"/>
      <c r="B483" s="892" t="s">
        <v>139</v>
      </c>
      <c r="C483" s="1085" t="s">
        <v>511</v>
      </c>
      <c r="D483" s="404">
        <v>400</v>
      </c>
      <c r="E483" s="936" t="s">
        <v>84</v>
      </c>
      <c r="F483" s="414">
        <v>12</v>
      </c>
      <c r="G483" s="414">
        <v>8</v>
      </c>
      <c r="H483" s="414">
        <f t="shared" si="34"/>
        <v>4800</v>
      </c>
      <c r="I483" s="414">
        <f t="shared" si="35"/>
        <v>3200</v>
      </c>
      <c r="J483" s="414">
        <f t="shared" si="36"/>
        <v>8000</v>
      </c>
      <c r="K483" s="414"/>
      <c r="L483" s="932"/>
      <c r="M483" s="939" t="s">
        <v>642</v>
      </c>
    </row>
    <row r="484" spans="1:13" s="922" customFormat="1">
      <c r="A484" s="935"/>
      <c r="B484" s="892" t="s">
        <v>139</v>
      </c>
      <c r="C484" s="1115" t="s">
        <v>1523</v>
      </c>
      <c r="D484" s="404">
        <v>50</v>
      </c>
      <c r="E484" s="936" t="s">
        <v>84</v>
      </c>
      <c r="F484" s="414">
        <v>28</v>
      </c>
      <c r="G484" s="414">
        <v>19</v>
      </c>
      <c r="H484" s="414">
        <f t="shared" si="34"/>
        <v>1400</v>
      </c>
      <c r="I484" s="414">
        <f t="shared" si="35"/>
        <v>950</v>
      </c>
      <c r="J484" s="414">
        <f t="shared" si="36"/>
        <v>2350</v>
      </c>
      <c r="K484" s="414"/>
      <c r="L484" s="932"/>
      <c r="M484" s="939" t="s">
        <v>642</v>
      </c>
    </row>
    <row r="485" spans="1:13" s="922" customFormat="1">
      <c r="A485" s="935"/>
      <c r="B485" s="953" t="s">
        <v>1530</v>
      </c>
      <c r="C485" s="1122"/>
      <c r="D485" s="404"/>
      <c r="E485" s="936"/>
      <c r="F485" s="414"/>
      <c r="G485" s="414"/>
      <c r="H485" s="414"/>
      <c r="I485" s="414"/>
      <c r="J485" s="414"/>
      <c r="K485" s="414"/>
      <c r="L485" s="932"/>
      <c r="M485" s="939"/>
    </row>
    <row r="486" spans="1:13" s="952" customFormat="1">
      <c r="A486" s="946"/>
      <c r="B486" s="1119" t="s">
        <v>139</v>
      </c>
      <c r="C486" s="1120" t="s">
        <v>1843</v>
      </c>
      <c r="D486" s="670">
        <v>1</v>
      </c>
      <c r="E486" s="945" t="s">
        <v>105</v>
      </c>
      <c r="F486" s="949">
        <f>ROUND(SUM(H477:H484)*0.15,0)</f>
        <v>198878</v>
      </c>
      <c r="G486" s="949">
        <v>0</v>
      </c>
      <c r="H486" s="949">
        <f>F486*D486</f>
        <v>198878</v>
      </c>
      <c r="I486" s="949">
        <f>D486*G486</f>
        <v>0</v>
      </c>
      <c r="J486" s="949">
        <f>H486+I486</f>
        <v>198878</v>
      </c>
      <c r="K486" s="949"/>
      <c r="L486" s="950"/>
      <c r="M486" s="1121" t="s">
        <v>282</v>
      </c>
    </row>
    <row r="487" spans="1:13" s="922" customFormat="1">
      <c r="A487" s="935"/>
      <c r="B487" s="953" t="s">
        <v>1531</v>
      </c>
      <c r="C487" s="1122"/>
      <c r="D487" s="404"/>
      <c r="E487" s="936"/>
      <c r="F487" s="414"/>
      <c r="G487" s="414"/>
      <c r="H487" s="414"/>
      <c r="I487" s="414"/>
      <c r="J487" s="414"/>
      <c r="K487" s="414"/>
      <c r="L487" s="932"/>
      <c r="M487" s="939"/>
    </row>
    <row r="488" spans="1:13" s="922" customFormat="1">
      <c r="A488" s="935"/>
      <c r="B488" s="892" t="s">
        <v>139</v>
      </c>
      <c r="C488" s="1122" t="s">
        <v>1525</v>
      </c>
      <c r="D488" s="404">
        <v>300</v>
      </c>
      <c r="E488" s="936" t="s">
        <v>84</v>
      </c>
      <c r="F488" s="414">
        <v>67</v>
      </c>
      <c r="G488" s="414">
        <v>15</v>
      </c>
      <c r="H488" s="414">
        <f t="shared" ref="H488:H493" si="37">F488*D488</f>
        <v>20100</v>
      </c>
      <c r="I488" s="414">
        <f t="shared" ref="I488:I493" si="38">D488*G488</f>
        <v>4500</v>
      </c>
      <c r="J488" s="414">
        <f t="shared" ref="J488:J493" si="39">H488+I488</f>
        <v>24600</v>
      </c>
      <c r="K488" s="414"/>
      <c r="L488" s="932"/>
      <c r="M488" s="939" t="s">
        <v>642</v>
      </c>
    </row>
    <row r="489" spans="1:13" s="922" customFormat="1">
      <c r="A489" s="935"/>
      <c r="B489" s="892" t="s">
        <v>139</v>
      </c>
      <c r="C489" s="1122" t="s">
        <v>1474</v>
      </c>
      <c r="D489" s="404">
        <f>50*4</f>
        <v>200</v>
      </c>
      <c r="E489" s="936" t="s">
        <v>84</v>
      </c>
      <c r="F489" s="414">
        <v>76.5</v>
      </c>
      <c r="G489" s="414">
        <v>20</v>
      </c>
      <c r="H489" s="414">
        <f t="shared" si="37"/>
        <v>15300</v>
      </c>
      <c r="I489" s="414">
        <f t="shared" si="38"/>
        <v>4000</v>
      </c>
      <c r="J489" s="414">
        <f t="shared" si="39"/>
        <v>19300</v>
      </c>
      <c r="K489" s="414"/>
      <c r="L489" s="932"/>
      <c r="M489" s="939" t="s">
        <v>642</v>
      </c>
    </row>
    <row r="490" spans="1:13" s="922" customFormat="1">
      <c r="A490" s="935"/>
      <c r="B490" s="892" t="s">
        <v>139</v>
      </c>
      <c r="C490" s="1122" t="s">
        <v>1482</v>
      </c>
      <c r="D490" s="404">
        <v>300</v>
      </c>
      <c r="E490" s="936" t="s">
        <v>84</v>
      </c>
      <c r="F490" s="414">
        <v>28.3</v>
      </c>
      <c r="G490" s="414">
        <v>12</v>
      </c>
      <c r="H490" s="414">
        <f t="shared" si="37"/>
        <v>8490</v>
      </c>
      <c r="I490" s="414">
        <f t="shared" si="38"/>
        <v>3600</v>
      </c>
      <c r="J490" s="414">
        <f t="shared" si="39"/>
        <v>12090</v>
      </c>
      <c r="K490" s="414"/>
      <c r="L490" s="932"/>
      <c r="M490" s="939" t="s">
        <v>642</v>
      </c>
    </row>
    <row r="491" spans="1:13" s="922" customFormat="1">
      <c r="A491" s="935"/>
      <c r="B491" s="892" t="s">
        <v>139</v>
      </c>
      <c r="C491" s="1122" t="s">
        <v>1492</v>
      </c>
      <c r="D491" s="404">
        <v>16900</v>
      </c>
      <c r="E491" s="936" t="s">
        <v>84</v>
      </c>
      <c r="F491" s="414">
        <v>17.2</v>
      </c>
      <c r="G491" s="414">
        <v>10</v>
      </c>
      <c r="H491" s="414">
        <f t="shared" si="37"/>
        <v>290680</v>
      </c>
      <c r="I491" s="414">
        <f t="shared" si="38"/>
        <v>169000</v>
      </c>
      <c r="J491" s="414">
        <f t="shared" si="39"/>
        <v>459680</v>
      </c>
      <c r="K491" s="414"/>
      <c r="L491" s="932"/>
      <c r="M491" s="939" t="s">
        <v>642</v>
      </c>
    </row>
    <row r="492" spans="1:13" s="922" customFormat="1">
      <c r="A492" s="935"/>
      <c r="B492" s="892" t="s">
        <v>139</v>
      </c>
      <c r="C492" s="1122" t="s">
        <v>1364</v>
      </c>
      <c r="D492" s="404">
        <f>26000+8300+1600+400</f>
        <v>36300</v>
      </c>
      <c r="E492" s="936" t="s">
        <v>84</v>
      </c>
      <c r="F492" s="414">
        <v>11.4</v>
      </c>
      <c r="G492" s="414">
        <v>7</v>
      </c>
      <c r="H492" s="414">
        <f t="shared" si="37"/>
        <v>413820</v>
      </c>
      <c r="I492" s="414">
        <f t="shared" si="38"/>
        <v>254100</v>
      </c>
      <c r="J492" s="414">
        <f t="shared" si="39"/>
        <v>667920</v>
      </c>
      <c r="K492" s="414"/>
      <c r="L492" s="932"/>
      <c r="M492" s="939" t="s">
        <v>642</v>
      </c>
    </row>
    <row r="493" spans="1:13" s="922" customFormat="1">
      <c r="A493" s="935"/>
      <c r="B493" s="892" t="s">
        <v>139</v>
      </c>
      <c r="C493" s="1122" t="s">
        <v>1522</v>
      </c>
      <c r="D493" s="404">
        <f>12000+800</f>
        <v>12800</v>
      </c>
      <c r="E493" s="936" t="s">
        <v>84</v>
      </c>
      <c r="F493" s="414">
        <v>7.7</v>
      </c>
      <c r="G493" s="414">
        <v>5</v>
      </c>
      <c r="H493" s="414">
        <f t="shared" si="37"/>
        <v>98560</v>
      </c>
      <c r="I493" s="414">
        <f t="shared" si="38"/>
        <v>64000</v>
      </c>
      <c r="J493" s="414">
        <f t="shared" si="39"/>
        <v>162560</v>
      </c>
      <c r="K493" s="414"/>
      <c r="L493" s="932"/>
      <c r="M493" s="939" t="s">
        <v>642</v>
      </c>
    </row>
    <row r="494" spans="1:13" s="922" customFormat="1">
      <c r="A494" s="2183"/>
      <c r="B494" s="2183"/>
      <c r="C494" s="2183"/>
      <c r="D494" s="2184"/>
      <c r="E494" s="2185"/>
      <c r="F494" s="2185"/>
      <c r="G494" s="2185"/>
      <c r="H494" s="2185"/>
      <c r="I494" s="2185"/>
      <c r="J494" s="2185"/>
      <c r="K494" s="2185"/>
      <c r="L494" s="932"/>
      <c r="M494" s="939"/>
    </row>
    <row r="495" spans="1:13" s="922" customFormat="1">
      <c r="A495" s="2186"/>
      <c r="B495" s="2187"/>
      <c r="C495" s="2186" t="s">
        <v>133</v>
      </c>
      <c r="D495" s="2188"/>
      <c r="E495" s="418"/>
      <c r="F495" s="2189"/>
      <c r="G495" s="2189"/>
      <c r="H495" s="1277"/>
      <c r="I495" s="1277"/>
      <c r="J495" s="2188"/>
      <c r="K495" s="2188"/>
      <c r="L495" s="932"/>
      <c r="M495" s="939"/>
    </row>
    <row r="496" spans="1:13" s="922" customFormat="1">
      <c r="A496" s="1642"/>
      <c r="B496" s="1017"/>
      <c r="C496" s="2407" t="s">
        <v>1769</v>
      </c>
      <c r="D496" s="2407"/>
      <c r="E496" s="1017"/>
      <c r="F496" s="1017"/>
      <c r="G496" s="1017"/>
      <c r="H496" s="1017" t="s">
        <v>134</v>
      </c>
      <c r="I496" s="1017"/>
      <c r="J496" s="1017"/>
      <c r="K496" s="1017"/>
      <c r="L496" s="932"/>
      <c r="M496" s="939"/>
    </row>
    <row r="497" spans="1:13" s="922" customFormat="1">
      <c r="A497" s="1643"/>
      <c r="B497" s="419"/>
      <c r="C497" s="2408" t="s">
        <v>1970</v>
      </c>
      <c r="D497" s="2408"/>
      <c r="E497" s="419"/>
      <c r="F497" s="419"/>
      <c r="G497" s="419"/>
      <c r="H497" s="419" t="s">
        <v>1971</v>
      </c>
      <c r="I497" s="419"/>
      <c r="J497" s="419"/>
      <c r="K497" s="419"/>
      <c r="L497" s="932"/>
      <c r="M497" s="939"/>
    </row>
    <row r="498" spans="1:13" s="922" customFormat="1">
      <c r="A498" s="2188"/>
      <c r="B498" s="1017"/>
      <c r="C498" s="1017" t="s">
        <v>2031</v>
      </c>
      <c r="D498" s="2188"/>
      <c r="E498" s="419"/>
      <c r="F498" s="419"/>
      <c r="G498" s="419"/>
      <c r="H498" s="1017" t="s">
        <v>134</v>
      </c>
      <c r="I498" s="419"/>
      <c r="J498" s="419"/>
      <c r="K498" s="419"/>
      <c r="L498" s="932"/>
      <c r="M498" s="939"/>
    </row>
    <row r="499" spans="1:13" s="922" customFormat="1">
      <c r="A499" s="1017"/>
      <c r="B499" s="419"/>
      <c r="C499" s="419" t="s">
        <v>1984</v>
      </c>
      <c r="D499" s="2188"/>
      <c r="E499" s="1017"/>
      <c r="F499" s="1017"/>
      <c r="G499" s="1017"/>
      <c r="H499" s="419" t="s">
        <v>1985</v>
      </c>
      <c r="I499" s="1017"/>
      <c r="J499" s="1017"/>
      <c r="K499" s="1017"/>
      <c r="L499" s="932"/>
      <c r="M499" s="939"/>
    </row>
    <row r="500" spans="1:13" s="922" customFormat="1">
      <c r="A500" s="2190"/>
      <c r="B500" s="2190"/>
      <c r="C500" s="1017" t="s">
        <v>670</v>
      </c>
      <c r="D500" s="2191"/>
      <c r="E500" s="2192"/>
      <c r="F500" s="2193"/>
      <c r="G500" s="2194"/>
      <c r="H500" s="2194"/>
      <c r="I500" s="2194"/>
      <c r="J500" s="2194"/>
      <c r="K500" s="2194"/>
      <c r="L500" s="932"/>
      <c r="M500" s="939"/>
    </row>
    <row r="501" spans="1:13" s="922" customFormat="1">
      <c r="A501" s="2195"/>
      <c r="B501" s="2195"/>
      <c r="C501" s="2196" t="s">
        <v>1972</v>
      </c>
      <c r="D501" s="2197"/>
      <c r="E501" s="2198"/>
      <c r="F501" s="2199"/>
      <c r="G501" s="2200"/>
      <c r="H501" s="2200"/>
      <c r="I501" s="2200"/>
      <c r="J501" s="2200"/>
      <c r="K501" s="2200"/>
      <c r="L501" s="932"/>
      <c r="M501" s="939"/>
    </row>
    <row r="502" spans="1:13" s="922" customFormat="1">
      <c r="A502" s="935"/>
      <c r="B502" s="953" t="s">
        <v>1532</v>
      </c>
      <c r="C502" s="1122"/>
      <c r="D502" s="404"/>
      <c r="E502" s="936"/>
      <c r="F502" s="414"/>
      <c r="G502" s="414"/>
      <c r="H502" s="414"/>
      <c r="I502" s="414"/>
      <c r="J502" s="414"/>
      <c r="K502" s="414"/>
      <c r="L502" s="932"/>
      <c r="M502" s="939"/>
    </row>
    <row r="503" spans="1:13" s="952" customFormat="1">
      <c r="A503" s="946"/>
      <c r="B503" s="947" t="s">
        <v>139</v>
      </c>
      <c r="C503" s="1120" t="s">
        <v>1842</v>
      </c>
      <c r="D503" s="670">
        <v>1</v>
      </c>
      <c r="E503" s="945" t="s">
        <v>105</v>
      </c>
      <c r="F503" s="949">
        <f>SUM(H488:H493)*0.05</f>
        <v>42347.5</v>
      </c>
      <c r="G503" s="949">
        <v>0</v>
      </c>
      <c r="H503" s="949">
        <f>F503*D503</f>
        <v>42347.5</v>
      </c>
      <c r="I503" s="949">
        <f>D503*G503</f>
        <v>0</v>
      </c>
      <c r="J503" s="949">
        <f>H503+I503</f>
        <v>42347.5</v>
      </c>
      <c r="K503" s="949"/>
      <c r="L503" s="950"/>
      <c r="M503" s="1121" t="s">
        <v>282</v>
      </c>
    </row>
    <row r="504" spans="1:13" s="922" customFormat="1">
      <c r="A504" s="959"/>
      <c r="B504" s="894"/>
      <c r="C504" s="1102"/>
      <c r="D504" s="412"/>
      <c r="E504" s="961"/>
      <c r="F504" s="1125"/>
      <c r="G504" s="415"/>
      <c r="H504" s="415"/>
      <c r="I504" s="415"/>
      <c r="J504" s="415"/>
      <c r="K504" s="415"/>
      <c r="L504" s="932"/>
      <c r="M504" s="1117"/>
    </row>
    <row r="505" spans="1:13" s="968" customFormat="1" ht="24.75" thickBot="1">
      <c r="A505" s="962"/>
      <c r="B505" s="1092"/>
      <c r="C505" s="1093" t="str">
        <f>"รวมราคา "&amp;B332</f>
        <v>รวมราคา งานท่อร้อยสายไฟ และสายไฟฟ้า</v>
      </c>
      <c r="D505" s="1094"/>
      <c r="E505" s="966"/>
      <c r="F505" s="966"/>
      <c r="G505" s="966"/>
      <c r="H505" s="966">
        <f>SUM(H333:H504)</f>
        <v>5747588.0699999994</v>
      </c>
      <c r="I505" s="966">
        <f>SUM(I333:I504)</f>
        <v>1510669</v>
      </c>
      <c r="J505" s="966">
        <f>SUM(J333:J504)</f>
        <v>7258257.0699999994</v>
      </c>
      <c r="K505" s="966"/>
      <c r="L505" s="967"/>
      <c r="M505" s="1095"/>
    </row>
    <row r="506" spans="1:13" s="968" customFormat="1" ht="24.75" thickTop="1">
      <c r="A506" s="929">
        <v>4.5</v>
      </c>
      <c r="B506" s="2468" t="s">
        <v>1557</v>
      </c>
      <c r="C506" s="2469"/>
      <c r="D506" s="985"/>
      <c r="E506" s="995"/>
      <c r="F506" s="996"/>
      <c r="G506" s="996"/>
      <c r="H506" s="996"/>
      <c r="I506" s="996"/>
      <c r="J506" s="996"/>
      <c r="K506" s="996"/>
      <c r="L506" s="967"/>
      <c r="M506" s="1095"/>
    </row>
    <row r="507" spans="1:13" s="922" customFormat="1">
      <c r="A507" s="933"/>
      <c r="B507" s="896" t="s">
        <v>139</v>
      </c>
      <c r="C507" s="1126" t="s">
        <v>514</v>
      </c>
      <c r="D507" s="406">
        <v>151</v>
      </c>
      <c r="E507" s="934" t="s">
        <v>5</v>
      </c>
      <c r="F507" s="449">
        <v>540</v>
      </c>
      <c r="G507" s="449">
        <v>115</v>
      </c>
      <c r="H507" s="449">
        <f t="shared" ref="H507:H540" si="40">F507*D507</f>
        <v>81540</v>
      </c>
      <c r="I507" s="449">
        <f t="shared" ref="I507:I540" si="41">D507*G507</f>
        <v>17365</v>
      </c>
      <c r="J507" s="449">
        <f t="shared" ref="J507:J540" si="42">H507+I507</f>
        <v>98905</v>
      </c>
      <c r="K507" s="449"/>
      <c r="L507" s="932"/>
      <c r="M507" s="939" t="s">
        <v>622</v>
      </c>
    </row>
    <row r="508" spans="1:13" s="922" customFormat="1">
      <c r="A508" s="935"/>
      <c r="B508" s="892" t="s">
        <v>139</v>
      </c>
      <c r="C508" s="1085" t="s">
        <v>1533</v>
      </c>
      <c r="D508" s="404">
        <v>113</v>
      </c>
      <c r="E508" s="936" t="s">
        <v>5</v>
      </c>
      <c r="F508" s="414">
        <v>580</v>
      </c>
      <c r="G508" s="414">
        <v>115</v>
      </c>
      <c r="H508" s="414">
        <f t="shared" si="40"/>
        <v>65540</v>
      </c>
      <c r="I508" s="414">
        <f t="shared" si="41"/>
        <v>12995</v>
      </c>
      <c r="J508" s="414">
        <f t="shared" si="42"/>
        <v>78535</v>
      </c>
      <c r="K508" s="414"/>
      <c r="L508" s="932"/>
      <c r="M508" s="939" t="s">
        <v>622</v>
      </c>
    </row>
    <row r="509" spans="1:13" s="922" customFormat="1">
      <c r="A509" s="935"/>
      <c r="B509" s="892" t="s">
        <v>139</v>
      </c>
      <c r="C509" s="1085" t="s">
        <v>1534</v>
      </c>
      <c r="D509" s="404">
        <v>859</v>
      </c>
      <c r="E509" s="936" t="s">
        <v>5</v>
      </c>
      <c r="F509" s="414">
        <v>960</v>
      </c>
      <c r="G509" s="414">
        <v>165</v>
      </c>
      <c r="H509" s="414">
        <f t="shared" si="40"/>
        <v>824640</v>
      </c>
      <c r="I509" s="414">
        <f t="shared" si="41"/>
        <v>141735</v>
      </c>
      <c r="J509" s="414">
        <f t="shared" si="42"/>
        <v>966375</v>
      </c>
      <c r="K509" s="414"/>
      <c r="L509" s="932"/>
      <c r="M509" s="939" t="s">
        <v>622</v>
      </c>
    </row>
    <row r="510" spans="1:13" s="922" customFormat="1">
      <c r="A510" s="935"/>
      <c r="B510" s="892" t="s">
        <v>139</v>
      </c>
      <c r="C510" s="1085" t="s">
        <v>1535</v>
      </c>
      <c r="D510" s="404">
        <v>16</v>
      </c>
      <c r="E510" s="936" t="s">
        <v>5</v>
      </c>
      <c r="F510" s="414">
        <v>980</v>
      </c>
      <c r="G510" s="414">
        <v>115</v>
      </c>
      <c r="H510" s="414">
        <f t="shared" si="40"/>
        <v>15680</v>
      </c>
      <c r="I510" s="414">
        <f t="shared" si="41"/>
        <v>1840</v>
      </c>
      <c r="J510" s="414">
        <f t="shared" si="42"/>
        <v>17520</v>
      </c>
      <c r="K510" s="414"/>
      <c r="L510" s="932"/>
      <c r="M510" s="939" t="s">
        <v>622</v>
      </c>
    </row>
    <row r="511" spans="1:13" s="922" customFormat="1">
      <c r="A511" s="935"/>
      <c r="B511" s="892" t="s">
        <v>139</v>
      </c>
      <c r="C511" s="1085" t="s">
        <v>1536</v>
      </c>
      <c r="D511" s="404">
        <v>71</v>
      </c>
      <c r="E511" s="936" t="s">
        <v>5</v>
      </c>
      <c r="F511" s="414">
        <v>1620</v>
      </c>
      <c r="G511" s="414">
        <v>165</v>
      </c>
      <c r="H511" s="414">
        <f t="shared" si="40"/>
        <v>115020</v>
      </c>
      <c r="I511" s="414">
        <f t="shared" si="41"/>
        <v>11715</v>
      </c>
      <c r="J511" s="414">
        <f t="shared" si="42"/>
        <v>126735</v>
      </c>
      <c r="K511" s="414"/>
      <c r="L511" s="932"/>
      <c r="M511" s="939" t="s">
        <v>622</v>
      </c>
    </row>
    <row r="512" spans="1:13" s="922" customFormat="1">
      <c r="A512" s="935"/>
      <c r="B512" s="892" t="s">
        <v>139</v>
      </c>
      <c r="C512" s="1085" t="s">
        <v>1537</v>
      </c>
      <c r="D512" s="404">
        <v>45</v>
      </c>
      <c r="E512" s="936" t="s">
        <v>5</v>
      </c>
      <c r="F512" s="414">
        <v>850</v>
      </c>
      <c r="G512" s="414">
        <v>115</v>
      </c>
      <c r="H512" s="414">
        <f t="shared" si="40"/>
        <v>38250</v>
      </c>
      <c r="I512" s="414">
        <f t="shared" si="41"/>
        <v>5175</v>
      </c>
      <c r="J512" s="414">
        <f t="shared" si="42"/>
        <v>43425</v>
      </c>
      <c r="K512" s="414"/>
      <c r="L512" s="932"/>
      <c r="M512" s="939" t="s">
        <v>622</v>
      </c>
    </row>
    <row r="513" spans="1:13" s="922" customFormat="1">
      <c r="A513" s="935"/>
      <c r="B513" s="892" t="s">
        <v>139</v>
      </c>
      <c r="C513" s="1085" t="s">
        <v>1538</v>
      </c>
      <c r="D513" s="404">
        <v>62</v>
      </c>
      <c r="E513" s="936" t="s">
        <v>5</v>
      </c>
      <c r="F513" s="414">
        <v>960</v>
      </c>
      <c r="G513" s="414">
        <v>115</v>
      </c>
      <c r="H513" s="414">
        <f t="shared" si="40"/>
        <v>59520</v>
      </c>
      <c r="I513" s="414">
        <f t="shared" si="41"/>
        <v>7130</v>
      </c>
      <c r="J513" s="414">
        <f t="shared" si="42"/>
        <v>66650</v>
      </c>
      <c r="K513" s="414"/>
      <c r="L513" s="932"/>
      <c r="M513" s="939" t="s">
        <v>622</v>
      </c>
    </row>
    <row r="514" spans="1:13" s="922" customFormat="1">
      <c r="A514" s="935"/>
      <c r="B514" s="892" t="s">
        <v>139</v>
      </c>
      <c r="C514" s="1085" t="s">
        <v>1539</v>
      </c>
      <c r="D514" s="404">
        <v>8</v>
      </c>
      <c r="E514" s="936" t="s">
        <v>5</v>
      </c>
      <c r="F514" s="414">
        <v>1860</v>
      </c>
      <c r="G514" s="414">
        <v>165</v>
      </c>
      <c r="H514" s="414">
        <f t="shared" si="40"/>
        <v>14880</v>
      </c>
      <c r="I514" s="414">
        <f t="shared" si="41"/>
        <v>1320</v>
      </c>
      <c r="J514" s="414">
        <f t="shared" si="42"/>
        <v>16200</v>
      </c>
      <c r="K514" s="414"/>
      <c r="L514" s="932"/>
      <c r="M514" s="939" t="s">
        <v>622</v>
      </c>
    </row>
    <row r="515" spans="1:13" s="922" customFormat="1">
      <c r="A515" s="935"/>
      <c r="B515" s="892" t="s">
        <v>139</v>
      </c>
      <c r="C515" s="1085" t="s">
        <v>1540</v>
      </c>
      <c r="D515" s="404">
        <v>63</v>
      </c>
      <c r="E515" s="936" t="s">
        <v>5</v>
      </c>
      <c r="F515" s="414">
        <v>1080</v>
      </c>
      <c r="G515" s="414">
        <v>165</v>
      </c>
      <c r="H515" s="414">
        <f t="shared" si="40"/>
        <v>68040</v>
      </c>
      <c r="I515" s="414">
        <f t="shared" si="41"/>
        <v>10395</v>
      </c>
      <c r="J515" s="414">
        <f t="shared" si="42"/>
        <v>78435</v>
      </c>
      <c r="K515" s="414"/>
      <c r="L515" s="932"/>
      <c r="M515" s="939" t="s">
        <v>622</v>
      </c>
    </row>
    <row r="516" spans="1:13" s="922" customFormat="1">
      <c r="A516" s="935"/>
      <c r="B516" s="892" t="s">
        <v>139</v>
      </c>
      <c r="C516" s="1085" t="s">
        <v>1541</v>
      </c>
      <c r="D516" s="404">
        <v>324</v>
      </c>
      <c r="E516" s="936" t="s">
        <v>5</v>
      </c>
      <c r="F516" s="414">
        <v>2250</v>
      </c>
      <c r="G516" s="414">
        <v>200</v>
      </c>
      <c r="H516" s="414">
        <f t="shared" si="40"/>
        <v>729000</v>
      </c>
      <c r="I516" s="414">
        <f t="shared" si="41"/>
        <v>64800</v>
      </c>
      <c r="J516" s="414">
        <f t="shared" si="42"/>
        <v>793800</v>
      </c>
      <c r="K516" s="414"/>
      <c r="L516" s="932"/>
      <c r="M516" s="939" t="s">
        <v>622</v>
      </c>
    </row>
    <row r="517" spans="1:13" s="922" customFormat="1">
      <c r="A517" s="935"/>
      <c r="B517" s="892" t="s">
        <v>139</v>
      </c>
      <c r="C517" s="1085" t="s">
        <v>1542</v>
      </c>
      <c r="D517" s="404">
        <v>67</v>
      </c>
      <c r="E517" s="936" t="s">
        <v>5</v>
      </c>
      <c r="F517" s="414">
        <v>1560</v>
      </c>
      <c r="G517" s="414">
        <v>115</v>
      </c>
      <c r="H517" s="414">
        <f t="shared" si="40"/>
        <v>104520</v>
      </c>
      <c r="I517" s="414">
        <f t="shared" si="41"/>
        <v>7705</v>
      </c>
      <c r="J517" s="414">
        <f t="shared" si="42"/>
        <v>112225</v>
      </c>
      <c r="K517" s="414"/>
      <c r="L517" s="932"/>
      <c r="M517" s="939" t="s">
        <v>622</v>
      </c>
    </row>
    <row r="518" spans="1:13" s="922" customFormat="1">
      <c r="A518" s="935"/>
      <c r="B518" s="892" t="s">
        <v>139</v>
      </c>
      <c r="C518" s="1085" t="s">
        <v>1543</v>
      </c>
      <c r="D518" s="404">
        <v>19</v>
      </c>
      <c r="E518" s="936" t="s">
        <v>5</v>
      </c>
      <c r="F518" s="414">
        <v>2680</v>
      </c>
      <c r="G518" s="414">
        <v>200</v>
      </c>
      <c r="H518" s="414">
        <f t="shared" si="40"/>
        <v>50920</v>
      </c>
      <c r="I518" s="414">
        <f t="shared" si="41"/>
        <v>3800</v>
      </c>
      <c r="J518" s="414">
        <f t="shared" si="42"/>
        <v>54720</v>
      </c>
      <c r="K518" s="414"/>
      <c r="L518" s="932"/>
      <c r="M518" s="939" t="s">
        <v>622</v>
      </c>
    </row>
    <row r="519" spans="1:13" s="922" customFormat="1">
      <c r="A519" s="935"/>
      <c r="B519" s="892" t="s">
        <v>139</v>
      </c>
      <c r="C519" s="1085" t="s">
        <v>1544</v>
      </c>
      <c r="D519" s="404">
        <v>9</v>
      </c>
      <c r="E519" s="936" t="s">
        <v>5</v>
      </c>
      <c r="F519" s="414">
        <v>3640</v>
      </c>
      <c r="G519" s="414">
        <v>200</v>
      </c>
      <c r="H519" s="414">
        <f t="shared" si="40"/>
        <v>32760</v>
      </c>
      <c r="I519" s="414">
        <f t="shared" si="41"/>
        <v>1800</v>
      </c>
      <c r="J519" s="414">
        <f t="shared" si="42"/>
        <v>34560</v>
      </c>
      <c r="K519" s="414"/>
      <c r="L519" s="932"/>
      <c r="M519" s="939" t="s">
        <v>622</v>
      </c>
    </row>
    <row r="520" spans="1:13" s="922" customFormat="1">
      <c r="A520" s="935"/>
      <c r="B520" s="892" t="s">
        <v>139</v>
      </c>
      <c r="C520" s="1085" t="s">
        <v>1545</v>
      </c>
      <c r="D520" s="404">
        <v>6</v>
      </c>
      <c r="E520" s="936" t="s">
        <v>5</v>
      </c>
      <c r="F520" s="414">
        <v>4250</v>
      </c>
      <c r="G520" s="414">
        <v>500</v>
      </c>
      <c r="H520" s="414">
        <f t="shared" si="40"/>
        <v>25500</v>
      </c>
      <c r="I520" s="414">
        <f t="shared" si="41"/>
        <v>3000</v>
      </c>
      <c r="J520" s="414">
        <f t="shared" si="42"/>
        <v>28500</v>
      </c>
      <c r="K520" s="414"/>
      <c r="L520" s="932"/>
      <c r="M520" s="939" t="s">
        <v>622</v>
      </c>
    </row>
    <row r="521" spans="1:13" s="922" customFormat="1">
      <c r="A521" s="935"/>
      <c r="B521" s="892" t="s">
        <v>139</v>
      </c>
      <c r="C521" s="1085" t="s">
        <v>1546</v>
      </c>
      <c r="D521" s="404">
        <v>95</v>
      </c>
      <c r="E521" s="936" t="s">
        <v>5</v>
      </c>
      <c r="F521" s="414">
        <v>1250</v>
      </c>
      <c r="G521" s="414">
        <v>165</v>
      </c>
      <c r="H521" s="414">
        <f t="shared" si="40"/>
        <v>118750</v>
      </c>
      <c r="I521" s="414">
        <f t="shared" si="41"/>
        <v>15675</v>
      </c>
      <c r="J521" s="414">
        <f t="shared" si="42"/>
        <v>134425</v>
      </c>
      <c r="K521" s="414"/>
      <c r="L521" s="932"/>
      <c r="M521" s="939" t="s">
        <v>622</v>
      </c>
    </row>
    <row r="522" spans="1:13" s="922" customFormat="1">
      <c r="A522" s="935"/>
      <c r="B522" s="892" t="s">
        <v>139</v>
      </c>
      <c r="C522" s="1085" t="s">
        <v>1547</v>
      </c>
      <c r="D522" s="404">
        <v>4</v>
      </c>
      <c r="E522" s="936" t="s">
        <v>5</v>
      </c>
      <c r="F522" s="414">
        <v>2400</v>
      </c>
      <c r="G522" s="414">
        <v>165</v>
      </c>
      <c r="H522" s="414">
        <f t="shared" si="40"/>
        <v>9600</v>
      </c>
      <c r="I522" s="414">
        <f t="shared" si="41"/>
        <v>660</v>
      </c>
      <c r="J522" s="414">
        <f t="shared" si="42"/>
        <v>10260</v>
      </c>
      <c r="K522" s="414"/>
      <c r="L522" s="932"/>
      <c r="M522" s="939" t="s">
        <v>622</v>
      </c>
    </row>
    <row r="523" spans="1:13" s="922" customFormat="1">
      <c r="A523" s="935"/>
      <c r="B523" s="892" t="s">
        <v>139</v>
      </c>
      <c r="C523" s="1085" t="s">
        <v>1548</v>
      </c>
      <c r="D523" s="404">
        <v>6</v>
      </c>
      <c r="E523" s="936" t="s">
        <v>5</v>
      </c>
      <c r="F523" s="414">
        <v>2840</v>
      </c>
      <c r="G523" s="414">
        <v>165</v>
      </c>
      <c r="H523" s="414">
        <f t="shared" si="40"/>
        <v>17040</v>
      </c>
      <c r="I523" s="414">
        <f t="shared" si="41"/>
        <v>990</v>
      </c>
      <c r="J523" s="414">
        <f t="shared" si="42"/>
        <v>18030</v>
      </c>
      <c r="K523" s="414"/>
      <c r="L523" s="932"/>
      <c r="M523" s="939" t="s">
        <v>622</v>
      </c>
    </row>
    <row r="524" spans="1:13" s="922" customFormat="1">
      <c r="A524" s="935"/>
      <c r="B524" s="892" t="s">
        <v>139</v>
      </c>
      <c r="C524" s="1085" t="s">
        <v>1549</v>
      </c>
      <c r="D524" s="404">
        <v>29</v>
      </c>
      <c r="E524" s="936" t="s">
        <v>5</v>
      </c>
      <c r="F524" s="414">
        <v>650</v>
      </c>
      <c r="G524" s="414">
        <v>115</v>
      </c>
      <c r="H524" s="414">
        <f t="shared" si="40"/>
        <v>18850</v>
      </c>
      <c r="I524" s="414">
        <f t="shared" si="41"/>
        <v>3335</v>
      </c>
      <c r="J524" s="414">
        <f t="shared" si="42"/>
        <v>22185</v>
      </c>
      <c r="K524" s="414"/>
      <c r="L524" s="932"/>
      <c r="M524" s="939" t="s">
        <v>622</v>
      </c>
    </row>
    <row r="525" spans="1:13" s="922" customFormat="1">
      <c r="A525" s="2183"/>
      <c r="B525" s="2183"/>
      <c r="C525" s="2183"/>
      <c r="D525" s="2184"/>
      <c r="E525" s="2185"/>
      <c r="F525" s="2185"/>
      <c r="G525" s="2185"/>
      <c r="H525" s="2185"/>
      <c r="I525" s="2185"/>
      <c r="J525" s="2185"/>
      <c r="K525" s="2185"/>
      <c r="L525" s="932"/>
      <c r="M525" s="939"/>
    </row>
    <row r="526" spans="1:13" s="922" customFormat="1">
      <c r="A526" s="2186"/>
      <c r="B526" s="2187"/>
      <c r="C526" s="2186" t="s">
        <v>133</v>
      </c>
      <c r="D526" s="2188"/>
      <c r="E526" s="418"/>
      <c r="F526" s="2189"/>
      <c r="G526" s="2189"/>
      <c r="H526" s="1277"/>
      <c r="I526" s="1277"/>
      <c r="J526" s="2188"/>
      <c r="K526" s="2188"/>
      <c r="L526" s="932"/>
      <c r="M526" s="939"/>
    </row>
    <row r="527" spans="1:13" s="922" customFormat="1">
      <c r="A527" s="1642"/>
      <c r="B527" s="1017"/>
      <c r="C527" s="2407" t="s">
        <v>1769</v>
      </c>
      <c r="D527" s="2407"/>
      <c r="E527" s="1017"/>
      <c r="F527" s="1017"/>
      <c r="G527" s="1017"/>
      <c r="H527" s="1017" t="s">
        <v>134</v>
      </c>
      <c r="I527" s="1017"/>
      <c r="J527" s="1017"/>
      <c r="K527" s="1017"/>
      <c r="L527" s="932"/>
      <c r="M527" s="939"/>
    </row>
    <row r="528" spans="1:13" s="922" customFormat="1">
      <c r="A528" s="1643"/>
      <c r="B528" s="419"/>
      <c r="C528" s="2408" t="s">
        <v>1970</v>
      </c>
      <c r="D528" s="2408"/>
      <c r="E528" s="419"/>
      <c r="F528" s="419"/>
      <c r="G528" s="419"/>
      <c r="H528" s="419" t="s">
        <v>1971</v>
      </c>
      <c r="I528" s="419"/>
      <c r="J528" s="419"/>
      <c r="K528" s="419"/>
      <c r="L528" s="932"/>
      <c r="M528" s="939"/>
    </row>
    <row r="529" spans="1:13" s="922" customFormat="1">
      <c r="A529" s="2188"/>
      <c r="B529" s="1017"/>
      <c r="C529" s="1017" t="s">
        <v>2031</v>
      </c>
      <c r="D529" s="2188"/>
      <c r="E529" s="419"/>
      <c r="F529" s="419"/>
      <c r="G529" s="419"/>
      <c r="H529" s="1017" t="s">
        <v>134</v>
      </c>
      <c r="I529" s="419"/>
      <c r="J529" s="419"/>
      <c r="K529" s="419"/>
      <c r="L529" s="932"/>
      <c r="M529" s="939"/>
    </row>
    <row r="530" spans="1:13" s="922" customFormat="1">
      <c r="A530" s="1017"/>
      <c r="B530" s="419"/>
      <c r="C530" s="419" t="s">
        <v>1984</v>
      </c>
      <c r="D530" s="2188"/>
      <c r="E530" s="1017"/>
      <c r="F530" s="1017"/>
      <c r="G530" s="1017"/>
      <c r="H530" s="419" t="s">
        <v>1985</v>
      </c>
      <c r="I530" s="1017"/>
      <c r="J530" s="1017"/>
      <c r="K530" s="1017"/>
      <c r="L530" s="932"/>
      <c r="M530" s="939"/>
    </row>
    <row r="531" spans="1:13" s="922" customFormat="1">
      <c r="A531" s="2190"/>
      <c r="B531" s="2190"/>
      <c r="C531" s="1017" t="s">
        <v>670</v>
      </c>
      <c r="D531" s="2191"/>
      <c r="E531" s="2192"/>
      <c r="F531" s="2193"/>
      <c r="G531" s="2194"/>
      <c r="H531" s="2194"/>
      <c r="I531" s="2194"/>
      <c r="J531" s="2194"/>
      <c r="K531" s="2194"/>
      <c r="L531" s="932"/>
      <c r="M531" s="939"/>
    </row>
    <row r="532" spans="1:13" s="922" customFormat="1">
      <c r="A532" s="2195"/>
      <c r="B532" s="2195"/>
      <c r="C532" s="2196" t="s">
        <v>1972</v>
      </c>
      <c r="D532" s="2197"/>
      <c r="E532" s="2198"/>
      <c r="F532" s="2199"/>
      <c r="G532" s="2200"/>
      <c r="H532" s="2200"/>
      <c r="I532" s="2200"/>
      <c r="J532" s="2200"/>
      <c r="K532" s="2200"/>
      <c r="L532" s="932"/>
      <c r="M532" s="939"/>
    </row>
    <row r="533" spans="1:13" s="922" customFormat="1">
      <c r="A533" s="935"/>
      <c r="B533" s="892" t="s">
        <v>139</v>
      </c>
      <c r="C533" s="1085" t="s">
        <v>1550</v>
      </c>
      <c r="D533" s="404">
        <v>87</v>
      </c>
      <c r="E533" s="936" t="s">
        <v>5</v>
      </c>
      <c r="F533" s="414">
        <v>1500</v>
      </c>
      <c r="G533" s="414">
        <v>115</v>
      </c>
      <c r="H533" s="414">
        <f t="shared" si="40"/>
        <v>130500</v>
      </c>
      <c r="I533" s="414">
        <f t="shared" si="41"/>
        <v>10005</v>
      </c>
      <c r="J533" s="414">
        <f t="shared" si="42"/>
        <v>140505</v>
      </c>
      <c r="K533" s="414"/>
      <c r="L533" s="932"/>
      <c r="M533" s="939" t="s">
        <v>622</v>
      </c>
    </row>
    <row r="534" spans="1:13" s="922" customFormat="1">
      <c r="A534" s="935"/>
      <c r="B534" s="892" t="s">
        <v>139</v>
      </c>
      <c r="C534" s="1085" t="s">
        <v>1551</v>
      </c>
      <c r="D534" s="404">
        <f>20+20+10*9+40</f>
        <v>170</v>
      </c>
      <c r="E534" s="936" t="s">
        <v>84</v>
      </c>
      <c r="F534" s="414">
        <v>600</v>
      </c>
      <c r="G534" s="414">
        <v>50</v>
      </c>
      <c r="H534" s="414">
        <f t="shared" si="40"/>
        <v>102000</v>
      </c>
      <c r="I534" s="414">
        <f t="shared" si="41"/>
        <v>8500</v>
      </c>
      <c r="J534" s="414">
        <f t="shared" si="42"/>
        <v>110500</v>
      </c>
      <c r="K534" s="414"/>
      <c r="L534" s="932"/>
      <c r="M534" s="939" t="s">
        <v>622</v>
      </c>
    </row>
    <row r="535" spans="1:13" s="922" customFormat="1">
      <c r="A535" s="935"/>
      <c r="B535" s="892" t="s">
        <v>139</v>
      </c>
      <c r="C535" s="1127" t="s">
        <v>124</v>
      </c>
      <c r="D535" s="404">
        <f>4+18+4</f>
        <v>26</v>
      </c>
      <c r="E535" s="936" t="s">
        <v>5</v>
      </c>
      <c r="F535" s="414">
        <v>1250</v>
      </c>
      <c r="G535" s="414">
        <v>300</v>
      </c>
      <c r="H535" s="414">
        <f t="shared" si="40"/>
        <v>32500</v>
      </c>
      <c r="I535" s="414">
        <f t="shared" si="41"/>
        <v>7800</v>
      </c>
      <c r="J535" s="414">
        <f t="shared" si="42"/>
        <v>40300</v>
      </c>
      <c r="K535" s="414"/>
      <c r="L535" s="932"/>
      <c r="M535" s="939" t="s">
        <v>622</v>
      </c>
    </row>
    <row r="536" spans="1:13" s="922" customFormat="1">
      <c r="A536" s="935"/>
      <c r="B536" s="892" t="s">
        <v>139</v>
      </c>
      <c r="C536" s="1085" t="s">
        <v>1552</v>
      </c>
      <c r="D536" s="404">
        <v>12</v>
      </c>
      <c r="E536" s="936" t="s">
        <v>5</v>
      </c>
      <c r="F536" s="414">
        <v>1580</v>
      </c>
      <c r="G536" s="414">
        <v>200</v>
      </c>
      <c r="H536" s="414">
        <f t="shared" si="40"/>
        <v>18960</v>
      </c>
      <c r="I536" s="414">
        <f t="shared" si="41"/>
        <v>2400</v>
      </c>
      <c r="J536" s="414">
        <f t="shared" si="42"/>
        <v>21360</v>
      </c>
      <c r="K536" s="414"/>
      <c r="L536" s="932"/>
      <c r="M536" s="939" t="s">
        <v>622</v>
      </c>
    </row>
    <row r="537" spans="1:13" s="922" customFormat="1">
      <c r="A537" s="935"/>
      <c r="B537" s="892" t="s">
        <v>139</v>
      </c>
      <c r="C537" s="1085" t="s">
        <v>1553</v>
      </c>
      <c r="D537" s="404">
        <v>18</v>
      </c>
      <c r="E537" s="936" t="s">
        <v>5</v>
      </c>
      <c r="F537" s="414">
        <v>2860</v>
      </c>
      <c r="G537" s="414">
        <v>250</v>
      </c>
      <c r="H537" s="414">
        <f t="shared" si="40"/>
        <v>51480</v>
      </c>
      <c r="I537" s="414">
        <f t="shared" si="41"/>
        <v>4500</v>
      </c>
      <c r="J537" s="414">
        <f t="shared" si="42"/>
        <v>55980</v>
      </c>
      <c r="K537" s="414"/>
      <c r="L537" s="932"/>
      <c r="M537" s="939" t="s">
        <v>622</v>
      </c>
    </row>
    <row r="538" spans="1:13" s="922" customFormat="1">
      <c r="A538" s="935"/>
      <c r="B538" s="892" t="s">
        <v>139</v>
      </c>
      <c r="C538" s="1127" t="s">
        <v>1555</v>
      </c>
      <c r="D538" s="404">
        <v>165</v>
      </c>
      <c r="E538" s="936" t="s">
        <v>5</v>
      </c>
      <c r="F538" s="414">
        <v>2500</v>
      </c>
      <c r="G538" s="414">
        <v>115</v>
      </c>
      <c r="H538" s="414">
        <f t="shared" si="40"/>
        <v>412500</v>
      </c>
      <c r="I538" s="414">
        <f t="shared" si="41"/>
        <v>18975</v>
      </c>
      <c r="J538" s="414">
        <f t="shared" si="42"/>
        <v>431475</v>
      </c>
      <c r="K538" s="414"/>
      <c r="L538" s="932"/>
      <c r="M538" s="939" t="s">
        <v>622</v>
      </c>
    </row>
    <row r="539" spans="1:13" s="922" customFormat="1">
      <c r="A539" s="935"/>
      <c r="B539" s="892" t="s">
        <v>139</v>
      </c>
      <c r="C539" s="1127" t="s">
        <v>1554</v>
      </c>
      <c r="D539" s="404">
        <v>48</v>
      </c>
      <c r="E539" s="936" t="s">
        <v>5</v>
      </c>
      <c r="F539" s="414">
        <v>2500</v>
      </c>
      <c r="G539" s="414">
        <v>115</v>
      </c>
      <c r="H539" s="414">
        <f t="shared" si="40"/>
        <v>120000</v>
      </c>
      <c r="I539" s="414">
        <f t="shared" si="41"/>
        <v>5520</v>
      </c>
      <c r="J539" s="414">
        <f t="shared" si="42"/>
        <v>125520</v>
      </c>
      <c r="K539" s="414"/>
      <c r="L539" s="932"/>
      <c r="M539" s="939" t="s">
        <v>622</v>
      </c>
    </row>
    <row r="540" spans="1:13" s="922" customFormat="1">
      <c r="A540" s="935"/>
      <c r="B540" s="892" t="s">
        <v>139</v>
      </c>
      <c r="C540" s="1127" t="s">
        <v>1556</v>
      </c>
      <c r="D540" s="404">
        <f>31+13+9</f>
        <v>53</v>
      </c>
      <c r="E540" s="936" t="s">
        <v>5</v>
      </c>
      <c r="F540" s="414">
        <v>2500</v>
      </c>
      <c r="G540" s="414">
        <v>115</v>
      </c>
      <c r="H540" s="414">
        <f t="shared" si="40"/>
        <v>132500</v>
      </c>
      <c r="I540" s="414">
        <f t="shared" si="41"/>
        <v>6095</v>
      </c>
      <c r="J540" s="414">
        <f t="shared" si="42"/>
        <v>138595</v>
      </c>
      <c r="K540" s="414"/>
      <c r="L540" s="932"/>
      <c r="M540" s="939" t="s">
        <v>622</v>
      </c>
    </row>
    <row r="541" spans="1:13" s="922" customFormat="1">
      <c r="A541" s="1089"/>
      <c r="B541" s="1000"/>
      <c r="C541" s="1128"/>
      <c r="D541" s="416"/>
      <c r="E541" s="999"/>
      <c r="F541" s="1002"/>
      <c r="G541" s="1002"/>
      <c r="H541" s="1002"/>
      <c r="I541" s="1002"/>
      <c r="J541" s="1002"/>
      <c r="K541" s="1002"/>
      <c r="L541" s="932"/>
      <c r="M541" s="1077"/>
    </row>
    <row r="542" spans="1:13" s="968" customFormat="1" ht="24.75" thickBot="1">
      <c r="A542" s="962"/>
      <c r="B542" s="1092"/>
      <c r="C542" s="1093" t="str">
        <f>"รวมราคา "&amp;B506</f>
        <v>รวมราคา งานโคมไฟส่องสว่าง</v>
      </c>
      <c r="D542" s="1094"/>
      <c r="E542" s="966"/>
      <c r="F542" s="966"/>
      <c r="G542" s="966"/>
      <c r="H542" s="966">
        <f>SUM(H507:H541)</f>
        <v>3390490</v>
      </c>
      <c r="I542" s="966">
        <f>SUM(I507:I541)</f>
        <v>375230</v>
      </c>
      <c r="J542" s="966">
        <f>SUM(J507:J541)</f>
        <v>3765720</v>
      </c>
      <c r="K542" s="966"/>
      <c r="L542" s="967"/>
      <c r="M542" s="1095"/>
    </row>
    <row r="543" spans="1:13" s="968" customFormat="1" ht="24.75" thickTop="1">
      <c r="A543" s="929">
        <v>4.5999999999999996</v>
      </c>
      <c r="B543" s="2505" t="s">
        <v>130</v>
      </c>
      <c r="C543" s="2506"/>
      <c r="D543" s="985"/>
      <c r="E543" s="995"/>
      <c r="F543" s="996"/>
      <c r="G543" s="996"/>
      <c r="H543" s="996"/>
      <c r="I543" s="996"/>
      <c r="J543" s="996"/>
      <c r="K543" s="996"/>
      <c r="L543" s="967"/>
      <c r="M543" s="1095"/>
    </row>
    <row r="544" spans="1:13" s="922" customFormat="1">
      <c r="A544" s="933" t="s">
        <v>217</v>
      </c>
      <c r="B544" s="2507" t="s">
        <v>207</v>
      </c>
      <c r="C544" s="2508"/>
      <c r="D544" s="406"/>
      <c r="E544" s="934"/>
      <c r="F544" s="449"/>
      <c r="G544" s="449"/>
      <c r="H544" s="449"/>
      <c r="I544" s="449"/>
      <c r="J544" s="449"/>
      <c r="K544" s="449"/>
      <c r="L544" s="932"/>
      <c r="M544" s="1077"/>
    </row>
    <row r="545" spans="1:13" s="922" customFormat="1">
      <c r="A545" s="935"/>
      <c r="B545" s="892" t="s">
        <v>139</v>
      </c>
      <c r="C545" s="1127" t="s">
        <v>515</v>
      </c>
      <c r="D545" s="404">
        <v>143</v>
      </c>
      <c r="E545" s="936" t="s">
        <v>5</v>
      </c>
      <c r="F545" s="414">
        <v>60</v>
      </c>
      <c r="G545" s="414">
        <v>80</v>
      </c>
      <c r="H545" s="414">
        <f>F545*D545</f>
        <v>8580</v>
      </c>
      <c r="I545" s="414">
        <f>D545*G545</f>
        <v>11440</v>
      </c>
      <c r="J545" s="414">
        <f>H545+I545</f>
        <v>20020</v>
      </c>
      <c r="K545" s="414"/>
      <c r="L545" s="932"/>
      <c r="M545" s="939" t="s">
        <v>622</v>
      </c>
    </row>
    <row r="546" spans="1:13" s="922" customFormat="1">
      <c r="A546" s="935" t="s">
        <v>278</v>
      </c>
      <c r="B546" s="2499" t="s">
        <v>206</v>
      </c>
      <c r="C546" s="2500"/>
      <c r="D546" s="404"/>
      <c r="E546" s="936"/>
      <c r="F546" s="414"/>
      <c r="G546" s="414"/>
      <c r="H546" s="414"/>
      <c r="I546" s="414"/>
      <c r="J546" s="414"/>
      <c r="K546" s="414"/>
      <c r="L546" s="932"/>
      <c r="M546" s="1077"/>
    </row>
    <row r="547" spans="1:13" s="922" customFormat="1">
      <c r="A547" s="935"/>
      <c r="B547" s="892" t="s">
        <v>139</v>
      </c>
      <c r="C547" s="1127" t="s">
        <v>29</v>
      </c>
      <c r="D547" s="404">
        <f>11+48+53+2</f>
        <v>114</v>
      </c>
      <c r="E547" s="936" t="s">
        <v>5</v>
      </c>
      <c r="F547" s="414">
        <v>180</v>
      </c>
      <c r="G547" s="414">
        <v>90</v>
      </c>
      <c r="H547" s="414">
        <f t="shared" ref="H547:H554" si="43">F547*D547</f>
        <v>20520</v>
      </c>
      <c r="I547" s="414">
        <f t="shared" ref="I547:I554" si="44">D547*G547</f>
        <v>10260</v>
      </c>
      <c r="J547" s="414">
        <f t="shared" ref="J547:J554" si="45">H547+I547</f>
        <v>30780</v>
      </c>
      <c r="K547" s="414"/>
      <c r="L547" s="932"/>
      <c r="M547" s="939" t="s">
        <v>622</v>
      </c>
    </row>
    <row r="548" spans="1:13" s="922" customFormat="1">
      <c r="A548" s="935"/>
      <c r="B548" s="892" t="s">
        <v>139</v>
      </c>
      <c r="C548" s="1127" t="s">
        <v>30</v>
      </c>
      <c r="D548" s="404">
        <v>979</v>
      </c>
      <c r="E548" s="936" t="s">
        <v>5</v>
      </c>
      <c r="F548" s="414">
        <v>240</v>
      </c>
      <c r="G548" s="414">
        <v>90</v>
      </c>
      <c r="H548" s="414">
        <f t="shared" si="43"/>
        <v>234960</v>
      </c>
      <c r="I548" s="414">
        <f t="shared" si="44"/>
        <v>88110</v>
      </c>
      <c r="J548" s="414">
        <f t="shared" si="45"/>
        <v>323070</v>
      </c>
      <c r="K548" s="414"/>
      <c r="L548" s="932"/>
      <c r="M548" s="939" t="s">
        <v>622</v>
      </c>
    </row>
    <row r="549" spans="1:13" s="922" customFormat="1">
      <c r="A549" s="935"/>
      <c r="B549" s="892" t="s">
        <v>139</v>
      </c>
      <c r="C549" s="1127" t="s">
        <v>31</v>
      </c>
      <c r="D549" s="404">
        <v>12</v>
      </c>
      <c r="E549" s="936" t="s">
        <v>5</v>
      </c>
      <c r="F549" s="414">
        <v>535</v>
      </c>
      <c r="G549" s="414">
        <v>115</v>
      </c>
      <c r="H549" s="414">
        <f t="shared" si="43"/>
        <v>6420</v>
      </c>
      <c r="I549" s="414">
        <f t="shared" si="44"/>
        <v>1380</v>
      </c>
      <c r="J549" s="414">
        <f t="shared" si="45"/>
        <v>7800</v>
      </c>
      <c r="K549" s="414"/>
      <c r="L549" s="932"/>
      <c r="M549" s="939" t="s">
        <v>622</v>
      </c>
    </row>
    <row r="550" spans="1:13" s="922" customFormat="1">
      <c r="A550" s="935"/>
      <c r="B550" s="892" t="s">
        <v>139</v>
      </c>
      <c r="C550" s="1127" t="s">
        <v>1559</v>
      </c>
      <c r="D550" s="404">
        <v>12</v>
      </c>
      <c r="E550" s="936" t="s">
        <v>5</v>
      </c>
      <c r="F550" s="414">
        <v>1560</v>
      </c>
      <c r="G550" s="414">
        <v>165</v>
      </c>
      <c r="H550" s="414">
        <f t="shared" si="43"/>
        <v>18720</v>
      </c>
      <c r="I550" s="414">
        <f t="shared" si="44"/>
        <v>1980</v>
      </c>
      <c r="J550" s="414">
        <f t="shared" si="45"/>
        <v>20700</v>
      </c>
      <c r="K550" s="414"/>
      <c r="L550" s="932"/>
      <c r="M550" s="939" t="s">
        <v>622</v>
      </c>
    </row>
    <row r="551" spans="1:13" s="922" customFormat="1">
      <c r="A551" s="935"/>
      <c r="B551" s="892" t="s">
        <v>139</v>
      </c>
      <c r="C551" s="1127" t="s">
        <v>1560</v>
      </c>
      <c r="D551" s="404">
        <v>2</v>
      </c>
      <c r="E551" s="936" t="s">
        <v>5</v>
      </c>
      <c r="F551" s="414">
        <v>930</v>
      </c>
      <c r="G551" s="414">
        <v>200</v>
      </c>
      <c r="H551" s="414">
        <f t="shared" si="43"/>
        <v>1860</v>
      </c>
      <c r="I551" s="414">
        <f t="shared" si="44"/>
        <v>400</v>
      </c>
      <c r="J551" s="414">
        <f t="shared" si="45"/>
        <v>2260</v>
      </c>
      <c r="K551" s="414"/>
      <c r="L551" s="932"/>
      <c r="M551" s="939" t="s">
        <v>622</v>
      </c>
    </row>
    <row r="552" spans="1:13" s="922" customFormat="1">
      <c r="A552" s="935"/>
      <c r="B552" s="892" t="s">
        <v>139</v>
      </c>
      <c r="C552" s="1127" t="s">
        <v>1561</v>
      </c>
      <c r="D552" s="404">
        <v>2</v>
      </c>
      <c r="E552" s="936" t="s">
        <v>5</v>
      </c>
      <c r="F552" s="414">
        <v>1410</v>
      </c>
      <c r="G552" s="414">
        <v>300</v>
      </c>
      <c r="H552" s="414">
        <f t="shared" si="43"/>
        <v>2820</v>
      </c>
      <c r="I552" s="414">
        <f t="shared" si="44"/>
        <v>600</v>
      </c>
      <c r="J552" s="414">
        <f t="shared" si="45"/>
        <v>3420</v>
      </c>
      <c r="K552" s="414"/>
      <c r="L552" s="932"/>
      <c r="M552" s="939" t="s">
        <v>622</v>
      </c>
    </row>
    <row r="553" spans="1:13" s="922" customFormat="1">
      <c r="A553" s="935"/>
      <c r="B553" s="892" t="s">
        <v>139</v>
      </c>
      <c r="C553" s="1127" t="s">
        <v>1562</v>
      </c>
      <c r="D553" s="404">
        <v>1</v>
      </c>
      <c r="E553" s="936" t="s">
        <v>5</v>
      </c>
      <c r="F553" s="414">
        <v>1950</v>
      </c>
      <c r="G553" s="414">
        <v>450</v>
      </c>
      <c r="H553" s="414">
        <f t="shared" si="43"/>
        <v>1950</v>
      </c>
      <c r="I553" s="414">
        <f t="shared" si="44"/>
        <v>450</v>
      </c>
      <c r="J553" s="414">
        <f t="shared" si="45"/>
        <v>2400</v>
      </c>
      <c r="K553" s="414"/>
      <c r="L553" s="932"/>
      <c r="M553" s="939" t="s">
        <v>622</v>
      </c>
    </row>
    <row r="554" spans="1:13" s="922" customFormat="1">
      <c r="A554" s="935"/>
      <c r="B554" s="892" t="s">
        <v>139</v>
      </c>
      <c r="C554" s="1127" t="s">
        <v>1582</v>
      </c>
      <c r="D554" s="404">
        <v>1</v>
      </c>
      <c r="E554" s="936" t="s">
        <v>5</v>
      </c>
      <c r="F554" s="414">
        <v>95000</v>
      </c>
      <c r="G554" s="414">
        <v>7500</v>
      </c>
      <c r="H554" s="414">
        <f t="shared" si="43"/>
        <v>95000</v>
      </c>
      <c r="I554" s="414">
        <f t="shared" si="44"/>
        <v>7500</v>
      </c>
      <c r="J554" s="414">
        <f t="shared" si="45"/>
        <v>102500</v>
      </c>
      <c r="K554" s="414"/>
      <c r="L554" s="932"/>
      <c r="M554" s="939" t="s">
        <v>622</v>
      </c>
    </row>
    <row r="555" spans="1:13" s="922" customFormat="1">
      <c r="A555" s="2183"/>
      <c r="B555" s="2183"/>
      <c r="C555" s="2183"/>
      <c r="D555" s="2184"/>
      <c r="E555" s="2185"/>
      <c r="F555" s="2185"/>
      <c r="G555" s="2185"/>
      <c r="H555" s="2185"/>
      <c r="I555" s="2185"/>
      <c r="J555" s="2185"/>
      <c r="K555" s="2185"/>
      <c r="L555" s="932"/>
      <c r="M555" s="939"/>
    </row>
    <row r="556" spans="1:13" s="922" customFormat="1">
      <c r="A556" s="2186"/>
      <c r="B556" s="2187"/>
      <c r="C556" s="2186" t="s">
        <v>133</v>
      </c>
      <c r="D556" s="2188"/>
      <c r="E556" s="418"/>
      <c r="F556" s="2189"/>
      <c r="G556" s="2189"/>
      <c r="H556" s="1277"/>
      <c r="I556" s="1277"/>
      <c r="J556" s="2188"/>
      <c r="K556" s="2188"/>
      <c r="L556" s="932"/>
      <c r="M556" s="939"/>
    </row>
    <row r="557" spans="1:13" s="922" customFormat="1">
      <c r="A557" s="1642"/>
      <c r="B557" s="1017"/>
      <c r="C557" s="2407" t="s">
        <v>1769</v>
      </c>
      <c r="D557" s="2407"/>
      <c r="E557" s="1017"/>
      <c r="F557" s="1017"/>
      <c r="G557" s="1017"/>
      <c r="H557" s="1017" t="s">
        <v>134</v>
      </c>
      <c r="I557" s="1017"/>
      <c r="J557" s="1017"/>
      <c r="K557" s="1017"/>
      <c r="L557" s="932"/>
      <c r="M557" s="939"/>
    </row>
    <row r="558" spans="1:13" s="922" customFormat="1">
      <c r="A558" s="1643"/>
      <c r="B558" s="419"/>
      <c r="C558" s="2408" t="s">
        <v>1970</v>
      </c>
      <c r="D558" s="2408"/>
      <c r="E558" s="419"/>
      <c r="F558" s="419"/>
      <c r="G558" s="419"/>
      <c r="H558" s="419" t="s">
        <v>1971</v>
      </c>
      <c r="I558" s="419"/>
      <c r="J558" s="419"/>
      <c r="K558" s="419"/>
      <c r="L558" s="932"/>
      <c r="M558" s="939"/>
    </row>
    <row r="559" spans="1:13" s="922" customFormat="1">
      <c r="A559" s="2188"/>
      <c r="B559" s="1017"/>
      <c r="C559" s="1017" t="s">
        <v>2031</v>
      </c>
      <c r="D559" s="2188"/>
      <c r="E559" s="419"/>
      <c r="F559" s="419"/>
      <c r="G559" s="419"/>
      <c r="H559" s="1017" t="s">
        <v>134</v>
      </c>
      <c r="I559" s="419"/>
      <c r="J559" s="419"/>
      <c r="K559" s="419"/>
      <c r="L559" s="932"/>
      <c r="M559" s="939"/>
    </row>
    <row r="560" spans="1:13" s="922" customFormat="1">
      <c r="A560" s="1017"/>
      <c r="B560" s="419"/>
      <c r="C560" s="419" t="s">
        <v>1984</v>
      </c>
      <c r="D560" s="2188"/>
      <c r="E560" s="1017"/>
      <c r="F560" s="1017"/>
      <c r="G560" s="1017"/>
      <c r="H560" s="419" t="s">
        <v>1985</v>
      </c>
      <c r="I560" s="1017"/>
      <c r="J560" s="1017"/>
      <c r="K560" s="1017"/>
      <c r="L560" s="932"/>
      <c r="M560" s="939"/>
    </row>
    <row r="561" spans="1:13" s="922" customFormat="1">
      <c r="A561" s="2190"/>
      <c r="B561" s="2190"/>
      <c r="C561" s="1017" t="s">
        <v>670</v>
      </c>
      <c r="D561" s="2191"/>
      <c r="E561" s="2192"/>
      <c r="F561" s="2193"/>
      <c r="G561" s="2194"/>
      <c r="H561" s="2194"/>
      <c r="I561" s="2194"/>
      <c r="J561" s="2194"/>
      <c r="K561" s="2194"/>
      <c r="L561" s="932"/>
      <c r="M561" s="939"/>
    </row>
    <row r="562" spans="1:13" s="922" customFormat="1">
      <c r="A562" s="2195"/>
      <c r="B562" s="2195"/>
      <c r="C562" s="2196" t="s">
        <v>1972</v>
      </c>
      <c r="D562" s="2197"/>
      <c r="E562" s="2198"/>
      <c r="F562" s="2199"/>
      <c r="G562" s="2200"/>
      <c r="H562" s="2200"/>
      <c r="I562" s="2200"/>
      <c r="J562" s="2200"/>
      <c r="K562" s="2200"/>
      <c r="L562" s="932"/>
      <c r="M562" s="939"/>
    </row>
    <row r="563" spans="1:13" s="968" customFormat="1" ht="24.75" thickBot="1">
      <c r="A563" s="962"/>
      <c r="B563" s="1092"/>
      <c r="C563" s="1093" t="str">
        <f>"รวมราคา "&amp;B543</f>
        <v>รวมราคา งานสวิทช์และเต้ารับไฟฟ้า</v>
      </c>
      <c r="D563" s="1094"/>
      <c r="E563" s="966"/>
      <c r="F563" s="966"/>
      <c r="G563" s="966"/>
      <c r="H563" s="966">
        <f>SUM(H544:H555)</f>
        <v>390830</v>
      </c>
      <c r="I563" s="966">
        <f>SUM(I544:I555)</f>
        <v>122120</v>
      </c>
      <c r="J563" s="966">
        <f>SUM(J544:J555)</f>
        <v>512950</v>
      </c>
      <c r="K563" s="966"/>
      <c r="L563" s="967"/>
      <c r="M563" s="1095"/>
    </row>
    <row r="564" spans="1:13" s="1133" customFormat="1" ht="24.75" thickTop="1">
      <c r="A564" s="1129">
        <v>4.7</v>
      </c>
      <c r="B564" s="2497" t="s">
        <v>319</v>
      </c>
      <c r="C564" s="2498"/>
      <c r="D564" s="985"/>
      <c r="E564" s="995"/>
      <c r="F564" s="996"/>
      <c r="G564" s="996"/>
      <c r="H564" s="1130"/>
      <c r="I564" s="1130"/>
      <c r="J564" s="1130"/>
      <c r="K564" s="1130"/>
      <c r="L564" s="1131"/>
      <c r="M564" s="1132"/>
    </row>
    <row r="565" spans="1:13" s="1134" customFormat="1">
      <c r="A565" s="897" t="s">
        <v>218</v>
      </c>
      <c r="B565" s="2470" t="s">
        <v>1733</v>
      </c>
      <c r="C565" s="2471"/>
      <c r="D565" s="406"/>
      <c r="E565" s="934"/>
      <c r="F565" s="449"/>
      <c r="G565" s="449"/>
      <c r="H565" s="1105"/>
      <c r="I565" s="1105"/>
      <c r="J565" s="1105"/>
      <c r="K565" s="1105"/>
      <c r="L565" s="1106"/>
      <c r="M565" s="1107"/>
    </row>
    <row r="566" spans="1:13" s="1134" customFormat="1">
      <c r="A566" s="893"/>
      <c r="B566" s="892" t="s">
        <v>139</v>
      </c>
      <c r="C566" s="1085" t="s">
        <v>516</v>
      </c>
      <c r="D566" s="404">
        <v>1</v>
      </c>
      <c r="E566" s="936" t="s">
        <v>28</v>
      </c>
      <c r="F566" s="414">
        <v>10000</v>
      </c>
      <c r="G566" s="414">
        <v>5000</v>
      </c>
      <c r="H566" s="414">
        <f>F566*D566</f>
        <v>10000</v>
      </c>
      <c r="I566" s="414">
        <f>D566*G566</f>
        <v>5000</v>
      </c>
      <c r="J566" s="414">
        <f>H566+I566</f>
        <v>15000</v>
      </c>
      <c r="K566" s="414"/>
      <c r="L566" s="932"/>
      <c r="M566" s="939" t="s">
        <v>622</v>
      </c>
    </row>
    <row r="567" spans="1:13" s="1134" customFormat="1">
      <c r="A567" s="893"/>
      <c r="B567" s="892" t="s">
        <v>139</v>
      </c>
      <c r="C567" s="1085" t="s">
        <v>1592</v>
      </c>
      <c r="D567" s="404">
        <v>1</v>
      </c>
      <c r="E567" s="936" t="s">
        <v>28</v>
      </c>
      <c r="F567" s="414">
        <v>65000</v>
      </c>
      <c r="G567" s="414">
        <v>5000</v>
      </c>
      <c r="H567" s="414">
        <f>F567*D567</f>
        <v>65000</v>
      </c>
      <c r="I567" s="414">
        <f>D567*G567</f>
        <v>5000</v>
      </c>
      <c r="J567" s="414">
        <f>H567+I567</f>
        <v>70000</v>
      </c>
      <c r="K567" s="414"/>
      <c r="L567" s="932"/>
      <c r="M567" s="939" t="s">
        <v>622</v>
      </c>
    </row>
    <row r="568" spans="1:13" s="1134" customFormat="1">
      <c r="A568" s="893"/>
      <c r="B568" s="892" t="s">
        <v>139</v>
      </c>
      <c r="C568" s="1085" t="s">
        <v>1593</v>
      </c>
      <c r="D568" s="404">
        <v>7</v>
      </c>
      <c r="E568" s="936" t="s">
        <v>5</v>
      </c>
      <c r="F568" s="414">
        <v>4500</v>
      </c>
      <c r="G568" s="414">
        <v>750</v>
      </c>
      <c r="H568" s="414">
        <f>F568*D568</f>
        <v>31500</v>
      </c>
      <c r="I568" s="414">
        <f>D568*G568</f>
        <v>5250</v>
      </c>
      <c r="J568" s="414">
        <f>H568+I568</f>
        <v>36750</v>
      </c>
      <c r="K568" s="414"/>
      <c r="L568" s="932"/>
      <c r="M568" s="939" t="s">
        <v>622</v>
      </c>
    </row>
    <row r="569" spans="1:13" s="1134" customFormat="1">
      <c r="A569" s="893"/>
      <c r="B569" s="892" t="s">
        <v>139</v>
      </c>
      <c r="C569" s="1085" t="s">
        <v>1594</v>
      </c>
      <c r="D569" s="404">
        <v>1</v>
      </c>
      <c r="E569" s="936" t="s">
        <v>5</v>
      </c>
      <c r="F569" s="414">
        <v>5000</v>
      </c>
      <c r="G569" s="414">
        <v>750</v>
      </c>
      <c r="H569" s="414">
        <f>F569*D569</f>
        <v>5000</v>
      </c>
      <c r="I569" s="414">
        <f>D569*G569</f>
        <v>750</v>
      </c>
      <c r="J569" s="414">
        <f>H569+I569</f>
        <v>5750</v>
      </c>
      <c r="K569" s="414"/>
      <c r="L569" s="932"/>
      <c r="M569" s="939" t="s">
        <v>622</v>
      </c>
    </row>
    <row r="570" spans="1:13" s="1134" customFormat="1">
      <c r="A570" s="893"/>
      <c r="B570" s="892" t="s">
        <v>139</v>
      </c>
      <c r="C570" s="1085" t="s">
        <v>1599</v>
      </c>
      <c r="D570" s="1109">
        <v>1</v>
      </c>
      <c r="E570" s="936" t="s">
        <v>105</v>
      </c>
      <c r="F570" s="414">
        <v>0</v>
      </c>
      <c r="G570" s="414">
        <v>25000</v>
      </c>
      <c r="H570" s="414">
        <f>F570*D570</f>
        <v>0</v>
      </c>
      <c r="I570" s="414">
        <f>D570*G570</f>
        <v>25000</v>
      </c>
      <c r="J570" s="414">
        <f>H570+I570</f>
        <v>25000</v>
      </c>
      <c r="K570" s="414"/>
      <c r="L570" s="932"/>
      <c r="M570" s="1117" t="s">
        <v>282</v>
      </c>
    </row>
    <row r="571" spans="1:13" s="1134" customFormat="1">
      <c r="A571" s="893" t="s">
        <v>219</v>
      </c>
      <c r="B571" s="2464" t="s">
        <v>1742</v>
      </c>
      <c r="C571" s="2465"/>
      <c r="D571" s="1109"/>
      <c r="E571" s="936"/>
      <c r="F571" s="414"/>
      <c r="G571" s="414"/>
      <c r="H571" s="414"/>
      <c r="I571" s="414"/>
      <c r="J571" s="414"/>
      <c r="K571" s="414"/>
      <c r="L571" s="932"/>
      <c r="M571" s="1107"/>
    </row>
    <row r="572" spans="1:13" s="1134" customFormat="1">
      <c r="A572" s="893"/>
      <c r="B572" s="892" t="s">
        <v>139</v>
      </c>
      <c r="C572" s="1085" t="s">
        <v>517</v>
      </c>
      <c r="D572" s="404">
        <v>34</v>
      </c>
      <c r="E572" s="936" t="s">
        <v>5</v>
      </c>
      <c r="F572" s="414">
        <v>285</v>
      </c>
      <c r="G572" s="414">
        <v>110</v>
      </c>
      <c r="H572" s="414">
        <f>F572*D572</f>
        <v>9690</v>
      </c>
      <c r="I572" s="414">
        <f>D572*G572</f>
        <v>3740</v>
      </c>
      <c r="J572" s="414">
        <f>H572+I572</f>
        <v>13430</v>
      </c>
      <c r="K572" s="414"/>
      <c r="L572" s="932"/>
      <c r="M572" s="939" t="s">
        <v>642</v>
      </c>
    </row>
    <row r="573" spans="1:13" s="1134" customFormat="1">
      <c r="A573" s="893" t="s">
        <v>332</v>
      </c>
      <c r="B573" s="2464" t="s">
        <v>1589</v>
      </c>
      <c r="C573" s="2465"/>
      <c r="D573" s="404"/>
      <c r="E573" s="936"/>
      <c r="F573" s="414"/>
      <c r="G573" s="414"/>
      <c r="H573" s="414"/>
      <c r="I573" s="414"/>
      <c r="J573" s="414"/>
      <c r="K573" s="414"/>
      <c r="L573" s="932"/>
      <c r="M573" s="939"/>
    </row>
    <row r="574" spans="1:13" s="1134" customFormat="1">
      <c r="A574" s="893"/>
      <c r="B574" s="2466" t="s">
        <v>1590</v>
      </c>
      <c r="C574" s="2467"/>
      <c r="D574" s="404"/>
      <c r="E574" s="936"/>
      <c r="F574" s="1116"/>
      <c r="G574" s="414"/>
      <c r="H574" s="414"/>
      <c r="I574" s="414"/>
      <c r="J574" s="414"/>
      <c r="K574" s="414"/>
      <c r="L574" s="932"/>
      <c r="M574" s="939"/>
    </row>
    <row r="575" spans="1:13" s="1134" customFormat="1">
      <c r="A575" s="893"/>
      <c r="B575" s="892" t="s">
        <v>139</v>
      </c>
      <c r="C575" s="1115" t="s">
        <v>1591</v>
      </c>
      <c r="D575" s="404">
        <v>60</v>
      </c>
      <c r="E575" s="936" t="s">
        <v>84</v>
      </c>
      <c r="F575" s="414">
        <v>320</v>
      </c>
      <c r="G575" s="414">
        <v>30</v>
      </c>
      <c r="H575" s="414">
        <f t="shared" ref="H575:H580" si="46">F575*D575</f>
        <v>19200</v>
      </c>
      <c r="I575" s="414">
        <f t="shared" ref="I575:I580" si="47">D575*G575</f>
        <v>1800</v>
      </c>
      <c r="J575" s="414">
        <f t="shared" ref="J575:J580" si="48">H575+I575</f>
        <v>21000</v>
      </c>
      <c r="K575" s="414"/>
      <c r="L575" s="932"/>
      <c r="M575" s="939" t="s">
        <v>642</v>
      </c>
    </row>
    <row r="576" spans="1:13" s="1134" customFormat="1">
      <c r="A576" s="893"/>
      <c r="B576" s="892" t="s">
        <v>139</v>
      </c>
      <c r="C576" s="1115" t="s">
        <v>1598</v>
      </c>
      <c r="D576" s="404">
        <f>24+12</f>
        <v>36</v>
      </c>
      <c r="E576" s="936" t="s">
        <v>84</v>
      </c>
      <c r="F576" s="414">
        <v>98</v>
      </c>
      <c r="G576" s="414">
        <v>30</v>
      </c>
      <c r="H576" s="414">
        <f t="shared" si="46"/>
        <v>3528</v>
      </c>
      <c r="I576" s="414">
        <f t="shared" si="47"/>
        <v>1080</v>
      </c>
      <c r="J576" s="414">
        <f t="shared" si="48"/>
        <v>4608</v>
      </c>
      <c r="K576" s="414"/>
      <c r="L576" s="932"/>
      <c r="M576" s="939" t="s">
        <v>642</v>
      </c>
    </row>
    <row r="577" spans="1:13" s="1134" customFormat="1">
      <c r="A577" s="893"/>
      <c r="B577" s="892" t="s">
        <v>139</v>
      </c>
      <c r="C577" s="1115" t="s">
        <v>1498</v>
      </c>
      <c r="D577" s="404">
        <v>18</v>
      </c>
      <c r="E577" s="936" t="s">
        <v>84</v>
      </c>
      <c r="F577" s="414">
        <v>365</v>
      </c>
      <c r="G577" s="414">
        <v>48</v>
      </c>
      <c r="H577" s="414">
        <f t="shared" si="46"/>
        <v>6570</v>
      </c>
      <c r="I577" s="414">
        <f t="shared" si="47"/>
        <v>864</v>
      </c>
      <c r="J577" s="414">
        <f t="shared" si="48"/>
        <v>7434</v>
      </c>
      <c r="K577" s="414"/>
      <c r="L577" s="932"/>
      <c r="M577" s="939" t="s">
        <v>642</v>
      </c>
    </row>
    <row r="578" spans="1:13" s="1134" customFormat="1">
      <c r="A578" s="893"/>
      <c r="B578" s="892" t="s">
        <v>139</v>
      </c>
      <c r="C578" s="1115" t="s">
        <v>1526</v>
      </c>
      <c r="D578" s="404">
        <v>12</v>
      </c>
      <c r="E578" s="936" t="s">
        <v>84</v>
      </c>
      <c r="F578" s="414">
        <v>91</v>
      </c>
      <c r="G578" s="414">
        <v>22</v>
      </c>
      <c r="H578" s="414">
        <f t="shared" si="46"/>
        <v>1092</v>
      </c>
      <c r="I578" s="414">
        <f t="shared" si="47"/>
        <v>264</v>
      </c>
      <c r="J578" s="414">
        <f t="shared" si="48"/>
        <v>1356</v>
      </c>
      <c r="K578" s="414"/>
      <c r="L578" s="932"/>
      <c r="M578" s="939" t="s">
        <v>642</v>
      </c>
    </row>
    <row r="579" spans="1:13" s="1134" customFormat="1">
      <c r="A579" s="893"/>
      <c r="B579" s="892" t="s">
        <v>139</v>
      </c>
      <c r="C579" s="1115" t="s">
        <v>1485</v>
      </c>
      <c r="D579" s="404">
        <v>30</v>
      </c>
      <c r="E579" s="936" t="s">
        <v>84</v>
      </c>
      <c r="F579" s="414">
        <v>64</v>
      </c>
      <c r="G579" s="414">
        <v>24</v>
      </c>
      <c r="H579" s="414">
        <f t="shared" si="46"/>
        <v>1920</v>
      </c>
      <c r="I579" s="414">
        <f t="shared" si="47"/>
        <v>720</v>
      </c>
      <c r="J579" s="414">
        <f t="shared" si="48"/>
        <v>2640</v>
      </c>
      <c r="K579" s="414"/>
      <c r="L579" s="932"/>
      <c r="M579" s="939" t="s">
        <v>642</v>
      </c>
    </row>
    <row r="580" spans="1:13" s="1134" customFormat="1">
      <c r="A580" s="897"/>
      <c r="B580" s="896" t="s">
        <v>139</v>
      </c>
      <c r="C580" s="1124" t="s">
        <v>1524</v>
      </c>
      <c r="D580" s="406">
        <f>21+960</f>
        <v>981</v>
      </c>
      <c r="E580" s="936" t="s">
        <v>84</v>
      </c>
      <c r="F580" s="414">
        <v>44.33</v>
      </c>
      <c r="G580" s="414">
        <v>22</v>
      </c>
      <c r="H580" s="449">
        <f t="shared" si="46"/>
        <v>43487.729999999996</v>
      </c>
      <c r="I580" s="449">
        <f t="shared" si="47"/>
        <v>21582</v>
      </c>
      <c r="J580" s="449">
        <f t="shared" si="48"/>
        <v>65069.729999999996</v>
      </c>
      <c r="K580" s="449"/>
      <c r="L580" s="932"/>
      <c r="M580" s="939" t="s">
        <v>642</v>
      </c>
    </row>
    <row r="581" spans="1:13" s="1134" customFormat="1">
      <c r="A581" s="893"/>
      <c r="B581" s="2466" t="s">
        <v>1595</v>
      </c>
      <c r="C581" s="2467"/>
      <c r="D581" s="404"/>
      <c r="E581" s="936"/>
      <c r="F581" s="1116"/>
      <c r="G581" s="414"/>
      <c r="H581" s="414"/>
      <c r="I581" s="414"/>
      <c r="J581" s="414"/>
      <c r="K581" s="414"/>
      <c r="L581" s="932"/>
      <c r="M581" s="939"/>
    </row>
    <row r="582" spans="1:13" s="952" customFormat="1">
      <c r="A582" s="946"/>
      <c r="B582" s="1119" t="s">
        <v>139</v>
      </c>
      <c r="C582" s="1120" t="s">
        <v>1843</v>
      </c>
      <c r="D582" s="670">
        <v>1</v>
      </c>
      <c r="E582" s="945" t="s">
        <v>105</v>
      </c>
      <c r="F582" s="949">
        <f>SUM(H575:H580)*0.15</f>
        <v>11369.6595</v>
      </c>
      <c r="G582" s="949">
        <v>0</v>
      </c>
      <c r="H582" s="949">
        <f>F582*D582</f>
        <v>11369.6595</v>
      </c>
      <c r="I582" s="949">
        <f>D582*G582</f>
        <v>0</v>
      </c>
      <c r="J582" s="949">
        <f>H582+I582</f>
        <v>11369.6595</v>
      </c>
      <c r="K582" s="949"/>
      <c r="L582" s="950"/>
      <c r="M582" s="1121" t="s">
        <v>282</v>
      </c>
    </row>
    <row r="583" spans="1:13" s="1134" customFormat="1">
      <c r="A583" s="893"/>
      <c r="B583" s="2466" t="s">
        <v>1596</v>
      </c>
      <c r="C583" s="2467"/>
      <c r="D583" s="404"/>
      <c r="E583" s="936"/>
      <c r="F583" s="1116"/>
      <c r="G583" s="414"/>
      <c r="H583" s="414"/>
      <c r="I583" s="414"/>
      <c r="J583" s="414"/>
      <c r="K583" s="414"/>
      <c r="L583" s="932"/>
      <c r="M583" s="939"/>
    </row>
    <row r="584" spans="1:13" s="1134" customFormat="1">
      <c r="A584" s="893"/>
      <c r="B584" s="892" t="s">
        <v>139</v>
      </c>
      <c r="C584" s="1085" t="s">
        <v>1597</v>
      </c>
      <c r="D584" s="404">
        <v>100</v>
      </c>
      <c r="E584" s="936" t="s">
        <v>84</v>
      </c>
      <c r="F584" s="414">
        <v>120</v>
      </c>
      <c r="G584" s="414">
        <v>14</v>
      </c>
      <c r="H584" s="414">
        <f>F584*D584</f>
        <v>12000</v>
      </c>
      <c r="I584" s="414">
        <f>D584*G584</f>
        <v>1400</v>
      </c>
      <c r="J584" s="414">
        <f>H584+I584</f>
        <v>13400</v>
      </c>
      <c r="K584" s="414"/>
      <c r="L584" s="932"/>
      <c r="M584" s="939" t="s">
        <v>642</v>
      </c>
    </row>
    <row r="585" spans="1:13" s="1134" customFormat="1">
      <c r="A585" s="893"/>
      <c r="B585" s="892" t="s">
        <v>139</v>
      </c>
      <c r="C585" s="1085" t="s">
        <v>518</v>
      </c>
      <c r="D585" s="404">
        <v>30</v>
      </c>
      <c r="E585" s="936" t="s">
        <v>84</v>
      </c>
      <c r="F585" s="414">
        <v>85</v>
      </c>
      <c r="G585" s="414">
        <v>24</v>
      </c>
      <c r="H585" s="414">
        <f>F585*D585</f>
        <v>2550</v>
      </c>
      <c r="I585" s="414">
        <f>D585*G585</f>
        <v>720</v>
      </c>
      <c r="J585" s="414">
        <f>H585+I585</f>
        <v>3270</v>
      </c>
      <c r="K585" s="414"/>
      <c r="L585" s="932"/>
      <c r="M585" s="939" t="s">
        <v>642</v>
      </c>
    </row>
    <row r="586" spans="1:13" s="1134" customFormat="1">
      <c r="A586" s="2183"/>
      <c r="B586" s="2183"/>
      <c r="C586" s="2183"/>
      <c r="D586" s="2184"/>
      <c r="E586" s="2185"/>
      <c r="F586" s="2185"/>
      <c r="G586" s="2185"/>
      <c r="H586" s="2185"/>
      <c r="I586" s="2185"/>
      <c r="J586" s="2185"/>
      <c r="K586" s="2185"/>
      <c r="L586" s="932"/>
      <c r="M586" s="939"/>
    </row>
    <row r="587" spans="1:13" s="1134" customFormat="1">
      <c r="A587" s="2186"/>
      <c r="B587" s="2187"/>
      <c r="C587" s="2186" t="s">
        <v>133</v>
      </c>
      <c r="D587" s="2188"/>
      <c r="E587" s="418"/>
      <c r="F587" s="2189"/>
      <c r="G587" s="2189"/>
      <c r="H587" s="1277"/>
      <c r="I587" s="1277"/>
      <c r="J587" s="2188"/>
      <c r="K587" s="2188"/>
      <c r="L587" s="932"/>
      <c r="M587" s="939"/>
    </row>
    <row r="588" spans="1:13" s="1134" customFormat="1">
      <c r="A588" s="1642"/>
      <c r="B588" s="1017"/>
      <c r="C588" s="2407" t="s">
        <v>1769</v>
      </c>
      <c r="D588" s="2407"/>
      <c r="E588" s="1017"/>
      <c r="F588" s="1017"/>
      <c r="G588" s="1017"/>
      <c r="H588" s="1017" t="s">
        <v>134</v>
      </c>
      <c r="I588" s="1017"/>
      <c r="J588" s="1017"/>
      <c r="K588" s="1017"/>
      <c r="L588" s="932"/>
      <c r="M588" s="939"/>
    </row>
    <row r="589" spans="1:13" s="1134" customFormat="1">
      <c r="A589" s="1643"/>
      <c r="B589" s="419"/>
      <c r="C589" s="2408" t="s">
        <v>1970</v>
      </c>
      <c r="D589" s="2408"/>
      <c r="E589" s="419"/>
      <c r="F589" s="419"/>
      <c r="G589" s="419"/>
      <c r="H589" s="419" t="s">
        <v>1971</v>
      </c>
      <c r="I589" s="419"/>
      <c r="J589" s="419"/>
      <c r="K589" s="419"/>
      <c r="L589" s="932"/>
      <c r="M589" s="939"/>
    </row>
    <row r="590" spans="1:13" s="1134" customFormat="1">
      <c r="A590" s="2188"/>
      <c r="B590" s="1017"/>
      <c r="C590" s="1017" t="s">
        <v>2031</v>
      </c>
      <c r="D590" s="2188"/>
      <c r="E590" s="419"/>
      <c r="F590" s="419"/>
      <c r="G590" s="419"/>
      <c r="H590" s="1017" t="s">
        <v>134</v>
      </c>
      <c r="I590" s="419"/>
      <c r="J590" s="419"/>
      <c r="K590" s="419"/>
      <c r="L590" s="932"/>
      <c r="M590" s="939"/>
    </row>
    <row r="591" spans="1:13" s="1134" customFormat="1">
      <c r="A591" s="1017"/>
      <c r="B591" s="419"/>
      <c r="C591" s="419" t="s">
        <v>1984</v>
      </c>
      <c r="D591" s="2188"/>
      <c r="E591" s="1017"/>
      <c r="F591" s="1017"/>
      <c r="G591" s="1017"/>
      <c r="H591" s="419" t="s">
        <v>1985</v>
      </c>
      <c r="I591" s="1017"/>
      <c r="J591" s="1017"/>
      <c r="K591" s="1017"/>
      <c r="L591" s="932"/>
      <c r="M591" s="939"/>
    </row>
    <row r="592" spans="1:13" s="1134" customFormat="1">
      <c r="A592" s="2190"/>
      <c r="B592" s="2190"/>
      <c r="C592" s="1017" t="s">
        <v>670</v>
      </c>
      <c r="D592" s="2191"/>
      <c r="E592" s="2192"/>
      <c r="F592" s="2193"/>
      <c r="G592" s="2194"/>
      <c r="H592" s="2194"/>
      <c r="I592" s="2194"/>
      <c r="J592" s="2194"/>
      <c r="K592" s="2194"/>
      <c r="L592" s="932"/>
      <c r="M592" s="939"/>
    </row>
    <row r="593" spans="1:13" s="1134" customFormat="1">
      <c r="A593" s="2195"/>
      <c r="B593" s="2195"/>
      <c r="C593" s="2196" t="s">
        <v>1972</v>
      </c>
      <c r="D593" s="2197"/>
      <c r="E593" s="2198"/>
      <c r="F593" s="2199"/>
      <c r="G593" s="2200"/>
      <c r="H593" s="2200"/>
      <c r="I593" s="2200"/>
      <c r="J593" s="2200"/>
      <c r="K593" s="2200"/>
      <c r="L593" s="932"/>
      <c r="M593" s="939"/>
    </row>
    <row r="594" spans="1:13" s="1134" customFormat="1">
      <c r="A594" s="893"/>
      <c r="B594" s="892" t="s">
        <v>139</v>
      </c>
      <c r="C594" s="1085" t="s">
        <v>519</v>
      </c>
      <c r="D594" s="404">
        <v>220</v>
      </c>
      <c r="E594" s="936" t="s">
        <v>84</v>
      </c>
      <c r="F594" s="414">
        <v>55</v>
      </c>
      <c r="G594" s="414">
        <v>16</v>
      </c>
      <c r="H594" s="414">
        <f>F594*D594</f>
        <v>12100</v>
      </c>
      <c r="I594" s="414">
        <f>D594*G594</f>
        <v>3520</v>
      </c>
      <c r="J594" s="414">
        <f>H594+I594</f>
        <v>15620</v>
      </c>
      <c r="K594" s="414"/>
      <c r="L594" s="932"/>
      <c r="M594" s="939" t="s">
        <v>642</v>
      </c>
    </row>
    <row r="595" spans="1:13" s="1134" customFormat="1">
      <c r="A595" s="893"/>
      <c r="B595" s="892" t="s">
        <v>139</v>
      </c>
      <c r="C595" s="1085" t="s">
        <v>520</v>
      </c>
      <c r="D595" s="404">
        <f>305*4</f>
        <v>1220</v>
      </c>
      <c r="E595" s="936" t="s">
        <v>84</v>
      </c>
      <c r="F595" s="414">
        <v>18</v>
      </c>
      <c r="G595" s="414">
        <v>8</v>
      </c>
      <c r="H595" s="414">
        <f>F595*D595</f>
        <v>21960</v>
      </c>
      <c r="I595" s="414">
        <f>D595*G595</f>
        <v>9760</v>
      </c>
      <c r="J595" s="414">
        <f>H595+I595</f>
        <v>31720</v>
      </c>
      <c r="K595" s="414"/>
      <c r="L595" s="932"/>
      <c r="M595" s="939" t="s">
        <v>642</v>
      </c>
    </row>
    <row r="596" spans="1:13" s="1134" customFormat="1">
      <c r="A596" s="893"/>
      <c r="B596" s="2466" t="s">
        <v>1642</v>
      </c>
      <c r="C596" s="2467"/>
      <c r="D596" s="404"/>
      <c r="E596" s="936"/>
      <c r="F596" s="1116"/>
      <c r="G596" s="414"/>
      <c r="H596" s="414"/>
      <c r="I596" s="414"/>
      <c r="J596" s="414"/>
      <c r="K596" s="414"/>
      <c r="L596" s="932"/>
      <c r="M596" s="939"/>
    </row>
    <row r="597" spans="1:13" s="1134" customFormat="1">
      <c r="A597" s="893"/>
      <c r="B597" s="892" t="s">
        <v>139</v>
      </c>
      <c r="C597" s="1115" t="s">
        <v>1460</v>
      </c>
      <c r="D597" s="404">
        <v>1</v>
      </c>
      <c r="E597" s="936" t="s">
        <v>5</v>
      </c>
      <c r="F597" s="414">
        <v>6500</v>
      </c>
      <c r="G597" s="414">
        <v>1500</v>
      </c>
      <c r="H597" s="414">
        <f t="shared" ref="H597:H602" si="49">F597*D597</f>
        <v>6500</v>
      </c>
      <c r="I597" s="414">
        <f>D597*G597</f>
        <v>1500</v>
      </c>
      <c r="J597" s="414">
        <f>H597+I597</f>
        <v>8000</v>
      </c>
      <c r="K597" s="414"/>
      <c r="L597" s="932"/>
      <c r="M597" s="939" t="s">
        <v>642</v>
      </c>
    </row>
    <row r="598" spans="1:13" s="1134" customFormat="1">
      <c r="A598" s="893"/>
      <c r="B598" s="892" t="s">
        <v>139</v>
      </c>
      <c r="C598" s="1115" t="s">
        <v>136</v>
      </c>
      <c r="D598" s="404">
        <v>2</v>
      </c>
      <c r="E598" s="936" t="s">
        <v>5</v>
      </c>
      <c r="F598" s="414">
        <v>7500</v>
      </c>
      <c r="G598" s="414">
        <v>1500</v>
      </c>
      <c r="H598" s="414">
        <f t="shared" si="49"/>
        <v>15000</v>
      </c>
      <c r="I598" s="414">
        <f>D598*G598</f>
        <v>3000</v>
      </c>
      <c r="J598" s="414">
        <f>H598+I598</f>
        <v>18000</v>
      </c>
      <c r="K598" s="414"/>
      <c r="L598" s="932"/>
      <c r="M598" s="939" t="s">
        <v>642</v>
      </c>
    </row>
    <row r="599" spans="1:13" s="1134" customFormat="1">
      <c r="A599" s="893"/>
      <c r="B599" s="1118" t="s">
        <v>107</v>
      </c>
      <c r="C599" s="1085" t="s">
        <v>402</v>
      </c>
      <c r="D599" s="404">
        <v>3</v>
      </c>
      <c r="E599" s="936" t="s">
        <v>85</v>
      </c>
      <c r="F599" s="414">
        <v>1610</v>
      </c>
      <c r="G599" s="414">
        <v>398</v>
      </c>
      <c r="H599" s="404">
        <f t="shared" si="49"/>
        <v>4830</v>
      </c>
      <c r="I599" s="404">
        <f>G599*D599</f>
        <v>1194</v>
      </c>
      <c r="J599" s="404">
        <f>SUM(H599:I599)</f>
        <v>6024</v>
      </c>
      <c r="K599" s="414"/>
      <c r="L599" s="932"/>
      <c r="M599" s="939" t="s">
        <v>642</v>
      </c>
    </row>
    <row r="600" spans="1:13" s="1134" customFormat="1">
      <c r="A600" s="893"/>
      <c r="B600" s="1118" t="s">
        <v>107</v>
      </c>
      <c r="C600" s="1085" t="s">
        <v>403</v>
      </c>
      <c r="D600" s="404">
        <v>3</v>
      </c>
      <c r="E600" s="936" t="s">
        <v>85</v>
      </c>
      <c r="F600" s="414">
        <v>495</v>
      </c>
      <c r="G600" s="414">
        <v>91</v>
      </c>
      <c r="H600" s="404">
        <f t="shared" si="49"/>
        <v>1485</v>
      </c>
      <c r="I600" s="404">
        <f>G600*D600</f>
        <v>273</v>
      </c>
      <c r="J600" s="404">
        <f>SUM(H600:I600)</f>
        <v>1758</v>
      </c>
      <c r="K600" s="414"/>
      <c r="L600" s="932"/>
      <c r="M600" s="939" t="s">
        <v>642</v>
      </c>
    </row>
    <row r="601" spans="1:13" s="1134" customFormat="1">
      <c r="A601" s="893"/>
      <c r="B601" s="892" t="s">
        <v>139</v>
      </c>
      <c r="C601" s="944" t="s">
        <v>456</v>
      </c>
      <c r="D601" s="404">
        <v>6</v>
      </c>
      <c r="E601" s="945" t="s">
        <v>85</v>
      </c>
      <c r="F601" s="414">
        <v>0</v>
      </c>
      <c r="G601" s="414">
        <v>0</v>
      </c>
      <c r="H601" s="404">
        <f t="shared" si="49"/>
        <v>0</v>
      </c>
      <c r="I601" s="414">
        <f>D601*G601</f>
        <v>0</v>
      </c>
      <c r="J601" s="414">
        <f>H601+I601</f>
        <v>0</v>
      </c>
      <c r="K601" s="414"/>
      <c r="L601" s="932"/>
      <c r="M601" s="939"/>
    </row>
    <row r="602" spans="1:13" s="952" customFormat="1">
      <c r="A602" s="946"/>
      <c r="B602" s="947" t="s">
        <v>139</v>
      </c>
      <c r="C602" s="1120" t="s">
        <v>1842</v>
      </c>
      <c r="D602" s="670">
        <v>1</v>
      </c>
      <c r="E602" s="945" t="s">
        <v>105</v>
      </c>
      <c r="F602" s="949">
        <f>SUM(H584:H596)*0.05</f>
        <v>2430.5</v>
      </c>
      <c r="G602" s="949">
        <v>0</v>
      </c>
      <c r="H602" s="949">
        <f t="shared" si="49"/>
        <v>2430.5</v>
      </c>
      <c r="I602" s="949">
        <f>D602*G602</f>
        <v>0</v>
      </c>
      <c r="J602" s="949">
        <f>H602+I602</f>
        <v>2430.5</v>
      </c>
      <c r="K602" s="949"/>
      <c r="L602" s="950"/>
      <c r="M602" s="1121" t="s">
        <v>282</v>
      </c>
    </row>
    <row r="603" spans="1:13" s="1134" customFormat="1">
      <c r="A603" s="893"/>
      <c r="B603" s="957"/>
      <c r="C603" s="1085"/>
      <c r="D603" s="1109"/>
      <c r="E603" s="936"/>
      <c r="F603" s="414"/>
      <c r="G603" s="414"/>
      <c r="H603" s="1111"/>
      <c r="I603" s="1111"/>
      <c r="J603" s="1111"/>
      <c r="K603" s="1111"/>
      <c r="L603" s="1106"/>
      <c r="M603" s="1107"/>
    </row>
    <row r="604" spans="1:13" s="968" customFormat="1" ht="24.75" thickBot="1">
      <c r="A604" s="962"/>
      <c r="B604" s="1092"/>
      <c r="C604" s="1093" t="str">
        <f>"รวมราคา "&amp;B564</f>
        <v>รวมราคา งานระบบโทรศัพท์</v>
      </c>
      <c r="D604" s="1094"/>
      <c r="E604" s="966"/>
      <c r="F604" s="966"/>
      <c r="G604" s="966"/>
      <c r="H604" s="966">
        <f>SUM(H564:H603)</f>
        <v>287212.88949999999</v>
      </c>
      <c r="I604" s="966">
        <f>SUM(I564:I603)</f>
        <v>92417</v>
      </c>
      <c r="J604" s="966">
        <f>SUM(J564:J603)</f>
        <v>379629.88949999999</v>
      </c>
      <c r="K604" s="966"/>
      <c r="L604" s="967"/>
      <c r="M604" s="1095"/>
    </row>
    <row r="605" spans="1:13" s="1133" customFormat="1" ht="24.75" thickTop="1">
      <c r="A605" s="984">
        <v>4.8</v>
      </c>
      <c r="B605" s="2497" t="s">
        <v>1600</v>
      </c>
      <c r="C605" s="2498"/>
      <c r="D605" s="1135"/>
      <c r="E605" s="995"/>
      <c r="F605" s="996"/>
      <c r="G605" s="996"/>
      <c r="H605" s="1130"/>
      <c r="I605" s="1130"/>
      <c r="J605" s="1130"/>
      <c r="K605" s="1130"/>
      <c r="L605" s="1131"/>
      <c r="M605" s="1132"/>
    </row>
    <row r="606" spans="1:13" s="1134" customFormat="1">
      <c r="A606" s="897" t="s">
        <v>344</v>
      </c>
      <c r="B606" s="2470" t="s">
        <v>1740</v>
      </c>
      <c r="C606" s="2471"/>
      <c r="D606" s="1103"/>
      <c r="E606" s="449"/>
      <c r="F606" s="449"/>
      <c r="G606" s="449"/>
      <c r="H606" s="1105"/>
      <c r="I606" s="1105"/>
      <c r="J606" s="1105"/>
      <c r="K606" s="1105"/>
      <c r="L606" s="1106"/>
      <c r="M606" s="1107"/>
    </row>
    <row r="607" spans="1:13" s="1134" customFormat="1">
      <c r="A607" s="893"/>
      <c r="B607" s="1136" t="s">
        <v>139</v>
      </c>
      <c r="C607" s="1085" t="s">
        <v>1757</v>
      </c>
      <c r="D607" s="1109">
        <v>1</v>
      </c>
      <c r="E607" s="936" t="s">
        <v>5</v>
      </c>
      <c r="F607" s="414">
        <v>42500</v>
      </c>
      <c r="G607" s="414">
        <v>4500</v>
      </c>
      <c r="H607" s="414">
        <f t="shared" ref="H607:H625" si="50">F607*D607</f>
        <v>42500</v>
      </c>
      <c r="I607" s="414">
        <f t="shared" ref="I607:I625" si="51">D607*G607</f>
        <v>4500</v>
      </c>
      <c r="J607" s="414">
        <f t="shared" ref="J607:J625" si="52">H607+I607</f>
        <v>47000</v>
      </c>
      <c r="K607" s="1111"/>
      <c r="L607" s="1106"/>
      <c r="M607" s="407" t="s">
        <v>622</v>
      </c>
    </row>
    <row r="608" spans="1:13" s="1134" customFormat="1">
      <c r="A608" s="893"/>
      <c r="B608" s="1136" t="s">
        <v>139</v>
      </c>
      <c r="C608" s="1085" t="s">
        <v>1758</v>
      </c>
      <c r="D608" s="1109">
        <v>8</v>
      </c>
      <c r="E608" s="936" t="s">
        <v>5</v>
      </c>
      <c r="F608" s="414">
        <v>32000</v>
      </c>
      <c r="G608" s="414">
        <v>3500</v>
      </c>
      <c r="H608" s="414">
        <f t="shared" si="50"/>
        <v>256000</v>
      </c>
      <c r="I608" s="414">
        <f t="shared" si="51"/>
        <v>28000</v>
      </c>
      <c r="J608" s="414">
        <f t="shared" si="52"/>
        <v>284000</v>
      </c>
      <c r="K608" s="1111"/>
      <c r="L608" s="1106"/>
      <c r="M608" s="407" t="s">
        <v>622</v>
      </c>
    </row>
    <row r="609" spans="1:13" s="1134" customFormat="1">
      <c r="A609" s="893"/>
      <c r="B609" s="1136" t="s">
        <v>139</v>
      </c>
      <c r="C609" s="1137" t="s">
        <v>1759</v>
      </c>
      <c r="D609" s="404">
        <v>1</v>
      </c>
      <c r="E609" s="936" t="s">
        <v>5</v>
      </c>
      <c r="F609" s="414">
        <v>380000</v>
      </c>
      <c r="G609" s="414">
        <v>20000</v>
      </c>
      <c r="H609" s="414">
        <f t="shared" si="50"/>
        <v>380000</v>
      </c>
      <c r="I609" s="414">
        <f t="shared" si="51"/>
        <v>20000</v>
      </c>
      <c r="J609" s="414">
        <f t="shared" si="52"/>
        <v>400000</v>
      </c>
      <c r="K609" s="1111"/>
      <c r="L609" s="1106"/>
      <c r="M609" s="407" t="s">
        <v>622</v>
      </c>
    </row>
    <row r="610" spans="1:13" s="1134" customFormat="1">
      <c r="A610" s="893"/>
      <c r="B610" s="1136" t="s">
        <v>139</v>
      </c>
      <c r="C610" s="1137" t="s">
        <v>1760</v>
      </c>
      <c r="D610" s="404">
        <f>1+3+1+5+1+1+1+1+1</f>
        <v>15</v>
      </c>
      <c r="E610" s="936" t="s">
        <v>5</v>
      </c>
      <c r="F610" s="414">
        <v>88500</v>
      </c>
      <c r="G610" s="414">
        <v>5000</v>
      </c>
      <c r="H610" s="414">
        <f t="shared" si="50"/>
        <v>1327500</v>
      </c>
      <c r="I610" s="414">
        <f t="shared" si="51"/>
        <v>75000</v>
      </c>
      <c r="J610" s="414">
        <f t="shared" si="52"/>
        <v>1402500</v>
      </c>
      <c r="K610" s="1111"/>
      <c r="L610" s="1106"/>
      <c r="M610" s="407" t="s">
        <v>622</v>
      </c>
    </row>
    <row r="611" spans="1:13" s="1134" customFormat="1">
      <c r="A611" s="893"/>
      <c r="B611" s="1136" t="s">
        <v>139</v>
      </c>
      <c r="C611" s="1137" t="s">
        <v>1761</v>
      </c>
      <c r="D611" s="404">
        <v>9</v>
      </c>
      <c r="E611" s="936" t="s">
        <v>5</v>
      </c>
      <c r="F611" s="414">
        <v>165000</v>
      </c>
      <c r="G611" s="414">
        <v>5000</v>
      </c>
      <c r="H611" s="414">
        <f t="shared" si="50"/>
        <v>1485000</v>
      </c>
      <c r="I611" s="414">
        <f t="shared" si="51"/>
        <v>45000</v>
      </c>
      <c r="J611" s="414">
        <f t="shared" si="52"/>
        <v>1530000</v>
      </c>
      <c r="K611" s="1111"/>
      <c r="L611" s="1106"/>
      <c r="M611" s="407" t="s">
        <v>622</v>
      </c>
    </row>
    <row r="612" spans="1:13" s="1134" customFormat="1">
      <c r="A612" s="893"/>
      <c r="B612" s="1136" t="s">
        <v>139</v>
      </c>
      <c r="C612" s="1137" t="s">
        <v>1762</v>
      </c>
      <c r="D612" s="404">
        <v>36</v>
      </c>
      <c r="E612" s="936" t="s">
        <v>5</v>
      </c>
      <c r="F612" s="414">
        <v>48500</v>
      </c>
      <c r="G612" s="414">
        <v>1000</v>
      </c>
      <c r="H612" s="414">
        <f t="shared" si="50"/>
        <v>1746000</v>
      </c>
      <c r="I612" s="414">
        <f t="shared" si="51"/>
        <v>36000</v>
      </c>
      <c r="J612" s="414">
        <f t="shared" si="52"/>
        <v>1782000</v>
      </c>
      <c r="K612" s="1111"/>
      <c r="L612" s="1106"/>
      <c r="M612" s="407" t="s">
        <v>622</v>
      </c>
    </row>
    <row r="613" spans="1:13" s="1134" customFormat="1">
      <c r="A613" s="893"/>
      <c r="B613" s="1136" t="s">
        <v>139</v>
      </c>
      <c r="C613" s="1137" t="s">
        <v>1763</v>
      </c>
      <c r="D613" s="404">
        <v>8</v>
      </c>
      <c r="E613" s="936" t="s">
        <v>5</v>
      </c>
      <c r="F613" s="414">
        <v>28000</v>
      </c>
      <c r="G613" s="414">
        <v>1500</v>
      </c>
      <c r="H613" s="414">
        <f t="shared" si="50"/>
        <v>224000</v>
      </c>
      <c r="I613" s="414">
        <f t="shared" si="51"/>
        <v>12000</v>
      </c>
      <c r="J613" s="414">
        <f t="shared" si="52"/>
        <v>236000</v>
      </c>
      <c r="K613" s="1111"/>
      <c r="L613" s="1106"/>
      <c r="M613" s="407" t="s">
        <v>622</v>
      </c>
    </row>
    <row r="614" spans="1:13" s="1134" customFormat="1">
      <c r="A614" s="893"/>
      <c r="B614" s="1136" t="s">
        <v>139</v>
      </c>
      <c r="C614" s="1137" t="s">
        <v>1764</v>
      </c>
      <c r="D614" s="404">
        <v>1</v>
      </c>
      <c r="E614" s="936" t="s">
        <v>5</v>
      </c>
      <c r="F614" s="414">
        <v>45000</v>
      </c>
      <c r="G614" s="414">
        <v>2000</v>
      </c>
      <c r="H614" s="414">
        <f t="shared" si="50"/>
        <v>45000</v>
      </c>
      <c r="I614" s="414">
        <f t="shared" si="51"/>
        <v>2000</v>
      </c>
      <c r="J614" s="414">
        <f t="shared" si="52"/>
        <v>47000</v>
      </c>
      <c r="K614" s="1111"/>
      <c r="L614" s="1106"/>
      <c r="M614" s="407" t="s">
        <v>622</v>
      </c>
    </row>
    <row r="615" spans="1:13" s="1134" customFormat="1">
      <c r="A615" s="893"/>
      <c r="B615" s="1136" t="s">
        <v>139</v>
      </c>
      <c r="C615" s="1137" t="s">
        <v>1765</v>
      </c>
      <c r="D615" s="1109">
        <v>1</v>
      </c>
      <c r="E615" s="936" t="s">
        <v>5</v>
      </c>
      <c r="F615" s="414">
        <v>285000</v>
      </c>
      <c r="G615" s="414">
        <v>30000</v>
      </c>
      <c r="H615" s="414">
        <f t="shared" si="50"/>
        <v>285000</v>
      </c>
      <c r="I615" s="414">
        <f t="shared" si="51"/>
        <v>30000</v>
      </c>
      <c r="J615" s="414">
        <f t="shared" si="52"/>
        <v>315000</v>
      </c>
      <c r="K615" s="1111"/>
      <c r="L615" s="1106"/>
      <c r="M615" s="407" t="s">
        <v>622</v>
      </c>
    </row>
    <row r="616" spans="1:13" s="1134" customFormat="1">
      <c r="A616" s="893"/>
      <c r="B616" s="1136" t="s">
        <v>139</v>
      </c>
      <c r="C616" s="1137" t="s">
        <v>1766</v>
      </c>
      <c r="D616" s="1109">
        <v>56</v>
      </c>
      <c r="E616" s="936" t="s">
        <v>5</v>
      </c>
      <c r="F616" s="414">
        <v>22000</v>
      </c>
      <c r="G616" s="414">
        <v>1000</v>
      </c>
      <c r="H616" s="414">
        <f t="shared" si="50"/>
        <v>1232000</v>
      </c>
      <c r="I616" s="414">
        <f t="shared" si="51"/>
        <v>56000</v>
      </c>
      <c r="J616" s="414">
        <f t="shared" si="52"/>
        <v>1288000</v>
      </c>
      <c r="K616" s="1111"/>
      <c r="L616" s="1106"/>
      <c r="M616" s="407" t="s">
        <v>622</v>
      </c>
    </row>
    <row r="617" spans="1:13" s="1134" customFormat="1">
      <c r="A617" s="2183"/>
      <c r="B617" s="2183"/>
      <c r="C617" s="2183"/>
      <c r="D617" s="2184"/>
      <c r="E617" s="2185"/>
      <c r="F617" s="2185"/>
      <c r="G617" s="2185"/>
      <c r="H617" s="2185"/>
      <c r="I617" s="2185"/>
      <c r="J617" s="2185"/>
      <c r="K617" s="2185"/>
      <c r="L617" s="1106"/>
      <c r="M617" s="407"/>
    </row>
    <row r="618" spans="1:13" s="1134" customFormat="1">
      <c r="A618" s="2186"/>
      <c r="B618" s="2187"/>
      <c r="C618" s="2186" t="s">
        <v>133</v>
      </c>
      <c r="D618" s="2188"/>
      <c r="E618" s="418"/>
      <c r="F618" s="2189"/>
      <c r="G618" s="2189"/>
      <c r="H618" s="1277"/>
      <c r="I618" s="1277"/>
      <c r="J618" s="2188"/>
      <c r="K618" s="2188"/>
      <c r="L618" s="1106"/>
      <c r="M618" s="407"/>
    </row>
    <row r="619" spans="1:13" s="1134" customFormat="1">
      <c r="A619" s="1642"/>
      <c r="B619" s="1017"/>
      <c r="C619" s="2407" t="s">
        <v>1769</v>
      </c>
      <c r="D619" s="2407"/>
      <c r="E619" s="1017"/>
      <c r="F619" s="1017"/>
      <c r="G619" s="1017"/>
      <c r="H619" s="1017" t="s">
        <v>134</v>
      </c>
      <c r="I619" s="1017"/>
      <c r="J619" s="1017"/>
      <c r="K619" s="1017"/>
      <c r="L619" s="1106"/>
      <c r="M619" s="407"/>
    </row>
    <row r="620" spans="1:13" s="1134" customFormat="1">
      <c r="A620" s="1643"/>
      <c r="B620" s="419"/>
      <c r="C620" s="2408" t="s">
        <v>1970</v>
      </c>
      <c r="D620" s="2408"/>
      <c r="E620" s="419"/>
      <c r="F620" s="419"/>
      <c r="G620" s="419"/>
      <c r="H620" s="419" t="s">
        <v>1971</v>
      </c>
      <c r="I620" s="419"/>
      <c r="J620" s="419"/>
      <c r="K620" s="419"/>
      <c r="L620" s="1106"/>
      <c r="M620" s="407"/>
    </row>
    <row r="621" spans="1:13" s="1134" customFormat="1">
      <c r="A621" s="2188"/>
      <c r="B621" s="1017"/>
      <c r="C621" s="1017" t="s">
        <v>2031</v>
      </c>
      <c r="D621" s="2188"/>
      <c r="E621" s="419"/>
      <c r="F621" s="419"/>
      <c r="G621" s="419"/>
      <c r="H621" s="1017" t="s">
        <v>134</v>
      </c>
      <c r="I621" s="419"/>
      <c r="J621" s="419"/>
      <c r="K621" s="419"/>
      <c r="L621" s="1106"/>
      <c r="M621" s="407"/>
    </row>
    <row r="622" spans="1:13" s="1134" customFormat="1">
      <c r="A622" s="1017"/>
      <c r="B622" s="419"/>
      <c r="C622" s="419" t="s">
        <v>1984</v>
      </c>
      <c r="D622" s="2188"/>
      <c r="E622" s="1017"/>
      <c r="F622" s="1017"/>
      <c r="G622" s="1017"/>
      <c r="H622" s="419" t="s">
        <v>1985</v>
      </c>
      <c r="I622" s="1017"/>
      <c r="J622" s="1017"/>
      <c r="K622" s="1017"/>
      <c r="L622" s="1106"/>
      <c r="M622" s="407"/>
    </row>
    <row r="623" spans="1:13" s="1134" customFormat="1">
      <c r="A623" s="2190"/>
      <c r="B623" s="2190"/>
      <c r="C623" s="1017" t="s">
        <v>670</v>
      </c>
      <c r="D623" s="2191"/>
      <c r="E623" s="2192"/>
      <c r="F623" s="2193"/>
      <c r="G623" s="2194"/>
      <c r="H623" s="2194"/>
      <c r="I623" s="2194"/>
      <c r="J623" s="2194"/>
      <c r="K623" s="2194"/>
      <c r="L623" s="1106"/>
      <c r="M623" s="407"/>
    </row>
    <row r="624" spans="1:13" s="1134" customFormat="1">
      <c r="A624" s="2195"/>
      <c r="B624" s="2195"/>
      <c r="C624" s="2196" t="s">
        <v>1972</v>
      </c>
      <c r="D624" s="2197"/>
      <c r="E624" s="2198"/>
      <c r="F624" s="2199"/>
      <c r="G624" s="2200"/>
      <c r="H624" s="2200"/>
      <c r="I624" s="2200"/>
      <c r="J624" s="2200"/>
      <c r="K624" s="2200"/>
      <c r="L624" s="1106"/>
      <c r="M624" s="407"/>
    </row>
    <row r="625" spans="1:13" s="1134" customFormat="1">
      <c r="A625" s="893"/>
      <c r="B625" s="1136" t="s">
        <v>139</v>
      </c>
      <c r="C625" s="1137" t="s">
        <v>1599</v>
      </c>
      <c r="D625" s="404">
        <v>1</v>
      </c>
      <c r="E625" s="936" t="s">
        <v>105</v>
      </c>
      <c r="F625" s="414">
        <v>0</v>
      </c>
      <c r="G625" s="414">
        <v>0</v>
      </c>
      <c r="H625" s="414">
        <f t="shared" si="50"/>
        <v>0</v>
      </c>
      <c r="I625" s="414">
        <f t="shared" si="51"/>
        <v>0</v>
      </c>
      <c r="J625" s="414">
        <f t="shared" si="52"/>
        <v>0</v>
      </c>
      <c r="K625" s="1111"/>
      <c r="L625" s="1106"/>
      <c r="M625" s="407" t="s">
        <v>282</v>
      </c>
    </row>
    <row r="626" spans="1:13" s="1134" customFormat="1">
      <c r="A626" s="893" t="s">
        <v>345</v>
      </c>
      <c r="B626" s="1138" t="s">
        <v>270</v>
      </c>
      <c r="C626" s="1137"/>
      <c r="D626" s="404"/>
      <c r="E626" s="936"/>
      <c r="F626" s="414"/>
      <c r="G626" s="414"/>
      <c r="H626" s="414"/>
      <c r="I626" s="414"/>
      <c r="J626" s="414"/>
      <c r="K626" s="1111"/>
      <c r="L626" s="1106"/>
      <c r="M626" s="407"/>
    </row>
    <row r="627" spans="1:13" s="1134" customFormat="1">
      <c r="A627" s="893"/>
      <c r="B627" s="1136" t="s">
        <v>139</v>
      </c>
      <c r="C627" s="1085" t="s">
        <v>1736</v>
      </c>
      <c r="D627" s="1109">
        <v>15</v>
      </c>
      <c r="E627" s="936" t="s">
        <v>5</v>
      </c>
      <c r="F627" s="414">
        <v>3800</v>
      </c>
      <c r="G627" s="414">
        <v>2000</v>
      </c>
      <c r="H627" s="414">
        <f t="shared" ref="H627:H632" si="53">F627*D627</f>
        <v>57000</v>
      </c>
      <c r="I627" s="414">
        <f t="shared" ref="I627:I632" si="54">D627*G627</f>
        <v>30000</v>
      </c>
      <c r="J627" s="414">
        <f t="shared" ref="J627:J632" si="55">H627+I627</f>
        <v>87000</v>
      </c>
      <c r="K627" s="1111"/>
      <c r="L627" s="1106"/>
      <c r="M627" s="407" t="s">
        <v>622</v>
      </c>
    </row>
    <row r="628" spans="1:13" s="1134" customFormat="1">
      <c r="A628" s="893"/>
      <c r="B628" s="1136" t="s">
        <v>139</v>
      </c>
      <c r="C628" s="1085" t="s">
        <v>1737</v>
      </c>
      <c r="D628" s="1109">
        <v>9</v>
      </c>
      <c r="E628" s="936" t="s">
        <v>5</v>
      </c>
      <c r="F628" s="414">
        <v>5800</v>
      </c>
      <c r="G628" s="414">
        <v>2500</v>
      </c>
      <c r="H628" s="414">
        <f t="shared" si="53"/>
        <v>52200</v>
      </c>
      <c r="I628" s="414">
        <f t="shared" si="54"/>
        <v>22500</v>
      </c>
      <c r="J628" s="414">
        <f t="shared" si="55"/>
        <v>74700</v>
      </c>
      <c r="K628" s="1111"/>
      <c r="L628" s="1106"/>
      <c r="M628" s="407" t="s">
        <v>622</v>
      </c>
    </row>
    <row r="629" spans="1:13" s="1134" customFormat="1">
      <c r="A629" s="893"/>
      <c r="B629" s="1136" t="s">
        <v>139</v>
      </c>
      <c r="C629" s="1085" t="s">
        <v>521</v>
      </c>
      <c r="D629" s="1109">
        <v>13</v>
      </c>
      <c r="E629" s="936" t="s">
        <v>5</v>
      </c>
      <c r="F629" s="414">
        <v>9600</v>
      </c>
      <c r="G629" s="414">
        <v>6000</v>
      </c>
      <c r="H629" s="414">
        <f t="shared" si="53"/>
        <v>124800</v>
      </c>
      <c r="I629" s="414">
        <f t="shared" si="54"/>
        <v>78000</v>
      </c>
      <c r="J629" s="414">
        <f t="shared" si="55"/>
        <v>202800</v>
      </c>
      <c r="K629" s="1111"/>
      <c r="L629" s="1106"/>
      <c r="M629" s="407" t="s">
        <v>622</v>
      </c>
    </row>
    <row r="630" spans="1:13" s="1134" customFormat="1">
      <c r="A630" s="893"/>
      <c r="B630" s="1136" t="s">
        <v>139</v>
      </c>
      <c r="C630" s="1085" t="s">
        <v>522</v>
      </c>
      <c r="D630" s="1109">
        <v>24</v>
      </c>
      <c r="E630" s="936" t="s">
        <v>5</v>
      </c>
      <c r="F630" s="414">
        <v>500</v>
      </c>
      <c r="G630" s="414">
        <v>250</v>
      </c>
      <c r="H630" s="414">
        <f t="shared" si="53"/>
        <v>12000</v>
      </c>
      <c r="I630" s="414">
        <f t="shared" si="54"/>
        <v>6000</v>
      </c>
      <c r="J630" s="414">
        <f t="shared" si="55"/>
        <v>18000</v>
      </c>
      <c r="K630" s="1111"/>
      <c r="L630" s="1106"/>
      <c r="M630" s="407" t="s">
        <v>622</v>
      </c>
    </row>
    <row r="631" spans="1:13" s="1134" customFormat="1">
      <c r="A631" s="893"/>
      <c r="B631" s="1136" t="s">
        <v>139</v>
      </c>
      <c r="C631" s="1085" t="s">
        <v>1738</v>
      </c>
      <c r="D631" s="1109">
        <v>526</v>
      </c>
      <c r="E631" s="936" t="s">
        <v>5</v>
      </c>
      <c r="F631" s="414">
        <v>150</v>
      </c>
      <c r="G631" s="414">
        <v>50</v>
      </c>
      <c r="H631" s="414">
        <f t="shared" si="53"/>
        <v>78900</v>
      </c>
      <c r="I631" s="414">
        <f t="shared" si="54"/>
        <v>26300</v>
      </c>
      <c r="J631" s="414">
        <f t="shared" si="55"/>
        <v>105200</v>
      </c>
      <c r="K631" s="1111"/>
      <c r="L631" s="1106"/>
      <c r="M631" s="407" t="s">
        <v>622</v>
      </c>
    </row>
    <row r="632" spans="1:13" s="1134" customFormat="1">
      <c r="A632" s="893"/>
      <c r="B632" s="1136" t="s">
        <v>139</v>
      </c>
      <c r="C632" s="1085" t="s">
        <v>1739</v>
      </c>
      <c r="D632" s="1109">
        <v>130</v>
      </c>
      <c r="E632" s="936" t="s">
        <v>5</v>
      </c>
      <c r="F632" s="414">
        <v>250</v>
      </c>
      <c r="G632" s="414">
        <v>50</v>
      </c>
      <c r="H632" s="414">
        <f t="shared" si="53"/>
        <v>32500</v>
      </c>
      <c r="I632" s="414">
        <f t="shared" si="54"/>
        <v>6500</v>
      </c>
      <c r="J632" s="414">
        <f t="shared" si="55"/>
        <v>39000</v>
      </c>
      <c r="K632" s="1111"/>
      <c r="L632" s="1106"/>
      <c r="M632" s="407" t="s">
        <v>622</v>
      </c>
    </row>
    <row r="633" spans="1:13" s="1134" customFormat="1">
      <c r="A633" s="897" t="s">
        <v>346</v>
      </c>
      <c r="B633" s="2470" t="s">
        <v>1741</v>
      </c>
      <c r="C633" s="2471"/>
      <c r="D633" s="1103"/>
      <c r="E633" s="934"/>
      <c r="F633" s="449"/>
      <c r="G633" s="449"/>
      <c r="H633" s="449"/>
      <c r="I633" s="449"/>
      <c r="J633" s="449"/>
      <c r="K633" s="1105"/>
      <c r="L633" s="1106"/>
      <c r="M633" s="1107"/>
    </row>
    <row r="634" spans="1:13" s="1134" customFormat="1">
      <c r="A634" s="893"/>
      <c r="B634" s="1136" t="s">
        <v>139</v>
      </c>
      <c r="C634" s="1085" t="s">
        <v>271</v>
      </c>
      <c r="D634" s="1109">
        <v>265</v>
      </c>
      <c r="E634" s="936" t="s">
        <v>5</v>
      </c>
      <c r="F634" s="414">
        <v>285</v>
      </c>
      <c r="G634" s="414">
        <v>110</v>
      </c>
      <c r="H634" s="414">
        <f>F634*D634</f>
        <v>75525</v>
      </c>
      <c r="I634" s="414">
        <f>D634*G634</f>
        <v>29150</v>
      </c>
      <c r="J634" s="414">
        <f>H634+I634</f>
        <v>104675</v>
      </c>
      <c r="K634" s="1111"/>
      <c r="L634" s="1106"/>
      <c r="M634" s="939" t="s">
        <v>642</v>
      </c>
    </row>
    <row r="635" spans="1:13" s="1134" customFormat="1">
      <c r="A635" s="893" t="s">
        <v>346</v>
      </c>
      <c r="B635" s="2464" t="s">
        <v>1743</v>
      </c>
      <c r="C635" s="2465"/>
      <c r="D635" s="1109"/>
      <c r="E635" s="936"/>
      <c r="F635" s="414"/>
      <c r="G635" s="414"/>
      <c r="H635" s="414"/>
      <c r="I635" s="414"/>
      <c r="J635" s="414"/>
      <c r="K635" s="1111"/>
      <c r="L635" s="1106"/>
      <c r="M635" s="939"/>
    </row>
    <row r="636" spans="1:13" s="1134" customFormat="1">
      <c r="A636" s="893"/>
      <c r="B636" s="2466" t="s">
        <v>1744</v>
      </c>
      <c r="C636" s="2467"/>
      <c r="D636" s="1109"/>
      <c r="E636" s="936"/>
      <c r="F636" s="414"/>
      <c r="G636" s="414"/>
      <c r="H636" s="414"/>
      <c r="I636" s="414"/>
      <c r="J636" s="414"/>
      <c r="K636" s="1111"/>
      <c r="L636" s="1106"/>
      <c r="M636" s="939"/>
    </row>
    <row r="637" spans="1:13" s="1134" customFormat="1">
      <c r="A637" s="893"/>
      <c r="B637" s="892" t="s">
        <v>139</v>
      </c>
      <c r="C637" s="1115" t="s">
        <v>1636</v>
      </c>
      <c r="D637" s="404">
        <v>144</v>
      </c>
      <c r="E637" s="936" t="s">
        <v>84</v>
      </c>
      <c r="F637" s="414">
        <v>500</v>
      </c>
      <c r="G637" s="414">
        <v>55</v>
      </c>
      <c r="H637" s="414">
        <f>F637*D637</f>
        <v>72000</v>
      </c>
      <c r="I637" s="414">
        <f>D637*G637</f>
        <v>7920</v>
      </c>
      <c r="J637" s="414">
        <f>H637+I637</f>
        <v>79920</v>
      </c>
      <c r="K637" s="1111"/>
      <c r="L637" s="1106"/>
      <c r="M637" s="939" t="s">
        <v>642</v>
      </c>
    </row>
    <row r="638" spans="1:13" s="1134" customFormat="1">
      <c r="A638" s="893"/>
      <c r="B638" s="892" t="s">
        <v>139</v>
      </c>
      <c r="C638" s="1115" t="s">
        <v>1527</v>
      </c>
      <c r="D638" s="404">
        <f>564+60</f>
        <v>624</v>
      </c>
      <c r="E638" s="936" t="s">
        <v>84</v>
      </c>
      <c r="F638" s="414">
        <v>380</v>
      </c>
      <c r="G638" s="414">
        <v>45</v>
      </c>
      <c r="H638" s="414">
        <f>F638*D638</f>
        <v>237120</v>
      </c>
      <c r="I638" s="414">
        <f>D638*G638</f>
        <v>28080</v>
      </c>
      <c r="J638" s="414">
        <f>H638+I638</f>
        <v>265200</v>
      </c>
      <c r="K638" s="1111"/>
      <c r="L638" s="1106"/>
      <c r="M638" s="939" t="s">
        <v>642</v>
      </c>
    </row>
    <row r="639" spans="1:13" s="1134" customFormat="1">
      <c r="A639" s="893"/>
      <c r="B639" s="892" t="s">
        <v>139</v>
      </c>
      <c r="C639" s="1115" t="s">
        <v>1485</v>
      </c>
      <c r="D639" s="404">
        <v>2400</v>
      </c>
      <c r="E639" s="936" t="s">
        <v>84</v>
      </c>
      <c r="F639" s="414">
        <v>64</v>
      </c>
      <c r="G639" s="414">
        <v>24</v>
      </c>
      <c r="H639" s="414">
        <f>F639*D639</f>
        <v>153600</v>
      </c>
      <c r="I639" s="414">
        <f>D639*G639</f>
        <v>57600</v>
      </c>
      <c r="J639" s="414">
        <f>H639+I639</f>
        <v>211200</v>
      </c>
      <c r="K639" s="1111"/>
      <c r="L639" s="1106"/>
      <c r="M639" s="939" t="s">
        <v>642</v>
      </c>
    </row>
    <row r="640" spans="1:13" s="1134" customFormat="1">
      <c r="A640" s="893"/>
      <c r="B640" s="892" t="s">
        <v>139</v>
      </c>
      <c r="C640" s="1115" t="s">
        <v>1524</v>
      </c>
      <c r="D640" s="404">
        <f>45*360-2700</f>
        <v>13500</v>
      </c>
      <c r="E640" s="936" t="s">
        <v>84</v>
      </c>
      <c r="F640" s="414">
        <v>44.33</v>
      </c>
      <c r="G640" s="414">
        <v>22</v>
      </c>
      <c r="H640" s="414">
        <f>F640*D640</f>
        <v>598455</v>
      </c>
      <c r="I640" s="414">
        <f>D640*G640</f>
        <v>297000</v>
      </c>
      <c r="J640" s="414">
        <f>H640+I640</f>
        <v>895455</v>
      </c>
      <c r="K640" s="1111"/>
      <c r="L640" s="1106"/>
      <c r="M640" s="939" t="s">
        <v>642</v>
      </c>
    </row>
    <row r="641" spans="1:13" s="1134" customFormat="1">
      <c r="A641" s="893"/>
      <c r="B641" s="2466" t="s">
        <v>1745</v>
      </c>
      <c r="C641" s="2467"/>
      <c r="D641" s="404"/>
      <c r="E641" s="936"/>
      <c r="F641" s="1116"/>
      <c r="G641" s="414"/>
      <c r="H641" s="414"/>
      <c r="I641" s="414"/>
      <c r="J641" s="414"/>
      <c r="K641" s="1111"/>
      <c r="L641" s="1106"/>
      <c r="M641" s="939"/>
    </row>
    <row r="642" spans="1:13" s="952" customFormat="1">
      <c r="A642" s="946"/>
      <c r="B642" s="1119" t="s">
        <v>139</v>
      </c>
      <c r="C642" s="1120" t="s">
        <v>1843</v>
      </c>
      <c r="D642" s="670">
        <v>1</v>
      </c>
      <c r="E642" s="945" t="s">
        <v>105</v>
      </c>
      <c r="F642" s="949">
        <f>SUM(H636:H640)*0.15</f>
        <v>159176.25</v>
      </c>
      <c r="G642" s="949">
        <v>0</v>
      </c>
      <c r="H642" s="949">
        <f>F642*D642</f>
        <v>159176.25</v>
      </c>
      <c r="I642" s="949">
        <f>D642*G642</f>
        <v>0</v>
      </c>
      <c r="J642" s="949">
        <f>H642+I642</f>
        <v>159176.25</v>
      </c>
      <c r="K642" s="949"/>
      <c r="L642" s="950"/>
      <c r="M642" s="1121" t="s">
        <v>282</v>
      </c>
    </row>
    <row r="643" spans="1:13" s="1134" customFormat="1">
      <c r="A643" s="893"/>
      <c r="B643" s="2466" t="s">
        <v>1596</v>
      </c>
      <c r="C643" s="2467"/>
      <c r="D643" s="404"/>
      <c r="E643" s="936"/>
      <c r="F643" s="1116"/>
      <c r="G643" s="414"/>
      <c r="H643" s="414"/>
      <c r="I643" s="414"/>
      <c r="J643" s="414"/>
      <c r="K643" s="414"/>
      <c r="L643" s="932"/>
      <c r="M643" s="939"/>
    </row>
    <row r="644" spans="1:13" s="1134" customFormat="1">
      <c r="A644" s="893"/>
      <c r="B644" s="892" t="s">
        <v>139</v>
      </c>
      <c r="C644" s="1085" t="s">
        <v>1643</v>
      </c>
      <c r="D644" s="404">
        <v>400</v>
      </c>
      <c r="E644" s="936" t="s">
        <v>84</v>
      </c>
      <c r="F644" s="414">
        <v>48</v>
      </c>
      <c r="G644" s="414">
        <v>25</v>
      </c>
      <c r="H644" s="414">
        <f>F644*D644</f>
        <v>19200</v>
      </c>
      <c r="I644" s="414">
        <f>D644*G644</f>
        <v>10000</v>
      </c>
      <c r="J644" s="414">
        <f>H644+I644</f>
        <v>29200</v>
      </c>
      <c r="K644" s="414"/>
      <c r="L644" s="932"/>
      <c r="M644" s="939" t="s">
        <v>642</v>
      </c>
    </row>
    <row r="645" spans="1:13" s="1134" customFormat="1">
      <c r="A645" s="893"/>
      <c r="B645" s="892" t="s">
        <v>139</v>
      </c>
      <c r="C645" s="1085" t="s">
        <v>1746</v>
      </c>
      <c r="D645" s="404">
        <v>3965</v>
      </c>
      <c r="E645" s="936" t="s">
        <v>84</v>
      </c>
      <c r="F645" s="414">
        <v>26</v>
      </c>
      <c r="G645" s="414">
        <v>8</v>
      </c>
      <c r="H645" s="414">
        <f>F645*D645</f>
        <v>103090</v>
      </c>
      <c r="I645" s="414">
        <f>D645*G645</f>
        <v>31720</v>
      </c>
      <c r="J645" s="414">
        <f>H645+I645</f>
        <v>134810</v>
      </c>
      <c r="K645" s="414"/>
      <c r="L645" s="932"/>
      <c r="M645" s="939" t="s">
        <v>642</v>
      </c>
    </row>
    <row r="646" spans="1:13" s="1134" customFormat="1">
      <c r="A646" s="893"/>
      <c r="B646" s="892" t="s">
        <v>139</v>
      </c>
      <c r="C646" s="1085" t="s">
        <v>520</v>
      </c>
      <c r="D646" s="404">
        <v>19215</v>
      </c>
      <c r="E646" s="936" t="s">
        <v>84</v>
      </c>
      <c r="F646" s="414">
        <v>18</v>
      </c>
      <c r="G646" s="414">
        <v>8</v>
      </c>
      <c r="H646" s="414">
        <f>F646*D646</f>
        <v>345870</v>
      </c>
      <c r="I646" s="414">
        <f>D646*G646</f>
        <v>153720</v>
      </c>
      <c r="J646" s="414">
        <f>H646+I646</f>
        <v>499590</v>
      </c>
      <c r="K646" s="414"/>
      <c r="L646" s="932"/>
      <c r="M646" s="939" t="s">
        <v>642</v>
      </c>
    </row>
    <row r="647" spans="1:13" s="1134" customFormat="1">
      <c r="A647" s="2183"/>
      <c r="B647" s="2183"/>
      <c r="C647" s="2183"/>
      <c r="D647" s="2184"/>
      <c r="E647" s="2185"/>
      <c r="F647" s="2185"/>
      <c r="G647" s="2185"/>
      <c r="H647" s="2185"/>
      <c r="I647" s="2185"/>
      <c r="J647" s="2185"/>
      <c r="K647" s="2185"/>
      <c r="L647" s="932"/>
      <c r="M647" s="939"/>
    </row>
    <row r="648" spans="1:13" s="1134" customFormat="1">
      <c r="A648" s="2186"/>
      <c r="B648" s="2187"/>
      <c r="C648" s="2186" t="s">
        <v>133</v>
      </c>
      <c r="D648" s="2188"/>
      <c r="E648" s="418"/>
      <c r="F648" s="2189"/>
      <c r="G648" s="2189"/>
      <c r="H648" s="1277"/>
      <c r="I648" s="1277"/>
      <c r="J648" s="2188"/>
      <c r="K648" s="2188"/>
      <c r="L648" s="932"/>
      <c r="M648" s="939"/>
    </row>
    <row r="649" spans="1:13" s="1134" customFormat="1">
      <c r="A649" s="1642"/>
      <c r="B649" s="1017"/>
      <c r="C649" s="2407" t="s">
        <v>1769</v>
      </c>
      <c r="D649" s="2407"/>
      <c r="E649" s="1017"/>
      <c r="F649" s="1017"/>
      <c r="G649" s="1017"/>
      <c r="H649" s="1017" t="s">
        <v>134</v>
      </c>
      <c r="I649" s="1017"/>
      <c r="J649" s="1017"/>
      <c r="K649" s="1017"/>
      <c r="L649" s="932"/>
      <c r="M649" s="939"/>
    </row>
    <row r="650" spans="1:13" s="1134" customFormat="1">
      <c r="A650" s="1643"/>
      <c r="B650" s="419"/>
      <c r="C650" s="2408" t="s">
        <v>1970</v>
      </c>
      <c r="D650" s="2408"/>
      <c r="E650" s="419"/>
      <c r="F650" s="419"/>
      <c r="G650" s="419"/>
      <c r="H650" s="419" t="s">
        <v>1971</v>
      </c>
      <c r="I650" s="419"/>
      <c r="J650" s="419"/>
      <c r="K650" s="419"/>
      <c r="L650" s="932"/>
      <c r="M650" s="939"/>
    </row>
    <row r="651" spans="1:13" s="1134" customFormat="1">
      <c r="A651" s="2188"/>
      <c r="B651" s="1017"/>
      <c r="C651" s="1017" t="s">
        <v>2031</v>
      </c>
      <c r="D651" s="2188"/>
      <c r="E651" s="419"/>
      <c r="F651" s="419"/>
      <c r="G651" s="419"/>
      <c r="H651" s="1017" t="s">
        <v>134</v>
      </c>
      <c r="I651" s="419"/>
      <c r="J651" s="419"/>
      <c r="K651" s="419"/>
      <c r="L651" s="932"/>
      <c r="M651" s="939"/>
    </row>
    <row r="652" spans="1:13" s="1134" customFormat="1">
      <c r="A652" s="1017"/>
      <c r="B652" s="419"/>
      <c r="C652" s="419" t="s">
        <v>1984</v>
      </c>
      <c r="D652" s="2188"/>
      <c r="E652" s="1017"/>
      <c r="F652" s="1017"/>
      <c r="G652" s="1017"/>
      <c r="H652" s="419" t="s">
        <v>1985</v>
      </c>
      <c r="I652" s="1017"/>
      <c r="J652" s="1017"/>
      <c r="K652" s="1017"/>
      <c r="L652" s="932"/>
      <c r="M652" s="939"/>
    </row>
    <row r="653" spans="1:13" s="1134" customFormat="1">
      <c r="A653" s="2190"/>
      <c r="B653" s="2190"/>
      <c r="C653" s="1017" t="s">
        <v>670</v>
      </c>
      <c r="D653" s="2191"/>
      <c r="E653" s="2192"/>
      <c r="F653" s="2193"/>
      <c r="G653" s="2194"/>
      <c r="H653" s="2194"/>
      <c r="I653" s="2194"/>
      <c r="J653" s="2194"/>
      <c r="K653" s="2194"/>
      <c r="L653" s="932"/>
      <c r="M653" s="939"/>
    </row>
    <row r="654" spans="1:13" s="1134" customFormat="1">
      <c r="A654" s="2195"/>
      <c r="B654" s="2195"/>
      <c r="C654" s="2196" t="s">
        <v>1972</v>
      </c>
      <c r="D654" s="2197"/>
      <c r="E654" s="2198"/>
      <c r="F654" s="2199"/>
      <c r="G654" s="2200"/>
      <c r="H654" s="2200"/>
      <c r="I654" s="2200"/>
      <c r="J654" s="2200"/>
      <c r="K654" s="2200"/>
      <c r="L654" s="932"/>
      <c r="M654" s="939"/>
    </row>
    <row r="655" spans="1:13" s="1134" customFormat="1">
      <c r="A655" s="893"/>
      <c r="B655" s="2466" t="s">
        <v>1620</v>
      </c>
      <c r="C655" s="2467"/>
      <c r="D655" s="404"/>
      <c r="E655" s="936"/>
      <c r="F655" s="1116"/>
      <c r="G655" s="414"/>
      <c r="H655" s="414"/>
      <c r="I655" s="414"/>
      <c r="J655" s="414"/>
      <c r="K655" s="1111"/>
      <c r="L655" s="1106"/>
      <c r="M655" s="939"/>
    </row>
    <row r="656" spans="1:13" s="952" customFormat="1">
      <c r="A656" s="946"/>
      <c r="B656" s="947" t="s">
        <v>139</v>
      </c>
      <c r="C656" s="1120" t="s">
        <v>1842</v>
      </c>
      <c r="D656" s="670">
        <v>1</v>
      </c>
      <c r="E656" s="945" t="s">
        <v>105</v>
      </c>
      <c r="F656" s="949">
        <f>SUM(H644:H646)*0.05</f>
        <v>23408</v>
      </c>
      <c r="G656" s="949">
        <v>0</v>
      </c>
      <c r="H656" s="949">
        <f>F656*D656</f>
        <v>23408</v>
      </c>
      <c r="I656" s="949">
        <f>D656*G656</f>
        <v>0</v>
      </c>
      <c r="J656" s="949">
        <f>H656+I656</f>
        <v>23408</v>
      </c>
      <c r="K656" s="949"/>
      <c r="L656" s="950"/>
      <c r="M656" s="1121" t="s">
        <v>282</v>
      </c>
    </row>
    <row r="657" spans="1:13" s="1134" customFormat="1">
      <c r="A657" s="895"/>
      <c r="B657" s="894"/>
      <c r="C657" s="1102"/>
      <c r="D657" s="412"/>
      <c r="E657" s="961"/>
      <c r="F657" s="1125"/>
      <c r="G657" s="415"/>
      <c r="H657" s="415"/>
      <c r="I657" s="415"/>
      <c r="J657" s="415"/>
      <c r="K657" s="1139"/>
      <c r="L657" s="1106"/>
      <c r="M657" s="939"/>
    </row>
    <row r="658" spans="1:13" s="968" customFormat="1" ht="24.75" thickBot="1">
      <c r="A658" s="962"/>
      <c r="B658" s="1092"/>
      <c r="C658" s="1093" t="str">
        <f>"รวมราคา "&amp;B605</f>
        <v>รวมราคา งานระบบเครือข่ายอินเตอร์เนท</v>
      </c>
      <c r="D658" s="1094"/>
      <c r="E658" s="966"/>
      <c r="F658" s="966"/>
      <c r="G658" s="966"/>
      <c r="H658" s="966">
        <f>SUM(H606:H657)</f>
        <v>9167844.25</v>
      </c>
      <c r="I658" s="966">
        <f>SUM(I606:I657)</f>
        <v>1092990</v>
      </c>
      <c r="J658" s="966">
        <f>SUM(J606:J657)</f>
        <v>10260834.25</v>
      </c>
      <c r="K658" s="966"/>
      <c r="L658" s="967"/>
      <c r="M658" s="1095"/>
    </row>
    <row r="659" spans="1:13" s="968" customFormat="1" ht="24.75" thickTop="1">
      <c r="A659" s="1140">
        <v>4.9000000000000004</v>
      </c>
      <c r="B659" s="2468" t="s">
        <v>131</v>
      </c>
      <c r="C659" s="2469"/>
      <c r="D659" s="985"/>
      <c r="E659" s="995"/>
      <c r="F659" s="996"/>
      <c r="G659" s="996"/>
      <c r="H659" s="996"/>
      <c r="I659" s="996"/>
      <c r="J659" s="996"/>
      <c r="K659" s="996"/>
      <c r="L659" s="967"/>
      <c r="M659" s="1095"/>
    </row>
    <row r="660" spans="1:13" s="922" customFormat="1">
      <c r="A660" s="933" t="s">
        <v>220</v>
      </c>
      <c r="B660" s="2507" t="s">
        <v>132</v>
      </c>
      <c r="C660" s="2508"/>
      <c r="D660" s="406"/>
      <c r="E660" s="934"/>
      <c r="F660" s="449"/>
      <c r="G660" s="449"/>
      <c r="H660" s="449"/>
      <c r="I660" s="449"/>
      <c r="J660" s="449"/>
      <c r="K660" s="449"/>
      <c r="L660" s="932"/>
      <c r="M660" s="1077"/>
    </row>
    <row r="661" spans="1:13" s="922" customFormat="1">
      <c r="A661" s="935"/>
      <c r="B661" s="892" t="s">
        <v>139</v>
      </c>
      <c r="C661" s="1127" t="s">
        <v>125</v>
      </c>
      <c r="D661" s="404">
        <v>10</v>
      </c>
      <c r="E661" s="936" t="s">
        <v>5</v>
      </c>
      <c r="F661" s="414">
        <v>2450</v>
      </c>
      <c r="G661" s="414">
        <v>500</v>
      </c>
      <c r="H661" s="414">
        <f>F661*D661</f>
        <v>24500</v>
      </c>
      <c r="I661" s="414">
        <f>D661*G661</f>
        <v>5000</v>
      </c>
      <c r="J661" s="414">
        <f>H661+I661</f>
        <v>29500</v>
      </c>
      <c r="K661" s="414"/>
      <c r="L661" s="932"/>
      <c r="M661" s="407" t="s">
        <v>622</v>
      </c>
    </row>
    <row r="662" spans="1:13" s="922" customFormat="1">
      <c r="A662" s="935"/>
      <c r="B662" s="892" t="s">
        <v>139</v>
      </c>
      <c r="C662" s="1085" t="s">
        <v>32</v>
      </c>
      <c r="D662" s="404">
        <v>9</v>
      </c>
      <c r="E662" s="936" t="s">
        <v>5</v>
      </c>
      <c r="F662" s="414">
        <v>2860</v>
      </c>
      <c r="G662" s="414">
        <v>750</v>
      </c>
      <c r="H662" s="414">
        <f>F662*D662</f>
        <v>25740</v>
      </c>
      <c r="I662" s="414">
        <f>D662*G662</f>
        <v>6750</v>
      </c>
      <c r="J662" s="414">
        <f>H662+I662</f>
        <v>32490</v>
      </c>
      <c r="K662" s="414"/>
      <c r="L662" s="932"/>
      <c r="M662" s="407" t="s">
        <v>622</v>
      </c>
    </row>
    <row r="663" spans="1:13" s="922" customFormat="1">
      <c r="A663" s="935"/>
      <c r="B663" s="892" t="s">
        <v>139</v>
      </c>
      <c r="C663" s="1085" t="s">
        <v>33</v>
      </c>
      <c r="D663" s="404">
        <v>42</v>
      </c>
      <c r="E663" s="936" t="s">
        <v>5</v>
      </c>
      <c r="F663" s="414">
        <v>3870</v>
      </c>
      <c r="G663" s="414">
        <v>350</v>
      </c>
      <c r="H663" s="414">
        <f>F663*D663</f>
        <v>162540</v>
      </c>
      <c r="I663" s="414">
        <f>D663*G663</f>
        <v>14700</v>
      </c>
      <c r="J663" s="414">
        <f>H663+I663</f>
        <v>177240</v>
      </c>
      <c r="K663" s="414"/>
      <c r="L663" s="932"/>
      <c r="M663" s="407" t="s">
        <v>622</v>
      </c>
    </row>
    <row r="664" spans="1:13" s="922" customFormat="1">
      <c r="A664" s="935"/>
      <c r="B664" s="892" t="s">
        <v>139</v>
      </c>
      <c r="C664" s="1085" t="s">
        <v>34</v>
      </c>
      <c r="D664" s="404">
        <v>5</v>
      </c>
      <c r="E664" s="936" t="s">
        <v>5</v>
      </c>
      <c r="F664" s="414">
        <v>3250</v>
      </c>
      <c r="G664" s="414">
        <v>300</v>
      </c>
      <c r="H664" s="414">
        <f>F664*D664</f>
        <v>16250</v>
      </c>
      <c r="I664" s="414">
        <f>D664*G664</f>
        <v>1500</v>
      </c>
      <c r="J664" s="414">
        <f>H664+I664</f>
        <v>17750</v>
      </c>
      <c r="K664" s="414"/>
      <c r="L664" s="932"/>
      <c r="M664" s="407" t="s">
        <v>622</v>
      </c>
    </row>
    <row r="665" spans="1:13" s="922" customFormat="1">
      <c r="A665" s="935"/>
      <c r="B665" s="892" t="s">
        <v>139</v>
      </c>
      <c r="C665" s="1085" t="s">
        <v>1604</v>
      </c>
      <c r="D665" s="404">
        <f>56+30</f>
        <v>86</v>
      </c>
      <c r="E665" s="936" t="s">
        <v>5</v>
      </c>
      <c r="F665" s="414">
        <v>450</v>
      </c>
      <c r="G665" s="414">
        <v>250</v>
      </c>
      <c r="H665" s="414">
        <f>F665*D665</f>
        <v>38700</v>
      </c>
      <c r="I665" s="414">
        <f>D665*G665</f>
        <v>21500</v>
      </c>
      <c r="J665" s="414">
        <f>H665+I665</f>
        <v>60200</v>
      </c>
      <c r="K665" s="414"/>
      <c r="L665" s="932"/>
      <c r="M665" s="407" t="s">
        <v>622</v>
      </c>
    </row>
    <row r="666" spans="1:13" s="922" customFormat="1">
      <c r="A666" s="935" t="s">
        <v>221</v>
      </c>
      <c r="B666" s="2464" t="s">
        <v>1601</v>
      </c>
      <c r="C666" s="2465"/>
      <c r="D666" s="404"/>
      <c r="E666" s="936"/>
      <c r="F666" s="414"/>
      <c r="G666" s="414"/>
      <c r="H666" s="414"/>
      <c r="I666" s="414"/>
      <c r="J666" s="414"/>
      <c r="K666" s="414"/>
      <c r="L666" s="932"/>
      <c r="M666" s="1077"/>
    </row>
    <row r="667" spans="1:13" s="922" customFormat="1">
      <c r="A667" s="935"/>
      <c r="B667" s="2466" t="s">
        <v>1602</v>
      </c>
      <c r="C667" s="2467"/>
      <c r="D667" s="404"/>
      <c r="E667" s="936"/>
      <c r="F667" s="414"/>
      <c r="G667" s="414"/>
      <c r="H667" s="414"/>
      <c r="I667" s="414"/>
      <c r="J667" s="414"/>
      <c r="K667" s="414"/>
      <c r="L667" s="932"/>
      <c r="M667" s="1077"/>
    </row>
    <row r="668" spans="1:13" s="922" customFormat="1">
      <c r="A668" s="935"/>
      <c r="B668" s="892" t="s">
        <v>139</v>
      </c>
      <c r="C668" s="1127" t="s">
        <v>1605</v>
      </c>
      <c r="D668" s="404">
        <v>440</v>
      </c>
      <c r="E668" s="936" t="s">
        <v>84</v>
      </c>
      <c r="F668" s="414">
        <v>38</v>
      </c>
      <c r="G668" s="414">
        <v>22</v>
      </c>
      <c r="H668" s="414">
        <f>F668*D668</f>
        <v>16720</v>
      </c>
      <c r="I668" s="414">
        <f>D668*G668</f>
        <v>9680</v>
      </c>
      <c r="J668" s="414">
        <f>H668+I668</f>
        <v>26400</v>
      </c>
      <c r="K668" s="414"/>
      <c r="L668" s="932"/>
      <c r="M668" s="939" t="s">
        <v>642</v>
      </c>
    </row>
    <row r="669" spans="1:13" s="922" customFormat="1">
      <c r="A669" s="935"/>
      <c r="B669" s="2466" t="s">
        <v>1603</v>
      </c>
      <c r="C669" s="2467"/>
      <c r="D669" s="404"/>
      <c r="E669" s="936"/>
      <c r="F669" s="1116"/>
      <c r="G669" s="414"/>
      <c r="H669" s="414"/>
      <c r="I669" s="414"/>
      <c r="J669" s="414"/>
      <c r="K669" s="414"/>
      <c r="L669" s="932"/>
      <c r="M669" s="1077"/>
    </row>
    <row r="670" spans="1:13" s="952" customFormat="1">
      <c r="A670" s="946"/>
      <c r="B670" s="1119" t="s">
        <v>139</v>
      </c>
      <c r="C670" s="1120" t="s">
        <v>1843</v>
      </c>
      <c r="D670" s="670">
        <v>1</v>
      </c>
      <c r="E670" s="945" t="s">
        <v>105</v>
      </c>
      <c r="F670" s="949">
        <f>SUM(H668)*0.15</f>
        <v>2508</v>
      </c>
      <c r="G670" s="949">
        <v>0</v>
      </c>
      <c r="H670" s="949">
        <f>F670*D670</f>
        <v>2508</v>
      </c>
      <c r="I670" s="949">
        <f>D670*G670</f>
        <v>0</v>
      </c>
      <c r="J670" s="949">
        <f>H670+I670</f>
        <v>2508</v>
      </c>
      <c r="K670" s="949"/>
      <c r="L670" s="950"/>
      <c r="M670" s="1121" t="s">
        <v>282</v>
      </c>
    </row>
    <row r="671" spans="1:13" s="922" customFormat="1">
      <c r="A671" s="935"/>
      <c r="B671" s="2466" t="s">
        <v>1606</v>
      </c>
      <c r="C671" s="2467"/>
      <c r="D671" s="404"/>
      <c r="E671" s="936"/>
      <c r="F671" s="1116"/>
      <c r="G671" s="414"/>
      <c r="H671" s="414"/>
      <c r="I671" s="414"/>
      <c r="J671" s="414"/>
      <c r="K671" s="414"/>
      <c r="L671" s="932"/>
      <c r="M671" s="1077"/>
    </row>
    <row r="672" spans="1:13" s="922" customFormat="1">
      <c r="A672" s="935"/>
      <c r="B672" s="892" t="s">
        <v>139</v>
      </c>
      <c r="C672" s="1127" t="s">
        <v>1607</v>
      </c>
      <c r="D672" s="404">
        <v>280</v>
      </c>
      <c r="E672" s="936" t="s">
        <v>84</v>
      </c>
      <c r="F672" s="414">
        <v>495</v>
      </c>
      <c r="G672" s="414">
        <v>50</v>
      </c>
      <c r="H672" s="414">
        <f>F672*D672</f>
        <v>138600</v>
      </c>
      <c r="I672" s="414">
        <f>D672*G672</f>
        <v>14000</v>
      </c>
      <c r="J672" s="414">
        <f>H672+I672</f>
        <v>152600</v>
      </c>
      <c r="K672" s="414"/>
      <c r="L672" s="932"/>
      <c r="M672" s="939" t="s">
        <v>642</v>
      </c>
    </row>
    <row r="673" spans="1:13" s="922" customFormat="1">
      <c r="A673" s="935"/>
      <c r="B673" s="892" t="s">
        <v>139</v>
      </c>
      <c r="C673" s="1122" t="s">
        <v>1608</v>
      </c>
      <c r="D673" s="404">
        <v>260</v>
      </c>
      <c r="E673" s="936" t="s">
        <v>5</v>
      </c>
      <c r="F673" s="414">
        <v>150</v>
      </c>
      <c r="G673" s="414">
        <v>100</v>
      </c>
      <c r="H673" s="414">
        <f>F673*D673</f>
        <v>39000</v>
      </c>
      <c r="I673" s="414">
        <f>D673*G673</f>
        <v>26000</v>
      </c>
      <c r="J673" s="414">
        <f>H673+I673</f>
        <v>65000</v>
      </c>
      <c r="K673" s="414"/>
      <c r="L673" s="932"/>
      <c r="M673" s="939" t="s">
        <v>642</v>
      </c>
    </row>
    <row r="674" spans="1:13" s="922" customFormat="1">
      <c r="A674" s="935"/>
      <c r="B674" s="892" t="s">
        <v>139</v>
      </c>
      <c r="C674" s="1122" t="s">
        <v>1609</v>
      </c>
      <c r="D674" s="404">
        <f>480+180+3*42</f>
        <v>786</v>
      </c>
      <c r="E674" s="936" t="s">
        <v>84</v>
      </c>
      <c r="F674" s="414">
        <v>295</v>
      </c>
      <c r="G674" s="414">
        <v>45</v>
      </c>
      <c r="H674" s="414">
        <f>F674*D674</f>
        <v>231870</v>
      </c>
      <c r="I674" s="414">
        <f>D674*G674</f>
        <v>35370</v>
      </c>
      <c r="J674" s="414">
        <f>H674+I674</f>
        <v>267240</v>
      </c>
      <c r="K674" s="414"/>
      <c r="L674" s="932"/>
      <c r="M674" s="939" t="s">
        <v>642</v>
      </c>
    </row>
    <row r="675" spans="1:13" s="922" customFormat="1">
      <c r="A675" s="935"/>
      <c r="B675" s="892" t="s">
        <v>139</v>
      </c>
      <c r="C675" s="1122" t="s">
        <v>1610</v>
      </c>
      <c r="D675" s="404">
        <v>160</v>
      </c>
      <c r="E675" s="936" t="s">
        <v>84</v>
      </c>
      <c r="F675" s="414">
        <v>406</v>
      </c>
      <c r="G675" s="414">
        <v>55</v>
      </c>
      <c r="H675" s="414">
        <f>F675*D675</f>
        <v>64960</v>
      </c>
      <c r="I675" s="414">
        <f>D675*G675</f>
        <v>8800</v>
      </c>
      <c r="J675" s="414">
        <f>H675+I675</f>
        <v>73760</v>
      </c>
      <c r="K675" s="414"/>
      <c r="L675" s="932"/>
      <c r="M675" s="939" t="s">
        <v>642</v>
      </c>
    </row>
    <row r="676" spans="1:13" s="922" customFormat="1">
      <c r="A676" s="935"/>
      <c r="B676" s="2466" t="s">
        <v>1532</v>
      </c>
      <c r="C676" s="2467"/>
      <c r="D676" s="404"/>
      <c r="E676" s="936"/>
      <c r="F676" s="1116"/>
      <c r="G676" s="414"/>
      <c r="H676" s="414"/>
      <c r="I676" s="414"/>
      <c r="J676" s="414"/>
      <c r="K676" s="414"/>
      <c r="L676" s="932"/>
      <c r="M676" s="1077"/>
    </row>
    <row r="677" spans="1:13" s="968" customFormat="1" ht="24.75" thickBot="1">
      <c r="A677" s="962"/>
      <c r="B677" s="1092"/>
      <c r="C677" s="1093" t="str">
        <f>"รวมราคา "&amp;B659</f>
        <v>รวมราคา งานระบบป้องกันฟ้าผ่าและระบบสายดิน</v>
      </c>
      <c r="D677" s="1094"/>
      <c r="E677" s="966"/>
      <c r="F677" s="966"/>
      <c r="G677" s="966"/>
      <c r="H677" s="966">
        <f>SUM(H659:H676)</f>
        <v>761388</v>
      </c>
      <c r="I677" s="966">
        <f>SUM(I659:I676)</f>
        <v>143300</v>
      </c>
      <c r="J677" s="966">
        <f>SUM(J659:J676)</f>
        <v>904688</v>
      </c>
      <c r="K677" s="966"/>
      <c r="L677" s="967"/>
      <c r="M677" s="1095"/>
    </row>
    <row r="678" spans="1:13" s="968" customFormat="1" ht="24.75" thickTop="1">
      <c r="A678" s="2183"/>
      <c r="B678" s="2183"/>
      <c r="C678" s="2183"/>
      <c r="D678" s="2184"/>
      <c r="E678" s="2185"/>
      <c r="F678" s="2185"/>
      <c r="G678" s="2185"/>
      <c r="H678" s="2185"/>
      <c r="I678" s="2185"/>
      <c r="J678" s="2185"/>
      <c r="K678" s="2185"/>
      <c r="L678" s="967"/>
      <c r="M678" s="1095"/>
    </row>
    <row r="679" spans="1:13" s="968" customFormat="1">
      <c r="A679" s="2186"/>
      <c r="B679" s="2187"/>
      <c r="C679" s="2186" t="s">
        <v>133</v>
      </c>
      <c r="D679" s="2188"/>
      <c r="E679" s="418"/>
      <c r="F679" s="2189"/>
      <c r="G679" s="2189"/>
      <c r="H679" s="1277"/>
      <c r="I679" s="1277"/>
      <c r="J679" s="2188"/>
      <c r="K679" s="2188"/>
      <c r="L679" s="967"/>
      <c r="M679" s="1095"/>
    </row>
    <row r="680" spans="1:13" s="968" customFormat="1">
      <c r="A680" s="1642"/>
      <c r="B680" s="1017"/>
      <c r="C680" s="2407" t="s">
        <v>1769</v>
      </c>
      <c r="D680" s="2407"/>
      <c r="E680" s="1017"/>
      <c r="F680" s="1017"/>
      <c r="G680" s="1017"/>
      <c r="H680" s="1017" t="s">
        <v>134</v>
      </c>
      <c r="I680" s="1017"/>
      <c r="J680" s="1017"/>
      <c r="K680" s="1017"/>
      <c r="L680" s="967"/>
      <c r="M680" s="1095"/>
    </row>
    <row r="681" spans="1:13" s="968" customFormat="1">
      <c r="A681" s="1643"/>
      <c r="B681" s="419"/>
      <c r="C681" s="2408" t="s">
        <v>1970</v>
      </c>
      <c r="D681" s="2408"/>
      <c r="E681" s="419"/>
      <c r="F681" s="419"/>
      <c r="G681" s="419"/>
      <c r="H681" s="419" t="s">
        <v>1971</v>
      </c>
      <c r="I681" s="419"/>
      <c r="J681" s="419"/>
      <c r="K681" s="419"/>
      <c r="L681" s="967"/>
      <c r="M681" s="1095"/>
    </row>
    <row r="682" spans="1:13" s="968" customFormat="1">
      <c r="A682" s="2188"/>
      <c r="B682" s="1017"/>
      <c r="C682" s="1017" t="s">
        <v>2031</v>
      </c>
      <c r="D682" s="2188"/>
      <c r="E682" s="419"/>
      <c r="F682" s="419"/>
      <c r="G682" s="419"/>
      <c r="H682" s="1017" t="s">
        <v>134</v>
      </c>
      <c r="I682" s="419"/>
      <c r="J682" s="419"/>
      <c r="K682" s="419"/>
      <c r="L682" s="967"/>
      <c r="M682" s="1095"/>
    </row>
    <row r="683" spans="1:13" s="968" customFormat="1">
      <c r="A683" s="1017"/>
      <c r="B683" s="419"/>
      <c r="C683" s="419" t="s">
        <v>1984</v>
      </c>
      <c r="D683" s="2188"/>
      <c r="E683" s="1017"/>
      <c r="F683" s="1017"/>
      <c r="G683" s="1017"/>
      <c r="H683" s="419" t="s">
        <v>1985</v>
      </c>
      <c r="I683" s="1017"/>
      <c r="J683" s="1017"/>
      <c r="K683" s="1017"/>
      <c r="L683" s="967"/>
      <c r="M683" s="1095"/>
    </row>
    <row r="684" spans="1:13" s="968" customFormat="1">
      <c r="A684" s="2190"/>
      <c r="B684" s="2190"/>
      <c r="C684" s="1017" t="s">
        <v>670</v>
      </c>
      <c r="D684" s="2191"/>
      <c r="E684" s="2192"/>
      <c r="F684" s="2193"/>
      <c r="G684" s="2194"/>
      <c r="H684" s="2194"/>
      <c r="I684" s="2194"/>
      <c r="J684" s="2194"/>
      <c r="K684" s="2194"/>
      <c r="L684" s="967"/>
      <c r="M684" s="1095"/>
    </row>
    <row r="685" spans="1:13" s="968" customFormat="1">
      <c r="A685" s="2195"/>
      <c r="B685" s="2195"/>
      <c r="C685" s="2196" t="s">
        <v>1972</v>
      </c>
      <c r="D685" s="2197"/>
      <c r="E685" s="2198"/>
      <c r="F685" s="2199"/>
      <c r="G685" s="2200"/>
      <c r="H685" s="2200"/>
      <c r="I685" s="2200"/>
      <c r="J685" s="2200"/>
      <c r="K685" s="2200"/>
      <c r="L685" s="967"/>
      <c r="M685" s="1095"/>
    </row>
    <row r="686" spans="1:13" s="968" customFormat="1">
      <c r="A686" s="1141">
        <v>4.0999999999999996</v>
      </c>
      <c r="B686" s="2468" t="s">
        <v>208</v>
      </c>
      <c r="C686" s="2469"/>
      <c r="D686" s="985"/>
      <c r="E686" s="995"/>
      <c r="F686" s="996"/>
      <c r="G686" s="996"/>
      <c r="H686" s="996"/>
      <c r="I686" s="996"/>
      <c r="J686" s="996"/>
      <c r="K686" s="996"/>
      <c r="L686" s="967"/>
      <c r="M686" s="1095"/>
    </row>
    <row r="687" spans="1:13" s="968" customFormat="1">
      <c r="A687" s="933" t="s">
        <v>222</v>
      </c>
      <c r="B687" s="2470" t="s">
        <v>1612</v>
      </c>
      <c r="C687" s="2471"/>
      <c r="D687" s="1142"/>
      <c r="E687" s="1143"/>
      <c r="F687" s="1144"/>
      <c r="G687" s="1144"/>
      <c r="H687" s="1144"/>
      <c r="I687" s="1144"/>
      <c r="J687" s="1144"/>
      <c r="K687" s="1144"/>
      <c r="L687" s="967"/>
      <c r="M687" s="1095"/>
    </row>
    <row r="688" spans="1:13" s="922" customFormat="1">
      <c r="A688" s="935"/>
      <c r="B688" s="892" t="s">
        <v>139</v>
      </c>
      <c r="C688" s="1122" t="s">
        <v>1611</v>
      </c>
      <c r="D688" s="404">
        <v>1</v>
      </c>
      <c r="E688" s="936" t="s">
        <v>5</v>
      </c>
      <c r="F688" s="414">
        <v>185000</v>
      </c>
      <c r="G688" s="414">
        <v>40000</v>
      </c>
      <c r="H688" s="414">
        <f t="shared" ref="H688:H699" si="56">F688*D688</f>
        <v>185000</v>
      </c>
      <c r="I688" s="414">
        <f t="shared" ref="I688:I699" si="57">D688*G688</f>
        <v>40000</v>
      </c>
      <c r="J688" s="414">
        <f t="shared" ref="J688:J699" si="58">H688+I688</f>
        <v>225000</v>
      </c>
      <c r="K688" s="414"/>
      <c r="L688" s="932"/>
      <c r="M688" s="939" t="s">
        <v>622</v>
      </c>
    </row>
    <row r="689" spans="1:13" s="922" customFormat="1">
      <c r="A689" s="935"/>
      <c r="B689" s="892" t="s">
        <v>139</v>
      </c>
      <c r="C689" s="1122" t="s">
        <v>38</v>
      </c>
      <c r="D689" s="404">
        <v>1</v>
      </c>
      <c r="E689" s="936" t="s">
        <v>5</v>
      </c>
      <c r="F689" s="414">
        <v>22000</v>
      </c>
      <c r="G689" s="414">
        <v>500</v>
      </c>
      <c r="H689" s="414">
        <f t="shared" si="56"/>
        <v>22000</v>
      </c>
      <c r="I689" s="414">
        <f t="shared" si="57"/>
        <v>500</v>
      </c>
      <c r="J689" s="414">
        <f t="shared" si="58"/>
        <v>22500</v>
      </c>
      <c r="K689" s="414"/>
      <c r="L689" s="932"/>
      <c r="M689" s="939" t="s">
        <v>622</v>
      </c>
    </row>
    <row r="690" spans="1:13" s="922" customFormat="1">
      <c r="A690" s="935"/>
      <c r="B690" s="892" t="s">
        <v>139</v>
      </c>
      <c r="C690" s="1085" t="s">
        <v>35</v>
      </c>
      <c r="D690" s="404">
        <v>1</v>
      </c>
      <c r="E690" s="936" t="s">
        <v>5</v>
      </c>
      <c r="F690" s="414">
        <v>49000</v>
      </c>
      <c r="G690" s="414">
        <v>2500</v>
      </c>
      <c r="H690" s="414">
        <f t="shared" si="56"/>
        <v>49000</v>
      </c>
      <c r="I690" s="414">
        <f t="shared" si="57"/>
        <v>2500</v>
      </c>
      <c r="J690" s="414">
        <f t="shared" si="58"/>
        <v>51500</v>
      </c>
      <c r="K690" s="414"/>
      <c r="L690" s="932"/>
      <c r="M690" s="407" t="s">
        <v>622</v>
      </c>
    </row>
    <row r="691" spans="1:13" s="922" customFormat="1">
      <c r="A691" s="935"/>
      <c r="B691" s="892" t="s">
        <v>139</v>
      </c>
      <c r="C691" s="1085" t="s">
        <v>37</v>
      </c>
      <c r="D691" s="404">
        <v>83</v>
      </c>
      <c r="E691" s="936" t="s">
        <v>5</v>
      </c>
      <c r="F691" s="414">
        <v>2600</v>
      </c>
      <c r="G691" s="414">
        <v>200</v>
      </c>
      <c r="H691" s="414">
        <f t="shared" si="56"/>
        <v>215800</v>
      </c>
      <c r="I691" s="414">
        <f t="shared" si="57"/>
        <v>16600</v>
      </c>
      <c r="J691" s="414">
        <f t="shared" si="58"/>
        <v>232400</v>
      </c>
      <c r="K691" s="414"/>
      <c r="L691" s="932"/>
      <c r="M691" s="407" t="s">
        <v>622</v>
      </c>
    </row>
    <row r="692" spans="1:13" s="922" customFormat="1">
      <c r="A692" s="935"/>
      <c r="B692" s="892" t="s">
        <v>139</v>
      </c>
      <c r="C692" s="1085" t="s">
        <v>36</v>
      </c>
      <c r="D692" s="404">
        <v>12</v>
      </c>
      <c r="E692" s="936" t="s">
        <v>5</v>
      </c>
      <c r="F692" s="414">
        <v>2800</v>
      </c>
      <c r="G692" s="414">
        <v>200</v>
      </c>
      <c r="H692" s="414">
        <f t="shared" si="56"/>
        <v>33600</v>
      </c>
      <c r="I692" s="414">
        <f t="shared" si="57"/>
        <v>2400</v>
      </c>
      <c r="J692" s="414">
        <f t="shared" si="58"/>
        <v>36000</v>
      </c>
      <c r="K692" s="414"/>
      <c r="L692" s="932"/>
      <c r="M692" s="407" t="s">
        <v>622</v>
      </c>
    </row>
    <row r="693" spans="1:13" s="922" customFormat="1">
      <c r="A693" s="935"/>
      <c r="B693" s="892" t="s">
        <v>139</v>
      </c>
      <c r="C693" s="1085" t="s">
        <v>126</v>
      </c>
      <c r="D693" s="404">
        <v>10</v>
      </c>
      <c r="E693" s="936" t="s">
        <v>5</v>
      </c>
      <c r="F693" s="414">
        <v>2600</v>
      </c>
      <c r="G693" s="414">
        <v>200</v>
      </c>
      <c r="H693" s="414">
        <f t="shared" si="56"/>
        <v>26000</v>
      </c>
      <c r="I693" s="414">
        <f t="shared" si="57"/>
        <v>2000</v>
      </c>
      <c r="J693" s="414">
        <f t="shared" si="58"/>
        <v>28000</v>
      </c>
      <c r="K693" s="414"/>
      <c r="L693" s="932"/>
      <c r="M693" s="407" t="s">
        <v>622</v>
      </c>
    </row>
    <row r="694" spans="1:13" s="922" customFormat="1">
      <c r="A694" s="935"/>
      <c r="B694" s="892" t="s">
        <v>139</v>
      </c>
      <c r="C694" s="1085" t="s">
        <v>127</v>
      </c>
      <c r="D694" s="404">
        <v>3</v>
      </c>
      <c r="E694" s="936" t="s">
        <v>5</v>
      </c>
      <c r="F694" s="414">
        <v>2800</v>
      </c>
      <c r="G694" s="414">
        <v>200</v>
      </c>
      <c r="H694" s="414">
        <f t="shared" si="56"/>
        <v>8400</v>
      </c>
      <c r="I694" s="414">
        <f t="shared" si="57"/>
        <v>600</v>
      </c>
      <c r="J694" s="414">
        <f t="shared" si="58"/>
        <v>9000</v>
      </c>
      <c r="K694" s="414"/>
      <c r="L694" s="932"/>
      <c r="M694" s="407" t="s">
        <v>622</v>
      </c>
    </row>
    <row r="695" spans="1:13" s="922" customFormat="1">
      <c r="A695" s="935"/>
      <c r="B695" s="892" t="s">
        <v>139</v>
      </c>
      <c r="C695" s="1085" t="s">
        <v>523</v>
      </c>
      <c r="D695" s="404">
        <v>10</v>
      </c>
      <c r="E695" s="936" t="s">
        <v>5</v>
      </c>
      <c r="F695" s="414">
        <v>15000</v>
      </c>
      <c r="G695" s="414">
        <v>1500</v>
      </c>
      <c r="H695" s="414">
        <f t="shared" si="56"/>
        <v>150000</v>
      </c>
      <c r="I695" s="414">
        <f t="shared" si="57"/>
        <v>15000</v>
      </c>
      <c r="J695" s="414">
        <f t="shared" si="58"/>
        <v>165000</v>
      </c>
      <c r="K695" s="414"/>
      <c r="L695" s="932"/>
      <c r="M695" s="407" t="s">
        <v>622</v>
      </c>
    </row>
    <row r="696" spans="1:13" s="922" customFormat="1">
      <c r="A696" s="935"/>
      <c r="B696" s="892" t="s">
        <v>139</v>
      </c>
      <c r="C696" s="1085" t="s">
        <v>157</v>
      </c>
      <c r="D696" s="404">
        <v>1</v>
      </c>
      <c r="E696" s="936" t="s">
        <v>5</v>
      </c>
      <c r="F696" s="414">
        <v>9800</v>
      </c>
      <c r="G696" s="414">
        <v>100</v>
      </c>
      <c r="H696" s="414">
        <f t="shared" si="56"/>
        <v>9800</v>
      </c>
      <c r="I696" s="414">
        <f t="shared" si="57"/>
        <v>100</v>
      </c>
      <c r="J696" s="414">
        <f t="shared" si="58"/>
        <v>9900</v>
      </c>
      <c r="K696" s="414"/>
      <c r="L696" s="932"/>
      <c r="M696" s="407" t="s">
        <v>622</v>
      </c>
    </row>
    <row r="697" spans="1:13" s="922" customFormat="1">
      <c r="A697" s="935"/>
      <c r="B697" s="892" t="s">
        <v>139</v>
      </c>
      <c r="C697" s="1085" t="s">
        <v>158</v>
      </c>
      <c r="D697" s="404">
        <v>2</v>
      </c>
      <c r="E697" s="936" t="s">
        <v>5</v>
      </c>
      <c r="F697" s="414">
        <v>2800</v>
      </c>
      <c r="G697" s="414">
        <v>100</v>
      </c>
      <c r="H697" s="414">
        <f t="shared" si="56"/>
        <v>5600</v>
      </c>
      <c r="I697" s="414">
        <f t="shared" si="57"/>
        <v>200</v>
      </c>
      <c r="J697" s="414">
        <f t="shared" si="58"/>
        <v>5800</v>
      </c>
      <c r="K697" s="414"/>
      <c r="L697" s="932"/>
      <c r="M697" s="407" t="s">
        <v>622</v>
      </c>
    </row>
    <row r="698" spans="1:13" s="922" customFormat="1">
      <c r="A698" s="935"/>
      <c r="B698" s="892" t="s">
        <v>139</v>
      </c>
      <c r="C698" s="1085" t="s">
        <v>1721</v>
      </c>
      <c r="D698" s="404">
        <v>9</v>
      </c>
      <c r="E698" s="936" t="s">
        <v>5</v>
      </c>
      <c r="F698" s="414">
        <v>2880</v>
      </c>
      <c r="G698" s="414">
        <v>500</v>
      </c>
      <c r="H698" s="414">
        <f t="shared" si="56"/>
        <v>25920</v>
      </c>
      <c r="I698" s="414">
        <f t="shared" si="57"/>
        <v>4500</v>
      </c>
      <c r="J698" s="414">
        <f t="shared" si="58"/>
        <v>30420</v>
      </c>
      <c r="K698" s="414"/>
      <c r="L698" s="932"/>
      <c r="M698" s="407" t="s">
        <v>622</v>
      </c>
    </row>
    <row r="699" spans="1:13" s="922" customFormat="1">
      <c r="A699" s="935"/>
      <c r="B699" s="892" t="s">
        <v>139</v>
      </c>
      <c r="C699" s="1085" t="s">
        <v>1599</v>
      </c>
      <c r="D699" s="1109">
        <v>1</v>
      </c>
      <c r="E699" s="936" t="s">
        <v>105</v>
      </c>
      <c r="F699" s="414">
        <v>0</v>
      </c>
      <c r="G699" s="414">
        <v>0</v>
      </c>
      <c r="H699" s="414">
        <f t="shared" si="56"/>
        <v>0</v>
      </c>
      <c r="I699" s="414">
        <f t="shared" si="57"/>
        <v>0</v>
      </c>
      <c r="J699" s="414">
        <f t="shared" si="58"/>
        <v>0</v>
      </c>
      <c r="K699" s="414"/>
      <c r="L699" s="932"/>
      <c r="M699" s="407"/>
    </row>
    <row r="700" spans="1:13" s="922" customFormat="1">
      <c r="A700" s="935" t="s">
        <v>223</v>
      </c>
      <c r="B700" s="2464" t="s">
        <v>1613</v>
      </c>
      <c r="C700" s="2465"/>
      <c r="D700" s="404"/>
      <c r="E700" s="936"/>
      <c r="F700" s="414"/>
      <c r="G700" s="414"/>
      <c r="H700" s="414"/>
      <c r="I700" s="414"/>
      <c r="J700" s="414"/>
      <c r="K700" s="414"/>
      <c r="L700" s="932"/>
      <c r="M700" s="1077"/>
    </row>
    <row r="701" spans="1:13" s="922" customFormat="1">
      <c r="A701" s="935"/>
      <c r="B701" s="892" t="s">
        <v>139</v>
      </c>
      <c r="C701" s="1085" t="s">
        <v>154</v>
      </c>
      <c r="D701" s="404">
        <v>151</v>
      </c>
      <c r="E701" s="936" t="s">
        <v>5</v>
      </c>
      <c r="F701" s="414">
        <v>1420</v>
      </c>
      <c r="G701" s="414">
        <v>115</v>
      </c>
      <c r="H701" s="414">
        <f t="shared" ref="H701:H716" si="59">F701*D701</f>
        <v>214420</v>
      </c>
      <c r="I701" s="414">
        <f t="shared" ref="I701:I716" si="60">D701*G701</f>
        <v>17365</v>
      </c>
      <c r="J701" s="414">
        <f t="shared" ref="J701:J716" si="61">H701+I701</f>
        <v>231785</v>
      </c>
      <c r="K701" s="414"/>
      <c r="L701" s="932"/>
      <c r="M701" s="407" t="s">
        <v>622</v>
      </c>
    </row>
    <row r="702" spans="1:13" s="922" customFormat="1">
      <c r="A702" s="935"/>
      <c r="B702" s="892" t="s">
        <v>139</v>
      </c>
      <c r="C702" s="1085" t="s">
        <v>1615</v>
      </c>
      <c r="D702" s="404">
        <v>1</v>
      </c>
      <c r="E702" s="936" t="s">
        <v>5</v>
      </c>
      <c r="F702" s="414">
        <v>24500</v>
      </c>
      <c r="G702" s="414">
        <v>1500</v>
      </c>
      <c r="H702" s="414">
        <f t="shared" si="59"/>
        <v>24500</v>
      </c>
      <c r="I702" s="414">
        <f t="shared" si="60"/>
        <v>1500</v>
      </c>
      <c r="J702" s="414">
        <f t="shared" si="61"/>
        <v>26000</v>
      </c>
      <c r="K702" s="414"/>
      <c r="L702" s="932"/>
      <c r="M702" s="407" t="s">
        <v>622</v>
      </c>
    </row>
    <row r="703" spans="1:13" s="922" customFormat="1">
      <c r="A703" s="935"/>
      <c r="B703" s="892" t="s">
        <v>139</v>
      </c>
      <c r="C703" s="1085" t="s">
        <v>155</v>
      </c>
      <c r="D703" s="404">
        <v>152</v>
      </c>
      <c r="E703" s="936" t="s">
        <v>5</v>
      </c>
      <c r="F703" s="414">
        <v>1060</v>
      </c>
      <c r="G703" s="414">
        <v>115</v>
      </c>
      <c r="H703" s="414">
        <f t="shared" si="59"/>
        <v>161120</v>
      </c>
      <c r="I703" s="414">
        <f t="shared" si="60"/>
        <v>17480</v>
      </c>
      <c r="J703" s="414">
        <f t="shared" si="61"/>
        <v>178600</v>
      </c>
      <c r="K703" s="414"/>
      <c r="L703" s="932"/>
      <c r="M703" s="407" t="s">
        <v>622</v>
      </c>
    </row>
    <row r="704" spans="1:13" s="922" customFormat="1">
      <c r="A704" s="935"/>
      <c r="B704" s="892" t="s">
        <v>139</v>
      </c>
      <c r="C704" s="1085" t="s">
        <v>524</v>
      </c>
      <c r="D704" s="404">
        <v>1</v>
      </c>
      <c r="E704" s="936" t="s">
        <v>5</v>
      </c>
      <c r="F704" s="414">
        <v>1160</v>
      </c>
      <c r="G704" s="414">
        <v>115</v>
      </c>
      <c r="H704" s="414">
        <f t="shared" si="59"/>
        <v>1160</v>
      </c>
      <c r="I704" s="414">
        <f t="shared" si="60"/>
        <v>115</v>
      </c>
      <c r="J704" s="414">
        <f t="shared" si="61"/>
        <v>1275</v>
      </c>
      <c r="K704" s="414"/>
      <c r="L704" s="932"/>
      <c r="M704" s="407" t="s">
        <v>622</v>
      </c>
    </row>
    <row r="705" spans="1:13" s="922" customFormat="1">
      <c r="A705" s="935"/>
      <c r="B705" s="892" t="s">
        <v>139</v>
      </c>
      <c r="C705" s="1085" t="s">
        <v>156</v>
      </c>
      <c r="D705" s="404">
        <v>21</v>
      </c>
      <c r="E705" s="936" t="s">
        <v>5</v>
      </c>
      <c r="F705" s="414">
        <v>1560</v>
      </c>
      <c r="G705" s="414">
        <v>165</v>
      </c>
      <c r="H705" s="414">
        <f t="shared" si="59"/>
        <v>32760</v>
      </c>
      <c r="I705" s="414">
        <f t="shared" si="60"/>
        <v>3465</v>
      </c>
      <c r="J705" s="414">
        <f t="shared" si="61"/>
        <v>36225</v>
      </c>
      <c r="K705" s="414"/>
      <c r="L705" s="932"/>
      <c r="M705" s="407" t="s">
        <v>622</v>
      </c>
    </row>
    <row r="706" spans="1:13" s="922" customFormat="1">
      <c r="A706" s="935"/>
      <c r="B706" s="892" t="s">
        <v>139</v>
      </c>
      <c r="C706" s="1085" t="s">
        <v>525</v>
      </c>
      <c r="D706" s="404">
        <v>20</v>
      </c>
      <c r="E706" s="936" t="s">
        <v>5</v>
      </c>
      <c r="F706" s="414">
        <v>1450</v>
      </c>
      <c r="G706" s="414">
        <v>165</v>
      </c>
      <c r="H706" s="414">
        <f t="shared" si="59"/>
        <v>29000</v>
      </c>
      <c r="I706" s="414">
        <f t="shared" si="60"/>
        <v>3300</v>
      </c>
      <c r="J706" s="414">
        <f t="shared" si="61"/>
        <v>32300</v>
      </c>
      <c r="K706" s="414"/>
      <c r="L706" s="932"/>
      <c r="M706" s="407" t="s">
        <v>622</v>
      </c>
    </row>
    <row r="707" spans="1:13" s="922" customFormat="1">
      <c r="A707" s="935"/>
      <c r="B707" s="892" t="s">
        <v>139</v>
      </c>
      <c r="C707" s="1085" t="s">
        <v>1616</v>
      </c>
      <c r="D707" s="404">
        <v>21</v>
      </c>
      <c r="E707" s="936" t="s">
        <v>5</v>
      </c>
      <c r="F707" s="414">
        <v>1860</v>
      </c>
      <c r="G707" s="414">
        <v>165</v>
      </c>
      <c r="H707" s="414">
        <f t="shared" si="59"/>
        <v>39060</v>
      </c>
      <c r="I707" s="414">
        <f t="shared" si="60"/>
        <v>3465</v>
      </c>
      <c r="J707" s="414">
        <f t="shared" si="61"/>
        <v>42525</v>
      </c>
      <c r="K707" s="414"/>
      <c r="L707" s="932"/>
      <c r="M707" s="407" t="s">
        <v>622</v>
      </c>
    </row>
    <row r="708" spans="1:13" s="922" customFormat="1">
      <c r="A708" s="2183"/>
      <c r="B708" s="2183"/>
      <c r="C708" s="2183"/>
      <c r="D708" s="2184"/>
      <c r="E708" s="2185"/>
      <c r="F708" s="2185"/>
      <c r="G708" s="2185"/>
      <c r="H708" s="2185"/>
      <c r="I708" s="2185"/>
      <c r="J708" s="2185"/>
      <c r="K708" s="2185"/>
      <c r="L708" s="932"/>
      <c r="M708" s="407"/>
    </row>
    <row r="709" spans="1:13" s="922" customFormat="1">
      <c r="A709" s="2186"/>
      <c r="B709" s="2187"/>
      <c r="C709" s="2186" t="s">
        <v>133</v>
      </c>
      <c r="D709" s="2188"/>
      <c r="E709" s="418"/>
      <c r="F709" s="2189"/>
      <c r="G709" s="2189"/>
      <c r="H709" s="1277"/>
      <c r="I709" s="1277"/>
      <c r="J709" s="2188"/>
      <c r="K709" s="2188"/>
      <c r="L709" s="932"/>
      <c r="M709" s="407"/>
    </row>
    <row r="710" spans="1:13" s="922" customFormat="1">
      <c r="A710" s="1642"/>
      <c r="B710" s="1017"/>
      <c r="C710" s="2407" t="s">
        <v>1769</v>
      </c>
      <c r="D710" s="2407"/>
      <c r="E710" s="1017"/>
      <c r="F710" s="1017"/>
      <c r="G710" s="1017"/>
      <c r="H710" s="1017" t="s">
        <v>134</v>
      </c>
      <c r="I710" s="1017"/>
      <c r="J710" s="1017"/>
      <c r="K710" s="1017"/>
      <c r="L710" s="932"/>
      <c r="M710" s="407"/>
    </row>
    <row r="711" spans="1:13" s="922" customFormat="1">
      <c r="A711" s="1643"/>
      <c r="B711" s="419"/>
      <c r="C711" s="2408" t="s">
        <v>1970</v>
      </c>
      <c r="D711" s="2408"/>
      <c r="E711" s="419"/>
      <c r="F711" s="419"/>
      <c r="G711" s="419"/>
      <c r="H711" s="419" t="s">
        <v>1971</v>
      </c>
      <c r="I711" s="419"/>
      <c r="J711" s="419"/>
      <c r="K711" s="419"/>
      <c r="L711" s="932"/>
      <c r="M711" s="407"/>
    </row>
    <row r="712" spans="1:13" s="922" customFormat="1">
      <c r="A712" s="2188"/>
      <c r="B712" s="1017"/>
      <c r="C712" s="1017" t="s">
        <v>2031</v>
      </c>
      <c r="D712" s="2188"/>
      <c r="E712" s="419"/>
      <c r="F712" s="419"/>
      <c r="G712" s="419"/>
      <c r="H712" s="1017" t="s">
        <v>134</v>
      </c>
      <c r="I712" s="419"/>
      <c r="J712" s="419"/>
      <c r="K712" s="419"/>
      <c r="L712" s="932"/>
      <c r="M712" s="407"/>
    </row>
    <row r="713" spans="1:13" s="922" customFormat="1">
      <c r="A713" s="1017"/>
      <c r="B713" s="419"/>
      <c r="C713" s="419" t="s">
        <v>1984</v>
      </c>
      <c r="D713" s="2188"/>
      <c r="E713" s="1017"/>
      <c r="F713" s="1017"/>
      <c r="G713" s="1017"/>
      <c r="H713" s="419" t="s">
        <v>1985</v>
      </c>
      <c r="I713" s="1017"/>
      <c r="J713" s="1017"/>
      <c r="K713" s="1017"/>
      <c r="L713" s="932"/>
      <c r="M713" s="407"/>
    </row>
    <row r="714" spans="1:13" s="922" customFormat="1">
      <c r="A714" s="2190"/>
      <c r="B714" s="2190"/>
      <c r="C714" s="1017" t="s">
        <v>670</v>
      </c>
      <c r="D714" s="2191"/>
      <c r="E714" s="2192"/>
      <c r="F714" s="2193"/>
      <c r="G714" s="2194"/>
      <c r="H714" s="2194"/>
      <c r="I714" s="2194"/>
      <c r="J714" s="2194"/>
      <c r="K714" s="2194"/>
      <c r="L714" s="932"/>
      <c r="M714" s="407"/>
    </row>
    <row r="715" spans="1:13" s="922" customFormat="1">
      <c r="A715" s="2195"/>
      <c r="B715" s="2195"/>
      <c r="C715" s="2196" t="s">
        <v>1972</v>
      </c>
      <c r="D715" s="2197"/>
      <c r="E715" s="2198"/>
      <c r="F715" s="2199"/>
      <c r="G715" s="2200"/>
      <c r="H715" s="2200"/>
      <c r="I715" s="2200"/>
      <c r="J715" s="2200"/>
      <c r="K715" s="2200"/>
      <c r="L715" s="932"/>
      <c r="M715" s="407"/>
    </row>
    <row r="716" spans="1:13" s="922" customFormat="1">
      <c r="A716" s="935"/>
      <c r="B716" s="892" t="s">
        <v>139</v>
      </c>
      <c r="C716" s="1085" t="s">
        <v>526</v>
      </c>
      <c r="D716" s="404">
        <v>1</v>
      </c>
      <c r="E716" s="936" t="s">
        <v>5</v>
      </c>
      <c r="F716" s="414">
        <v>1580</v>
      </c>
      <c r="G716" s="414">
        <v>165</v>
      </c>
      <c r="H716" s="414">
        <f t="shared" si="59"/>
        <v>1580</v>
      </c>
      <c r="I716" s="414">
        <f t="shared" si="60"/>
        <v>165</v>
      </c>
      <c r="J716" s="414">
        <f t="shared" si="61"/>
        <v>1745</v>
      </c>
      <c r="K716" s="414"/>
      <c r="L716" s="932"/>
      <c r="M716" s="407" t="s">
        <v>622</v>
      </c>
    </row>
    <row r="717" spans="1:13" s="922" customFormat="1">
      <c r="A717" s="935" t="s">
        <v>224</v>
      </c>
      <c r="B717" s="2464" t="s">
        <v>1614</v>
      </c>
      <c r="C717" s="2465"/>
      <c r="D717" s="404"/>
      <c r="E717" s="936"/>
      <c r="F717" s="414"/>
      <c r="G717" s="414"/>
      <c r="H717" s="414"/>
      <c r="I717" s="414"/>
      <c r="J717" s="414"/>
      <c r="K717" s="414"/>
      <c r="L717" s="932"/>
      <c r="M717" s="1077"/>
    </row>
    <row r="718" spans="1:13" s="922" customFormat="1">
      <c r="A718" s="935"/>
      <c r="B718" s="2466" t="s">
        <v>1617</v>
      </c>
      <c r="C718" s="2467"/>
      <c r="D718" s="404"/>
      <c r="E718" s="936"/>
      <c r="F718" s="1116"/>
      <c r="G718" s="414"/>
      <c r="H718" s="414"/>
      <c r="I718" s="414"/>
      <c r="J718" s="414"/>
      <c r="K718" s="414"/>
      <c r="L718" s="932"/>
      <c r="M718" s="1077"/>
    </row>
    <row r="719" spans="1:13" s="922" customFormat="1">
      <c r="A719" s="935"/>
      <c r="B719" s="892" t="s">
        <v>139</v>
      </c>
      <c r="C719" s="1085" t="s">
        <v>1591</v>
      </c>
      <c r="D719" s="404">
        <f>60+9*9</f>
        <v>141</v>
      </c>
      <c r="E719" s="936" t="s">
        <v>84</v>
      </c>
      <c r="F719" s="414">
        <v>320</v>
      </c>
      <c r="G719" s="414">
        <v>30</v>
      </c>
      <c r="H719" s="414">
        <f>F719*D719</f>
        <v>45120</v>
      </c>
      <c r="I719" s="414">
        <f>D719*G719</f>
        <v>4230</v>
      </c>
      <c r="J719" s="414">
        <f>H719+I719</f>
        <v>49350</v>
      </c>
      <c r="K719" s="414"/>
      <c r="L719" s="932"/>
      <c r="M719" s="407" t="s">
        <v>642</v>
      </c>
    </row>
    <row r="720" spans="1:13" s="922" customFormat="1">
      <c r="A720" s="935"/>
      <c r="B720" s="892" t="s">
        <v>139</v>
      </c>
      <c r="C720" s="1085" t="s">
        <v>1521</v>
      </c>
      <c r="D720" s="404">
        <v>660</v>
      </c>
      <c r="E720" s="936" t="s">
        <v>84</v>
      </c>
      <c r="F720" s="414">
        <v>125</v>
      </c>
      <c r="G720" s="414">
        <v>28</v>
      </c>
      <c r="H720" s="414">
        <f>F720*D720</f>
        <v>82500</v>
      </c>
      <c r="I720" s="414">
        <f>D720*G720</f>
        <v>18480</v>
      </c>
      <c r="J720" s="414">
        <f>H720+I720</f>
        <v>100980</v>
      </c>
      <c r="K720" s="414"/>
      <c r="L720" s="932"/>
      <c r="M720" s="407" t="s">
        <v>642</v>
      </c>
    </row>
    <row r="721" spans="1:13" s="922" customFormat="1">
      <c r="A721" s="935"/>
      <c r="B721" s="892" t="s">
        <v>139</v>
      </c>
      <c r="C721" s="1115" t="s">
        <v>1524</v>
      </c>
      <c r="D721" s="404">
        <f>330+3900</f>
        <v>4230</v>
      </c>
      <c r="E721" s="936" t="s">
        <v>84</v>
      </c>
      <c r="F721" s="414">
        <v>44.33</v>
      </c>
      <c r="G721" s="414">
        <v>22</v>
      </c>
      <c r="H721" s="414">
        <f>F721*D721</f>
        <v>187515.9</v>
      </c>
      <c r="I721" s="414">
        <f>D721*G721</f>
        <v>93060</v>
      </c>
      <c r="J721" s="414">
        <f>H721+I721</f>
        <v>280575.90000000002</v>
      </c>
      <c r="K721" s="414"/>
      <c r="L721" s="932"/>
      <c r="M721" s="939" t="s">
        <v>642</v>
      </c>
    </row>
    <row r="722" spans="1:13" s="922" customFormat="1">
      <c r="A722" s="935"/>
      <c r="B722" s="892" t="s">
        <v>139</v>
      </c>
      <c r="C722" s="1085" t="s">
        <v>511</v>
      </c>
      <c r="D722" s="404">
        <v>300</v>
      </c>
      <c r="E722" s="936" t="s">
        <v>84</v>
      </c>
      <c r="F722" s="414">
        <v>12</v>
      </c>
      <c r="G722" s="414">
        <v>8</v>
      </c>
      <c r="H722" s="414">
        <f>F722*D722</f>
        <v>3600</v>
      </c>
      <c r="I722" s="414">
        <f>D722*G722</f>
        <v>2400</v>
      </c>
      <c r="J722" s="414">
        <f>H722+I722</f>
        <v>6000</v>
      </c>
      <c r="K722" s="414"/>
      <c r="L722" s="932"/>
      <c r="M722" s="939" t="s">
        <v>642</v>
      </c>
    </row>
    <row r="723" spans="1:13" s="922" customFormat="1">
      <c r="A723" s="935"/>
      <c r="B723" s="2466" t="s">
        <v>1618</v>
      </c>
      <c r="C723" s="2467"/>
      <c r="D723" s="404"/>
      <c r="E723" s="936"/>
      <c r="F723" s="1116"/>
      <c r="G723" s="414"/>
      <c r="H723" s="414"/>
      <c r="I723" s="414"/>
      <c r="J723" s="414"/>
      <c r="K723" s="414"/>
      <c r="L723" s="932"/>
      <c r="M723" s="1077"/>
    </row>
    <row r="724" spans="1:13" s="952" customFormat="1">
      <c r="A724" s="946"/>
      <c r="B724" s="1119" t="s">
        <v>139</v>
      </c>
      <c r="C724" s="1120" t="s">
        <v>1843</v>
      </c>
      <c r="D724" s="670">
        <v>1</v>
      </c>
      <c r="E724" s="945" t="s">
        <v>105</v>
      </c>
      <c r="F724" s="949">
        <f>SUM(H719:H722)*0.15</f>
        <v>47810.385000000002</v>
      </c>
      <c r="G724" s="949">
        <v>0</v>
      </c>
      <c r="H724" s="949">
        <f>F724*D724</f>
        <v>47810.385000000002</v>
      </c>
      <c r="I724" s="949">
        <f>D724*G724</f>
        <v>0</v>
      </c>
      <c r="J724" s="949">
        <f>H724+I724</f>
        <v>47810.385000000002</v>
      </c>
      <c r="K724" s="949"/>
      <c r="L724" s="950"/>
      <c r="M724" s="1121" t="s">
        <v>282</v>
      </c>
    </row>
    <row r="725" spans="1:13" s="922" customFormat="1">
      <c r="A725" s="935"/>
      <c r="B725" s="2466" t="s">
        <v>1619</v>
      </c>
      <c r="C725" s="2467"/>
      <c r="D725" s="404"/>
      <c r="E725" s="936"/>
      <c r="F725" s="1116"/>
      <c r="G725" s="414"/>
      <c r="H725" s="414"/>
      <c r="I725" s="414"/>
      <c r="J725" s="414"/>
      <c r="K725" s="414"/>
      <c r="L725" s="932"/>
      <c r="M725" s="1077"/>
    </row>
    <row r="726" spans="1:13" s="922" customFormat="1">
      <c r="A726" s="935"/>
      <c r="B726" s="892" t="s">
        <v>139</v>
      </c>
      <c r="C726" s="1122" t="s">
        <v>1621</v>
      </c>
      <c r="D726" s="404">
        <v>12200</v>
      </c>
      <c r="E726" s="936" t="s">
        <v>84</v>
      </c>
      <c r="F726" s="414">
        <v>7</v>
      </c>
      <c r="G726" s="414">
        <v>5</v>
      </c>
      <c r="H726" s="414">
        <f>F726*D726</f>
        <v>85400</v>
      </c>
      <c r="I726" s="414">
        <f>D726*G726</f>
        <v>61000</v>
      </c>
      <c r="J726" s="414">
        <f>H726+I726</f>
        <v>146400</v>
      </c>
      <c r="K726" s="414"/>
      <c r="L726" s="932"/>
      <c r="M726" s="939" t="s">
        <v>642</v>
      </c>
    </row>
    <row r="727" spans="1:13" s="922" customFormat="1">
      <c r="A727" s="935"/>
      <c r="B727" s="892" t="s">
        <v>139</v>
      </c>
      <c r="C727" s="1122" t="s">
        <v>1622</v>
      </c>
      <c r="D727" s="404">
        <v>400</v>
      </c>
      <c r="E727" s="936" t="s">
        <v>84</v>
      </c>
      <c r="F727" s="414">
        <v>72</v>
      </c>
      <c r="G727" s="414">
        <v>20</v>
      </c>
      <c r="H727" s="414">
        <f>F727*D727</f>
        <v>28800</v>
      </c>
      <c r="I727" s="414">
        <f>D727*G727</f>
        <v>8000</v>
      </c>
      <c r="J727" s="414">
        <f>H727+I727</f>
        <v>36800</v>
      </c>
      <c r="K727" s="414"/>
      <c r="L727" s="932"/>
      <c r="M727" s="939" t="s">
        <v>642</v>
      </c>
    </row>
    <row r="728" spans="1:13" s="922" customFormat="1">
      <c r="A728" s="935"/>
      <c r="B728" s="892" t="s">
        <v>139</v>
      </c>
      <c r="C728" s="1122" t="s">
        <v>1623</v>
      </c>
      <c r="D728" s="404">
        <f>300+700</f>
        <v>1000</v>
      </c>
      <c r="E728" s="936" t="s">
        <v>84</v>
      </c>
      <c r="F728" s="414">
        <v>84</v>
      </c>
      <c r="G728" s="414">
        <v>24</v>
      </c>
      <c r="H728" s="414">
        <f>F728*D728</f>
        <v>84000</v>
      </c>
      <c r="I728" s="414">
        <f>D728*G728</f>
        <v>24000</v>
      </c>
      <c r="J728" s="414">
        <f>H728+I728</f>
        <v>108000</v>
      </c>
      <c r="K728" s="414"/>
      <c r="L728" s="932"/>
      <c r="M728" s="939" t="s">
        <v>642</v>
      </c>
    </row>
    <row r="729" spans="1:13" s="922" customFormat="1">
      <c r="A729" s="935"/>
      <c r="B729" s="892" t="s">
        <v>139</v>
      </c>
      <c r="C729" s="1122" t="s">
        <v>1624</v>
      </c>
      <c r="D729" s="404">
        <v>300</v>
      </c>
      <c r="E729" s="936" t="s">
        <v>84</v>
      </c>
      <c r="F729" s="414">
        <v>94</v>
      </c>
      <c r="G729" s="414">
        <v>20</v>
      </c>
      <c r="H729" s="414">
        <f>F729*D729</f>
        <v>28200</v>
      </c>
      <c r="I729" s="414">
        <f>D729*G729</f>
        <v>6000</v>
      </c>
      <c r="J729" s="414">
        <f>H729+I729</f>
        <v>34200</v>
      </c>
      <c r="K729" s="414"/>
      <c r="L729" s="932"/>
      <c r="M729" s="939" t="s">
        <v>642</v>
      </c>
    </row>
    <row r="730" spans="1:13" s="922" customFormat="1">
      <c r="A730" s="935"/>
      <c r="B730" s="892" t="s">
        <v>139</v>
      </c>
      <c r="C730" s="1122" t="s">
        <v>1625</v>
      </c>
      <c r="D730" s="404">
        <v>400</v>
      </c>
      <c r="E730" s="936" t="s">
        <v>84</v>
      </c>
      <c r="F730" s="414">
        <v>7</v>
      </c>
      <c r="G730" s="414">
        <v>5</v>
      </c>
      <c r="H730" s="414">
        <f>F730*D730</f>
        <v>2800</v>
      </c>
      <c r="I730" s="414">
        <f>D730*G730</f>
        <v>2000</v>
      </c>
      <c r="J730" s="414">
        <f>H730+I730</f>
        <v>4800</v>
      </c>
      <c r="K730" s="414"/>
      <c r="L730" s="932"/>
      <c r="M730" s="939" t="s">
        <v>642</v>
      </c>
    </row>
    <row r="731" spans="1:13" s="922" customFormat="1">
      <c r="A731" s="935"/>
      <c r="B731" s="953" t="s">
        <v>1620</v>
      </c>
      <c r="C731" s="1085"/>
      <c r="D731" s="404"/>
      <c r="E731" s="936"/>
      <c r="F731" s="414"/>
      <c r="G731" s="414"/>
      <c r="H731" s="414"/>
      <c r="I731" s="414"/>
      <c r="J731" s="414"/>
      <c r="K731" s="414"/>
      <c r="L731" s="932"/>
      <c r="M731" s="1077"/>
    </row>
    <row r="732" spans="1:13" s="952" customFormat="1">
      <c r="A732" s="946"/>
      <c r="B732" s="947" t="s">
        <v>139</v>
      </c>
      <c r="C732" s="1120" t="s">
        <v>1842</v>
      </c>
      <c r="D732" s="670">
        <v>1</v>
      </c>
      <c r="E732" s="945" t="s">
        <v>105</v>
      </c>
      <c r="F732" s="949">
        <f>SUM(H726:H730)*0.05</f>
        <v>11460</v>
      </c>
      <c r="G732" s="949">
        <v>0</v>
      </c>
      <c r="H732" s="949">
        <f>F732*D732</f>
        <v>11460</v>
      </c>
      <c r="I732" s="949">
        <f>D732*G732</f>
        <v>0</v>
      </c>
      <c r="J732" s="949">
        <f>H732+I732</f>
        <v>11460</v>
      </c>
      <c r="K732" s="949"/>
      <c r="L732" s="950"/>
      <c r="M732" s="1121" t="s">
        <v>282</v>
      </c>
    </row>
    <row r="733" spans="1:13" s="922" customFormat="1">
      <c r="A733" s="935"/>
      <c r="B733" s="892"/>
      <c r="C733" s="1085"/>
      <c r="D733" s="404"/>
      <c r="E733" s="936"/>
      <c r="F733" s="414"/>
      <c r="G733" s="414"/>
      <c r="H733" s="414"/>
      <c r="I733" s="414"/>
      <c r="J733" s="414"/>
      <c r="K733" s="414"/>
      <c r="L733" s="932"/>
      <c r="M733" s="1077"/>
    </row>
    <row r="734" spans="1:13" s="968" customFormat="1" ht="24.75" thickBot="1">
      <c r="A734" s="962"/>
      <c r="B734" s="1092"/>
      <c r="C734" s="1093" t="str">
        <f>"รวมราคา "&amp;B686</f>
        <v>รวมราคา งานระบบแจ้งเหตุเพลิงไหม้</v>
      </c>
      <c r="D734" s="1094"/>
      <c r="E734" s="966"/>
      <c r="F734" s="966"/>
      <c r="G734" s="966"/>
      <c r="H734" s="966">
        <f>SUM(H686:H733)</f>
        <v>1841926.2849999999</v>
      </c>
      <c r="I734" s="966">
        <f>SUM(I686:I733)</f>
        <v>350425</v>
      </c>
      <c r="J734" s="966">
        <f>SUM(J686:J733)</f>
        <v>2192351.2850000001</v>
      </c>
      <c r="K734" s="966"/>
      <c r="L734" s="967"/>
      <c r="M734" s="1095"/>
    </row>
    <row r="735" spans="1:13" s="1445" customFormat="1" ht="24.75" thickTop="1">
      <c r="A735" s="1551">
        <v>4.1100000000000003</v>
      </c>
      <c r="B735" s="2509" t="s">
        <v>1626</v>
      </c>
      <c r="C735" s="2510"/>
      <c r="D735" s="985"/>
      <c r="E735" s="995"/>
      <c r="F735" s="996"/>
      <c r="G735" s="996"/>
      <c r="H735" s="996"/>
      <c r="I735" s="996"/>
      <c r="J735" s="996"/>
      <c r="K735" s="996"/>
      <c r="L735" s="1444"/>
      <c r="M735" s="1452"/>
    </row>
    <row r="736" spans="1:13" s="1443" customFormat="1">
      <c r="A736" s="1552" t="s">
        <v>320</v>
      </c>
      <c r="B736" s="2511" t="s">
        <v>1627</v>
      </c>
      <c r="C736" s="2512"/>
      <c r="D736" s="406"/>
      <c r="E736" s="934"/>
      <c r="F736" s="449"/>
      <c r="G736" s="449"/>
      <c r="H736" s="449"/>
      <c r="I736" s="449"/>
      <c r="J736" s="449"/>
      <c r="K736" s="449"/>
      <c r="L736" s="1442"/>
      <c r="M736" s="1453"/>
    </row>
    <row r="737" spans="1:13" s="1460" customFormat="1">
      <c r="A737" s="1553"/>
      <c r="B737" s="1554" t="s">
        <v>139</v>
      </c>
      <c r="C737" s="1559" t="s">
        <v>272</v>
      </c>
      <c r="D737" s="404">
        <v>1</v>
      </c>
      <c r="E737" s="936" t="s">
        <v>5</v>
      </c>
      <c r="F737" s="414">
        <v>52000</v>
      </c>
      <c r="G737" s="414">
        <v>0</v>
      </c>
      <c r="H737" s="414">
        <f t="shared" ref="H737:H757" si="62">F737*D737</f>
        <v>52000</v>
      </c>
      <c r="I737" s="414">
        <f t="shared" ref="I737:I757" si="63">D737*G737</f>
        <v>0</v>
      </c>
      <c r="J737" s="414">
        <f t="shared" ref="J737:J757" si="64">H737+I737</f>
        <v>52000</v>
      </c>
      <c r="K737" s="414"/>
      <c r="L737" s="1458"/>
      <c r="M737" s="1459" t="s">
        <v>622</v>
      </c>
    </row>
    <row r="738" spans="1:13" s="1460" customFormat="1">
      <c r="A738" s="1553"/>
      <c r="B738" s="1554" t="s">
        <v>139</v>
      </c>
      <c r="C738" s="1597" t="s">
        <v>527</v>
      </c>
      <c r="D738" s="404">
        <v>1</v>
      </c>
      <c r="E738" s="936" t="s">
        <v>5</v>
      </c>
      <c r="F738" s="414">
        <v>8900</v>
      </c>
      <c r="G738" s="414">
        <v>0</v>
      </c>
      <c r="H738" s="414">
        <f t="shared" si="62"/>
        <v>8900</v>
      </c>
      <c r="I738" s="414">
        <f t="shared" si="63"/>
        <v>0</v>
      </c>
      <c r="J738" s="414">
        <f t="shared" si="64"/>
        <v>8900</v>
      </c>
      <c r="K738" s="414"/>
      <c r="L738" s="1458"/>
      <c r="M738" s="1459" t="s">
        <v>622</v>
      </c>
    </row>
    <row r="739" spans="1:13" s="1460" customFormat="1">
      <c r="A739" s="2183"/>
      <c r="B739" s="2183"/>
      <c r="C739" s="2183"/>
      <c r="D739" s="2184"/>
      <c r="E739" s="2185"/>
      <c r="F739" s="2185"/>
      <c r="G739" s="2185"/>
      <c r="H739" s="2185"/>
      <c r="I739" s="2185"/>
      <c r="J739" s="2185"/>
      <c r="K739" s="2185"/>
      <c r="L739" s="1458"/>
      <c r="M739" s="1459"/>
    </row>
    <row r="740" spans="1:13" s="1460" customFormat="1">
      <c r="A740" s="2186"/>
      <c r="B740" s="2187"/>
      <c r="C740" s="2186" t="s">
        <v>133</v>
      </c>
      <c r="D740" s="2188"/>
      <c r="E740" s="418"/>
      <c r="F740" s="2189"/>
      <c r="G740" s="2189"/>
      <c r="H740" s="1277"/>
      <c r="I740" s="1277"/>
      <c r="J740" s="2188"/>
      <c r="K740" s="2188"/>
      <c r="L740" s="1458"/>
      <c r="M740" s="1459"/>
    </row>
    <row r="741" spans="1:13" s="1460" customFormat="1">
      <c r="A741" s="1642"/>
      <c r="B741" s="1017"/>
      <c r="C741" s="2407" t="s">
        <v>1769</v>
      </c>
      <c r="D741" s="2407"/>
      <c r="E741" s="1017"/>
      <c r="F741" s="1017"/>
      <c r="G741" s="1017"/>
      <c r="H741" s="1017" t="s">
        <v>134</v>
      </c>
      <c r="I741" s="1017"/>
      <c r="J741" s="1017"/>
      <c r="K741" s="1017"/>
      <c r="L741" s="1458"/>
      <c r="M741" s="1459"/>
    </row>
    <row r="742" spans="1:13" s="1460" customFormat="1">
      <c r="A742" s="1643"/>
      <c r="B742" s="419"/>
      <c r="C742" s="2408" t="s">
        <v>1970</v>
      </c>
      <c r="D742" s="2408"/>
      <c r="E742" s="419"/>
      <c r="F742" s="419"/>
      <c r="G742" s="419"/>
      <c r="H742" s="419" t="s">
        <v>1971</v>
      </c>
      <c r="I742" s="419"/>
      <c r="J742" s="419"/>
      <c r="K742" s="419"/>
      <c r="L742" s="1458"/>
      <c r="M742" s="1459"/>
    </row>
    <row r="743" spans="1:13" s="1460" customFormat="1">
      <c r="A743" s="2188"/>
      <c r="B743" s="1017"/>
      <c r="C743" s="1017" t="s">
        <v>2031</v>
      </c>
      <c r="D743" s="2188"/>
      <c r="E743" s="419"/>
      <c r="F743" s="419"/>
      <c r="G743" s="419"/>
      <c r="H743" s="1017" t="s">
        <v>134</v>
      </c>
      <c r="I743" s="419"/>
      <c r="J743" s="419"/>
      <c r="K743" s="419"/>
      <c r="L743" s="1458"/>
      <c r="M743" s="1459"/>
    </row>
    <row r="744" spans="1:13" s="1460" customFormat="1">
      <c r="A744" s="1017"/>
      <c r="B744" s="419"/>
      <c r="C744" s="419" t="s">
        <v>1984</v>
      </c>
      <c r="D744" s="2188"/>
      <c r="E744" s="1017"/>
      <c r="F744" s="1017"/>
      <c r="G744" s="1017"/>
      <c r="H744" s="419" t="s">
        <v>1985</v>
      </c>
      <c r="I744" s="1017"/>
      <c r="J744" s="1017"/>
      <c r="K744" s="1017"/>
      <c r="L744" s="1458"/>
      <c r="M744" s="1459"/>
    </row>
    <row r="745" spans="1:13" s="1460" customFormat="1">
      <c r="A745" s="2190"/>
      <c r="B745" s="2190"/>
      <c r="C745" s="1017" t="s">
        <v>670</v>
      </c>
      <c r="D745" s="2191"/>
      <c r="E745" s="2192"/>
      <c r="F745" s="2193"/>
      <c r="G745" s="2194"/>
      <c r="H745" s="2194"/>
      <c r="I745" s="2194"/>
      <c r="J745" s="2194"/>
      <c r="K745" s="2194"/>
      <c r="L745" s="1458"/>
      <c r="M745" s="1459"/>
    </row>
    <row r="746" spans="1:13" s="1460" customFormat="1">
      <c r="A746" s="2195"/>
      <c r="B746" s="2195"/>
      <c r="C746" s="2196" t="s">
        <v>1972</v>
      </c>
      <c r="D746" s="2197"/>
      <c r="E746" s="2198"/>
      <c r="F746" s="2199"/>
      <c r="G746" s="2200"/>
      <c r="H746" s="2200"/>
      <c r="I746" s="2200"/>
      <c r="J746" s="2200"/>
      <c r="K746" s="2200"/>
      <c r="L746" s="1458"/>
      <c r="M746" s="1459"/>
    </row>
    <row r="747" spans="1:13" s="1460" customFormat="1">
      <c r="A747" s="1553"/>
      <c r="B747" s="1554" t="s">
        <v>139</v>
      </c>
      <c r="C747" s="1559" t="s">
        <v>528</v>
      </c>
      <c r="D747" s="404">
        <v>1</v>
      </c>
      <c r="E747" s="936" t="s">
        <v>5</v>
      </c>
      <c r="F747" s="414">
        <v>3800</v>
      </c>
      <c r="G747" s="414">
        <v>0</v>
      </c>
      <c r="H747" s="414">
        <f t="shared" si="62"/>
        <v>3800</v>
      </c>
      <c r="I747" s="414">
        <f t="shared" si="63"/>
        <v>0</v>
      </c>
      <c r="J747" s="414">
        <f t="shared" si="64"/>
        <v>3800</v>
      </c>
      <c r="K747" s="414"/>
      <c r="L747" s="1458"/>
      <c r="M747" s="1459" t="s">
        <v>622</v>
      </c>
    </row>
    <row r="748" spans="1:13" s="1460" customFormat="1">
      <c r="A748" s="1553"/>
      <c r="B748" s="1554" t="s">
        <v>139</v>
      </c>
      <c r="C748" s="1559" t="s">
        <v>39</v>
      </c>
      <c r="D748" s="404">
        <f>4+7</f>
        <v>11</v>
      </c>
      <c r="E748" s="936" t="s">
        <v>5</v>
      </c>
      <c r="F748" s="414">
        <v>26500</v>
      </c>
      <c r="G748" s="414">
        <v>0</v>
      </c>
      <c r="H748" s="414">
        <f t="shared" si="62"/>
        <v>291500</v>
      </c>
      <c r="I748" s="414">
        <f t="shared" si="63"/>
        <v>0</v>
      </c>
      <c r="J748" s="414">
        <f t="shared" si="64"/>
        <v>291500</v>
      </c>
      <c r="K748" s="414"/>
      <c r="L748" s="1458"/>
      <c r="M748" s="1459" t="s">
        <v>622</v>
      </c>
    </row>
    <row r="749" spans="1:13" s="1460" customFormat="1">
      <c r="A749" s="1553"/>
      <c r="B749" s="1554" t="s">
        <v>139</v>
      </c>
      <c r="C749" s="1559" t="s">
        <v>529</v>
      </c>
      <c r="D749" s="404">
        <v>11</v>
      </c>
      <c r="E749" s="936" t="s">
        <v>5</v>
      </c>
      <c r="F749" s="414">
        <v>24500</v>
      </c>
      <c r="G749" s="414">
        <v>0</v>
      </c>
      <c r="H749" s="414">
        <f t="shared" si="62"/>
        <v>269500</v>
      </c>
      <c r="I749" s="414">
        <f t="shared" si="63"/>
        <v>0</v>
      </c>
      <c r="J749" s="414">
        <f t="shared" si="64"/>
        <v>269500</v>
      </c>
      <c r="K749" s="414"/>
      <c r="L749" s="1458"/>
      <c r="M749" s="1459" t="s">
        <v>622</v>
      </c>
    </row>
    <row r="750" spans="1:13" s="1460" customFormat="1">
      <c r="A750" s="1553"/>
      <c r="B750" s="1554" t="s">
        <v>139</v>
      </c>
      <c r="C750" s="1559" t="s">
        <v>530</v>
      </c>
      <c r="D750" s="404">
        <v>11</v>
      </c>
      <c r="E750" s="936" t="s">
        <v>5</v>
      </c>
      <c r="F750" s="414">
        <v>800</v>
      </c>
      <c r="G750" s="414">
        <v>0</v>
      </c>
      <c r="H750" s="414">
        <f t="shared" si="62"/>
        <v>8800</v>
      </c>
      <c r="I750" s="414">
        <f t="shared" si="63"/>
        <v>0</v>
      </c>
      <c r="J750" s="414">
        <f t="shared" si="64"/>
        <v>8800</v>
      </c>
      <c r="K750" s="414"/>
      <c r="L750" s="1458"/>
      <c r="M750" s="1459" t="s">
        <v>622</v>
      </c>
    </row>
    <row r="751" spans="1:13" s="1460" customFormat="1">
      <c r="A751" s="1553"/>
      <c r="B751" s="1554" t="s">
        <v>139</v>
      </c>
      <c r="C751" s="1559" t="s">
        <v>531</v>
      </c>
      <c r="D751" s="404">
        <f>8+7</f>
        <v>15</v>
      </c>
      <c r="E751" s="936" t="s">
        <v>5</v>
      </c>
      <c r="F751" s="414">
        <v>3500</v>
      </c>
      <c r="G751" s="414">
        <v>0</v>
      </c>
      <c r="H751" s="414">
        <f t="shared" si="62"/>
        <v>52500</v>
      </c>
      <c r="I751" s="414">
        <f t="shared" si="63"/>
        <v>0</v>
      </c>
      <c r="J751" s="414">
        <f t="shared" si="64"/>
        <v>52500</v>
      </c>
      <c r="K751" s="414"/>
      <c r="L751" s="1458"/>
      <c r="M751" s="1459" t="s">
        <v>622</v>
      </c>
    </row>
    <row r="752" spans="1:13" s="1460" customFormat="1">
      <c r="A752" s="1553"/>
      <c r="B752" s="1554" t="s">
        <v>139</v>
      </c>
      <c r="C752" s="1559" t="s">
        <v>532</v>
      </c>
      <c r="D752" s="404">
        <v>11</v>
      </c>
      <c r="E752" s="936" t="s">
        <v>5</v>
      </c>
      <c r="F752" s="414">
        <v>950</v>
      </c>
      <c r="G752" s="414">
        <v>0</v>
      </c>
      <c r="H752" s="414">
        <f t="shared" si="62"/>
        <v>10450</v>
      </c>
      <c r="I752" s="414">
        <f t="shared" si="63"/>
        <v>0</v>
      </c>
      <c r="J752" s="414">
        <f t="shared" si="64"/>
        <v>10450</v>
      </c>
      <c r="K752" s="414"/>
      <c r="L752" s="1458"/>
      <c r="M752" s="1459" t="s">
        <v>622</v>
      </c>
    </row>
    <row r="753" spans="1:13" s="1460" customFormat="1">
      <c r="A753" s="1553"/>
      <c r="B753" s="1554" t="s">
        <v>139</v>
      </c>
      <c r="C753" s="1559" t="s">
        <v>533</v>
      </c>
      <c r="D753" s="404">
        <v>11</v>
      </c>
      <c r="E753" s="936" t="s">
        <v>5</v>
      </c>
      <c r="F753" s="414">
        <v>650</v>
      </c>
      <c r="G753" s="414">
        <v>0</v>
      </c>
      <c r="H753" s="414">
        <f t="shared" si="62"/>
        <v>7150</v>
      </c>
      <c r="I753" s="414">
        <f t="shared" si="63"/>
        <v>0</v>
      </c>
      <c r="J753" s="414">
        <f t="shared" si="64"/>
        <v>7150</v>
      </c>
      <c r="K753" s="414"/>
      <c r="L753" s="1458"/>
      <c r="M753" s="1459" t="s">
        <v>622</v>
      </c>
    </row>
    <row r="754" spans="1:13" s="1460" customFormat="1">
      <c r="A754" s="1553"/>
      <c r="B754" s="1554" t="s">
        <v>139</v>
      </c>
      <c r="C754" s="1559" t="s">
        <v>534</v>
      </c>
      <c r="D754" s="404">
        <v>11</v>
      </c>
      <c r="E754" s="936" t="s">
        <v>5</v>
      </c>
      <c r="F754" s="414">
        <v>15000</v>
      </c>
      <c r="G754" s="414">
        <v>0</v>
      </c>
      <c r="H754" s="414">
        <f t="shared" si="62"/>
        <v>165000</v>
      </c>
      <c r="I754" s="414">
        <f t="shared" si="63"/>
        <v>0</v>
      </c>
      <c r="J754" s="414">
        <f t="shared" si="64"/>
        <v>165000</v>
      </c>
      <c r="K754" s="414"/>
      <c r="L754" s="1458"/>
      <c r="M754" s="1459" t="s">
        <v>622</v>
      </c>
    </row>
    <row r="755" spans="1:13" s="1460" customFormat="1">
      <c r="A755" s="1553"/>
      <c r="B755" s="1554" t="s">
        <v>139</v>
      </c>
      <c r="C755" s="1559" t="s">
        <v>128</v>
      </c>
      <c r="D755" s="404">
        <v>1200</v>
      </c>
      <c r="E755" s="936" t="s">
        <v>5</v>
      </c>
      <c r="F755" s="414">
        <v>200</v>
      </c>
      <c r="G755" s="414">
        <v>0</v>
      </c>
      <c r="H755" s="414">
        <f t="shared" si="62"/>
        <v>240000</v>
      </c>
      <c r="I755" s="414">
        <f t="shared" si="63"/>
        <v>0</v>
      </c>
      <c r="J755" s="414">
        <f t="shared" si="64"/>
        <v>240000</v>
      </c>
      <c r="K755" s="414"/>
      <c r="L755" s="1458"/>
      <c r="M755" s="1459" t="s">
        <v>622</v>
      </c>
    </row>
    <row r="756" spans="1:13" s="1460" customFormat="1">
      <c r="A756" s="1553"/>
      <c r="B756" s="1554" t="s">
        <v>139</v>
      </c>
      <c r="C756" s="1559" t="s">
        <v>40</v>
      </c>
      <c r="D756" s="404">
        <v>1</v>
      </c>
      <c r="E756" s="936" t="s">
        <v>5</v>
      </c>
      <c r="F756" s="414">
        <v>100000</v>
      </c>
      <c r="G756" s="414">
        <v>0</v>
      </c>
      <c r="H756" s="414">
        <f t="shared" si="62"/>
        <v>100000</v>
      </c>
      <c r="I756" s="414">
        <f t="shared" si="63"/>
        <v>0</v>
      </c>
      <c r="J756" s="414">
        <f t="shared" si="64"/>
        <v>100000</v>
      </c>
      <c r="K756" s="414"/>
      <c r="L756" s="1458"/>
      <c r="M756" s="1459" t="s">
        <v>622</v>
      </c>
    </row>
    <row r="757" spans="1:13" s="1460" customFormat="1">
      <c r="A757" s="1553"/>
      <c r="B757" s="1554" t="s">
        <v>139</v>
      </c>
      <c r="C757" s="1559" t="s">
        <v>1599</v>
      </c>
      <c r="D757" s="1109">
        <v>1</v>
      </c>
      <c r="E757" s="936" t="s">
        <v>105</v>
      </c>
      <c r="F757" s="414">
        <v>0</v>
      </c>
      <c r="G757" s="414">
        <v>25000</v>
      </c>
      <c r="H757" s="414">
        <f t="shared" si="62"/>
        <v>0</v>
      </c>
      <c r="I757" s="414">
        <f t="shared" si="63"/>
        <v>25000</v>
      </c>
      <c r="J757" s="414">
        <f t="shared" si="64"/>
        <v>25000</v>
      </c>
      <c r="K757" s="414"/>
      <c r="L757" s="1458"/>
      <c r="M757" s="1459"/>
    </row>
    <row r="758" spans="1:13" s="1443" customFormat="1">
      <c r="A758" s="1553" t="s">
        <v>321</v>
      </c>
      <c r="B758" s="2478" t="s">
        <v>1628</v>
      </c>
      <c r="C758" s="2479"/>
      <c r="D758" s="404"/>
      <c r="E758" s="936"/>
      <c r="F758" s="414"/>
      <c r="G758" s="414"/>
      <c r="H758" s="414"/>
      <c r="I758" s="414"/>
      <c r="J758" s="414"/>
      <c r="K758" s="414"/>
      <c r="L758" s="1442"/>
      <c r="M758" s="1441"/>
    </row>
    <row r="759" spans="1:13" s="1443" customFormat="1">
      <c r="A759" s="1553"/>
      <c r="B759" s="2472" t="s">
        <v>1629</v>
      </c>
      <c r="C759" s="2473"/>
      <c r="D759" s="404"/>
      <c r="E759" s="936"/>
      <c r="F759" s="1116"/>
      <c r="G759" s="414"/>
      <c r="H759" s="414"/>
      <c r="I759" s="414"/>
      <c r="J759" s="414"/>
      <c r="K759" s="414"/>
      <c r="L759" s="1442"/>
      <c r="M759" s="1441"/>
    </row>
    <row r="760" spans="1:13" s="1443" customFormat="1">
      <c r="A760" s="1553"/>
      <c r="B760" s="1554" t="s">
        <v>139</v>
      </c>
      <c r="C760" s="1555" t="s">
        <v>1524</v>
      </c>
      <c r="D760" s="404">
        <v>1200</v>
      </c>
      <c r="E760" s="936" t="s">
        <v>84</v>
      </c>
      <c r="F760" s="414">
        <v>44.33</v>
      </c>
      <c r="G760" s="414">
        <v>22</v>
      </c>
      <c r="H760" s="414">
        <f>F760*D760</f>
        <v>53196</v>
      </c>
      <c r="I760" s="414">
        <f>D760*G760</f>
        <v>26400</v>
      </c>
      <c r="J760" s="414">
        <f>H760+I760</f>
        <v>79596</v>
      </c>
      <c r="K760" s="414"/>
      <c r="L760" s="1442"/>
      <c r="M760" s="1446" t="s">
        <v>642</v>
      </c>
    </row>
    <row r="761" spans="1:13" s="1443" customFormat="1">
      <c r="A761" s="1553"/>
      <c r="B761" s="2472" t="s">
        <v>1630</v>
      </c>
      <c r="C761" s="2473"/>
      <c r="D761" s="404"/>
      <c r="E761" s="936"/>
      <c r="F761" s="1116"/>
      <c r="G761" s="414"/>
      <c r="H761" s="414"/>
      <c r="I761" s="414"/>
      <c r="J761" s="414"/>
      <c r="K761" s="414"/>
      <c r="L761" s="1442"/>
      <c r="M761" s="1441"/>
    </row>
    <row r="762" spans="1:13" s="1456" customFormat="1">
      <c r="A762" s="1556"/>
      <c r="B762" s="1119" t="s">
        <v>139</v>
      </c>
      <c r="C762" s="1557" t="s">
        <v>1843</v>
      </c>
      <c r="D762" s="670">
        <v>1</v>
      </c>
      <c r="E762" s="945" t="s">
        <v>105</v>
      </c>
      <c r="F762" s="949">
        <f>SUM(H760:H761)*0.15</f>
        <v>7979.4</v>
      </c>
      <c r="G762" s="949">
        <v>0</v>
      </c>
      <c r="H762" s="949">
        <f>F762*D762</f>
        <v>7979.4</v>
      </c>
      <c r="I762" s="949">
        <f>D762*G762</f>
        <v>0</v>
      </c>
      <c r="J762" s="949">
        <f>H762+I762</f>
        <v>7979.4</v>
      </c>
      <c r="K762" s="949"/>
      <c r="L762" s="1454"/>
      <c r="M762" s="1455" t="s">
        <v>282</v>
      </c>
    </row>
    <row r="763" spans="1:13" s="1443" customFormat="1">
      <c r="A763" s="1553"/>
      <c r="B763" s="2472" t="s">
        <v>1631</v>
      </c>
      <c r="C763" s="2473"/>
      <c r="D763" s="404"/>
      <c r="E763" s="936"/>
      <c r="F763" s="1116"/>
      <c r="G763" s="414"/>
      <c r="H763" s="414"/>
      <c r="I763" s="414"/>
      <c r="J763" s="414"/>
      <c r="K763" s="414"/>
      <c r="L763" s="1442"/>
      <c r="M763" s="1441"/>
    </row>
    <row r="764" spans="1:13" s="1443" customFormat="1">
      <c r="A764" s="1553"/>
      <c r="B764" s="1554" t="s">
        <v>139</v>
      </c>
      <c r="C764" s="1558" t="s">
        <v>1364</v>
      </c>
      <c r="D764" s="404">
        <v>1200</v>
      </c>
      <c r="E764" s="936" t="s">
        <v>84</v>
      </c>
      <c r="F764" s="414">
        <v>11.4</v>
      </c>
      <c r="G764" s="414">
        <v>7</v>
      </c>
      <c r="H764" s="414">
        <f>F764*D764</f>
        <v>13680</v>
      </c>
      <c r="I764" s="414">
        <f>D764*G764</f>
        <v>8400</v>
      </c>
      <c r="J764" s="414">
        <f>H764+I764</f>
        <v>22080</v>
      </c>
      <c r="K764" s="414"/>
      <c r="L764" s="1442"/>
      <c r="M764" s="1446" t="s">
        <v>642</v>
      </c>
    </row>
    <row r="765" spans="1:13" s="1443" customFormat="1">
      <c r="A765" s="1553"/>
      <c r="B765" s="1554" t="s">
        <v>139</v>
      </c>
      <c r="C765" s="1558" t="s">
        <v>1522</v>
      </c>
      <c r="D765" s="404">
        <v>600</v>
      </c>
      <c r="E765" s="936" t="s">
        <v>84</v>
      </c>
      <c r="F765" s="414">
        <v>7.7</v>
      </c>
      <c r="G765" s="414">
        <v>5</v>
      </c>
      <c r="H765" s="414">
        <f>F765*D765</f>
        <v>4620</v>
      </c>
      <c r="I765" s="414">
        <f>D765*G765</f>
        <v>3000</v>
      </c>
      <c r="J765" s="414">
        <f>H765+I765</f>
        <v>7620</v>
      </c>
      <c r="K765" s="414"/>
      <c r="L765" s="1442"/>
      <c r="M765" s="1446" t="s">
        <v>642</v>
      </c>
    </row>
    <row r="766" spans="1:13" s="1443" customFormat="1">
      <c r="A766" s="1553"/>
      <c r="B766" s="1554" t="s">
        <v>139</v>
      </c>
      <c r="C766" s="1558" t="s">
        <v>1365</v>
      </c>
      <c r="D766" s="404">
        <v>400</v>
      </c>
      <c r="E766" s="936" t="s">
        <v>84</v>
      </c>
      <c r="F766" s="414">
        <v>16</v>
      </c>
      <c r="G766" s="414">
        <v>7</v>
      </c>
      <c r="H766" s="414">
        <f>F766*D766</f>
        <v>6400</v>
      </c>
      <c r="I766" s="414">
        <f>D766*G766</f>
        <v>2800</v>
      </c>
      <c r="J766" s="414">
        <f>H766+I766</f>
        <v>9200</v>
      </c>
      <c r="K766" s="414"/>
      <c r="L766" s="1442"/>
      <c r="M766" s="1446" t="s">
        <v>642</v>
      </c>
    </row>
    <row r="767" spans="1:13" s="1443" customFormat="1">
      <c r="A767" s="1553"/>
      <c r="B767" s="1554" t="s">
        <v>139</v>
      </c>
      <c r="C767" s="1559" t="s">
        <v>520</v>
      </c>
      <c r="D767" s="404">
        <v>600</v>
      </c>
      <c r="E767" s="936" t="s">
        <v>84</v>
      </c>
      <c r="F767" s="414">
        <v>18</v>
      </c>
      <c r="G767" s="414">
        <v>8</v>
      </c>
      <c r="H767" s="414">
        <f>F767*D767</f>
        <v>10800</v>
      </c>
      <c r="I767" s="414">
        <f>D767*G767</f>
        <v>4800</v>
      </c>
      <c r="J767" s="414">
        <f>H767+I767</f>
        <v>15600</v>
      </c>
      <c r="K767" s="414"/>
      <c r="L767" s="1442"/>
      <c r="M767" s="1446" t="s">
        <v>642</v>
      </c>
    </row>
    <row r="768" spans="1:13" s="1443" customFormat="1">
      <c r="A768" s="2183"/>
      <c r="B768" s="2183"/>
      <c r="C768" s="2183"/>
      <c r="D768" s="2184"/>
      <c r="E768" s="2185"/>
      <c r="F768" s="2185"/>
      <c r="G768" s="2185"/>
      <c r="H768" s="2185"/>
      <c r="I768" s="2185"/>
      <c r="J768" s="2185"/>
      <c r="K768" s="2185"/>
      <c r="L768" s="1442"/>
      <c r="M768" s="1446"/>
    </row>
    <row r="769" spans="1:13" s="1443" customFormat="1">
      <c r="A769" s="2186"/>
      <c r="B769" s="2187"/>
      <c r="C769" s="2186" t="s">
        <v>133</v>
      </c>
      <c r="D769" s="2188"/>
      <c r="E769" s="418"/>
      <c r="F769" s="2189"/>
      <c r="G769" s="2189"/>
      <c r="H769" s="1277"/>
      <c r="I769" s="1277"/>
      <c r="J769" s="2188"/>
      <c r="K769" s="2188"/>
      <c r="L769" s="1442"/>
      <c r="M769" s="1446"/>
    </row>
    <row r="770" spans="1:13" s="1443" customFormat="1">
      <c r="A770" s="1642"/>
      <c r="B770" s="1017"/>
      <c r="C770" s="2407" t="s">
        <v>1769</v>
      </c>
      <c r="D770" s="2407"/>
      <c r="E770" s="1017"/>
      <c r="F770" s="1017"/>
      <c r="G770" s="1017"/>
      <c r="H770" s="1017" t="s">
        <v>134</v>
      </c>
      <c r="I770" s="1017"/>
      <c r="J770" s="1017"/>
      <c r="K770" s="1017"/>
      <c r="L770" s="1442"/>
      <c r="M770" s="1446"/>
    </row>
    <row r="771" spans="1:13" s="1443" customFormat="1">
      <c r="A771" s="1643"/>
      <c r="B771" s="419"/>
      <c r="C771" s="2408" t="s">
        <v>1970</v>
      </c>
      <c r="D771" s="2408"/>
      <c r="E771" s="419"/>
      <c r="F771" s="419"/>
      <c r="G771" s="419"/>
      <c r="H771" s="419" t="s">
        <v>1971</v>
      </c>
      <c r="I771" s="419"/>
      <c r="J771" s="419"/>
      <c r="K771" s="419"/>
      <c r="L771" s="1442"/>
      <c r="M771" s="1446"/>
    </row>
    <row r="772" spans="1:13" s="1443" customFormat="1">
      <c r="A772" s="2188"/>
      <c r="B772" s="1017"/>
      <c r="C772" s="1017" t="s">
        <v>2031</v>
      </c>
      <c r="D772" s="2188"/>
      <c r="E772" s="419"/>
      <c r="F772" s="419"/>
      <c r="G772" s="419"/>
      <c r="H772" s="1017" t="s">
        <v>134</v>
      </c>
      <c r="I772" s="419"/>
      <c r="J772" s="419"/>
      <c r="K772" s="419"/>
      <c r="L772" s="1442"/>
      <c r="M772" s="1446"/>
    </row>
    <row r="773" spans="1:13" s="1443" customFormat="1">
      <c r="A773" s="1017"/>
      <c r="B773" s="419"/>
      <c r="C773" s="419" t="s">
        <v>1984</v>
      </c>
      <c r="D773" s="2188"/>
      <c r="E773" s="1017"/>
      <c r="F773" s="1017"/>
      <c r="G773" s="1017"/>
      <c r="H773" s="419" t="s">
        <v>1985</v>
      </c>
      <c r="I773" s="1017"/>
      <c r="J773" s="1017"/>
      <c r="K773" s="1017"/>
      <c r="L773" s="1442"/>
      <c r="M773" s="1446"/>
    </row>
    <row r="774" spans="1:13" s="1443" customFormat="1">
      <c r="A774" s="2190"/>
      <c r="B774" s="2190"/>
      <c r="C774" s="1017" t="s">
        <v>670</v>
      </c>
      <c r="D774" s="2191"/>
      <c r="E774" s="2192"/>
      <c r="F774" s="2193"/>
      <c r="G774" s="2194"/>
      <c r="H774" s="2194"/>
      <c r="I774" s="2194"/>
      <c r="J774" s="2194"/>
      <c r="K774" s="2194"/>
      <c r="L774" s="1442"/>
      <c r="M774" s="1446"/>
    </row>
    <row r="775" spans="1:13" s="1443" customFormat="1">
      <c r="A775" s="2195"/>
      <c r="B775" s="2195"/>
      <c r="C775" s="2196" t="s">
        <v>1972</v>
      </c>
      <c r="D775" s="2197"/>
      <c r="E775" s="2198"/>
      <c r="F775" s="2199"/>
      <c r="G775" s="2200"/>
      <c r="H775" s="2200"/>
      <c r="I775" s="2200"/>
      <c r="J775" s="2200"/>
      <c r="K775" s="2200"/>
      <c r="L775" s="1442"/>
      <c r="M775" s="1446"/>
    </row>
    <row r="776" spans="1:13" s="1443" customFormat="1">
      <c r="A776" s="1553"/>
      <c r="B776" s="2472" t="s">
        <v>1632</v>
      </c>
      <c r="C776" s="2473"/>
      <c r="D776" s="404"/>
      <c r="E776" s="936"/>
      <c r="F776" s="1116"/>
      <c r="G776" s="414"/>
      <c r="H776" s="414"/>
      <c r="I776" s="414"/>
      <c r="J776" s="414"/>
      <c r="K776" s="414"/>
      <c r="L776" s="1442"/>
      <c r="M776" s="1441"/>
    </row>
    <row r="777" spans="1:13" s="1456" customFormat="1">
      <c r="A777" s="1556"/>
      <c r="B777" s="1560" t="s">
        <v>139</v>
      </c>
      <c r="C777" s="1557" t="s">
        <v>1842</v>
      </c>
      <c r="D777" s="670">
        <v>1</v>
      </c>
      <c r="E777" s="945" t="s">
        <v>105</v>
      </c>
      <c r="F777" s="949">
        <f>SUM(H764:H767)*0.05</f>
        <v>1775</v>
      </c>
      <c r="G777" s="949">
        <v>0</v>
      </c>
      <c r="H777" s="949">
        <f>F777*D777</f>
        <v>1775</v>
      </c>
      <c r="I777" s="949">
        <f>D777*G777</f>
        <v>0</v>
      </c>
      <c r="J777" s="949">
        <f>H777+I777</f>
        <v>1775</v>
      </c>
      <c r="K777" s="949"/>
      <c r="L777" s="1454"/>
      <c r="M777" s="1455" t="s">
        <v>282</v>
      </c>
    </row>
    <row r="778" spans="1:13" s="1456" customFormat="1">
      <c r="A778" s="1561"/>
      <c r="B778" s="1562"/>
      <c r="C778" s="1563"/>
      <c r="D778" s="669"/>
      <c r="E778" s="1564"/>
      <c r="F778" s="983"/>
      <c r="G778" s="983"/>
      <c r="H778" s="983"/>
      <c r="I778" s="983"/>
      <c r="J778" s="983"/>
      <c r="K778" s="983"/>
      <c r="L778" s="1454"/>
      <c r="M778" s="1457"/>
    </row>
    <row r="779" spans="1:13" s="968" customFormat="1" ht="24.75" thickBot="1">
      <c r="A779" s="1565"/>
      <c r="B779" s="1146"/>
      <c r="C779" s="1566" t="str">
        <f>"รวมราคา "&amp;B735</f>
        <v>รวมราคา งานระบบควบคุมทางเข้า-ออก (รักษาความปลอดภัย)</v>
      </c>
      <c r="D779" s="1094"/>
      <c r="E779" s="1148"/>
      <c r="F779" s="966"/>
      <c r="G779" s="966"/>
      <c r="H779" s="966">
        <f>SUM(H737:H778)</f>
        <v>1308050.3999999999</v>
      </c>
      <c r="I779" s="966">
        <f>SUM(I737:I777)</f>
        <v>70400</v>
      </c>
      <c r="J779" s="966">
        <f>SUM(J737:J777)</f>
        <v>1378450.4</v>
      </c>
      <c r="K779" s="966"/>
      <c r="L779" s="967"/>
      <c r="M779" s="1095"/>
    </row>
    <row r="780" spans="1:13" s="1463" customFormat="1" ht="24.75" thickTop="1">
      <c r="A780" s="1567">
        <v>4.12</v>
      </c>
      <c r="B780" s="2482" t="s">
        <v>1633</v>
      </c>
      <c r="C780" s="2483"/>
      <c r="D780" s="1568"/>
      <c r="E780" s="1097"/>
      <c r="F780" s="1098"/>
      <c r="G780" s="1098"/>
      <c r="H780" s="1149"/>
      <c r="I780" s="1149"/>
      <c r="J780" s="1149"/>
      <c r="K780" s="1149"/>
      <c r="L780" s="1461"/>
      <c r="M780" s="1462"/>
    </row>
    <row r="781" spans="1:13" s="1466" customFormat="1">
      <c r="A781" s="1569" t="s">
        <v>347</v>
      </c>
      <c r="B781" s="2474" t="s">
        <v>1634</v>
      </c>
      <c r="C781" s="2475"/>
      <c r="D781" s="1103"/>
      <c r="E781" s="934"/>
      <c r="F781" s="449"/>
      <c r="G781" s="449"/>
      <c r="H781" s="1105"/>
      <c r="I781" s="1105"/>
      <c r="J781" s="1105"/>
      <c r="K781" s="1105"/>
      <c r="L781" s="1464"/>
      <c r="M781" s="1465"/>
    </row>
    <row r="782" spans="1:13" s="1466" customFormat="1">
      <c r="A782" s="1570"/>
      <c r="B782" s="1571" t="s">
        <v>139</v>
      </c>
      <c r="C782" s="1559" t="s">
        <v>1735</v>
      </c>
      <c r="D782" s="1109">
        <v>1</v>
      </c>
      <c r="E782" s="936" t="s">
        <v>5</v>
      </c>
      <c r="F782" s="414">
        <v>32500</v>
      </c>
      <c r="G782" s="414">
        <v>0</v>
      </c>
      <c r="H782" s="414">
        <f t="shared" ref="H782:H790" si="65">F782*D782</f>
        <v>32500</v>
      </c>
      <c r="I782" s="414">
        <f t="shared" ref="I782:I790" si="66">D782*G782</f>
        <v>0</v>
      </c>
      <c r="J782" s="414">
        <f t="shared" ref="J782:J790" si="67">H782+I782</f>
        <v>32500</v>
      </c>
      <c r="K782" s="1111"/>
      <c r="L782" s="1464"/>
      <c r="M782" s="1441" t="s">
        <v>622</v>
      </c>
    </row>
    <row r="783" spans="1:13" s="1466" customFormat="1">
      <c r="A783" s="1572"/>
      <c r="B783" s="1571" t="s">
        <v>139</v>
      </c>
      <c r="C783" s="1573" t="s">
        <v>1635</v>
      </c>
      <c r="D783" s="1109">
        <v>3</v>
      </c>
      <c r="E783" s="936" t="s">
        <v>5</v>
      </c>
      <c r="F783" s="414">
        <v>112000</v>
      </c>
      <c r="G783" s="414">
        <v>0</v>
      </c>
      <c r="H783" s="414">
        <f t="shared" si="65"/>
        <v>336000</v>
      </c>
      <c r="I783" s="414">
        <f t="shared" si="66"/>
        <v>0</v>
      </c>
      <c r="J783" s="414">
        <f t="shared" si="67"/>
        <v>336000</v>
      </c>
      <c r="K783" s="1111"/>
      <c r="L783" s="1464"/>
      <c r="M783" s="1441" t="s">
        <v>622</v>
      </c>
    </row>
    <row r="784" spans="1:13" s="1466" customFormat="1">
      <c r="A784" s="1572"/>
      <c r="B784" s="1571" t="s">
        <v>139</v>
      </c>
      <c r="C784" s="1573" t="s">
        <v>273</v>
      </c>
      <c r="D784" s="1109">
        <v>6</v>
      </c>
      <c r="E784" s="936" t="s">
        <v>5</v>
      </c>
      <c r="F784" s="414">
        <v>9800</v>
      </c>
      <c r="G784" s="414">
        <v>0</v>
      </c>
      <c r="H784" s="414">
        <f t="shared" si="65"/>
        <v>58800</v>
      </c>
      <c r="I784" s="414">
        <f t="shared" si="66"/>
        <v>0</v>
      </c>
      <c r="J784" s="414">
        <f t="shared" si="67"/>
        <v>58800</v>
      </c>
      <c r="K784" s="1111"/>
      <c r="L784" s="1464"/>
      <c r="M784" s="1441" t="s">
        <v>622</v>
      </c>
    </row>
    <row r="785" spans="1:13" s="1466" customFormat="1">
      <c r="A785" s="1570"/>
      <c r="B785" s="1571" t="s">
        <v>139</v>
      </c>
      <c r="C785" s="1559" t="s">
        <v>1750</v>
      </c>
      <c r="D785" s="1109">
        <v>1</v>
      </c>
      <c r="E785" s="936" t="s">
        <v>5</v>
      </c>
      <c r="F785" s="414">
        <v>40000</v>
      </c>
      <c r="G785" s="414">
        <v>0</v>
      </c>
      <c r="H785" s="414">
        <f t="shared" si="65"/>
        <v>40000</v>
      </c>
      <c r="I785" s="414">
        <f t="shared" si="66"/>
        <v>0</v>
      </c>
      <c r="J785" s="414">
        <f t="shared" si="67"/>
        <v>40000</v>
      </c>
      <c r="K785" s="1111"/>
      <c r="L785" s="1464"/>
      <c r="M785" s="1441" t="s">
        <v>622</v>
      </c>
    </row>
    <row r="786" spans="1:13" s="1456" customFormat="1">
      <c r="A786" s="1574"/>
      <c r="B786" s="1575" t="s">
        <v>139</v>
      </c>
      <c r="C786" s="1576" t="s">
        <v>1692</v>
      </c>
      <c r="D786" s="671">
        <v>3</v>
      </c>
      <c r="E786" s="1081" t="s">
        <v>5</v>
      </c>
      <c r="F786" s="979">
        <v>0</v>
      </c>
      <c r="G786" s="979">
        <v>1500</v>
      </c>
      <c r="H786" s="979">
        <f t="shared" si="65"/>
        <v>0</v>
      </c>
      <c r="I786" s="979">
        <f t="shared" si="66"/>
        <v>4500</v>
      </c>
      <c r="J786" s="979">
        <f t="shared" si="67"/>
        <v>4500</v>
      </c>
      <c r="K786" s="979"/>
      <c r="L786" s="1454"/>
      <c r="M786" s="1467" t="s">
        <v>622</v>
      </c>
    </row>
    <row r="787" spans="1:13" s="1466" customFormat="1">
      <c r="A787" s="1572"/>
      <c r="B787" s="1571" t="s">
        <v>139</v>
      </c>
      <c r="C787" s="1577" t="s">
        <v>1751</v>
      </c>
      <c r="D787" s="404">
        <v>1</v>
      </c>
      <c r="E787" s="936" t="s">
        <v>5</v>
      </c>
      <c r="F787" s="414">
        <v>25000</v>
      </c>
      <c r="G787" s="414">
        <v>0</v>
      </c>
      <c r="H787" s="414">
        <f t="shared" si="65"/>
        <v>25000</v>
      </c>
      <c r="I787" s="414">
        <f t="shared" si="66"/>
        <v>0</v>
      </c>
      <c r="J787" s="414">
        <f t="shared" si="67"/>
        <v>25000</v>
      </c>
      <c r="K787" s="1111"/>
      <c r="L787" s="1464"/>
      <c r="M787" s="1441" t="s">
        <v>622</v>
      </c>
    </row>
    <row r="788" spans="1:13" s="1466" customFormat="1">
      <c r="A788" s="1572"/>
      <c r="B788" s="1571" t="s">
        <v>139</v>
      </c>
      <c r="C788" s="1573" t="s">
        <v>535</v>
      </c>
      <c r="D788" s="1109">
        <v>70</v>
      </c>
      <c r="E788" s="936" t="s">
        <v>5</v>
      </c>
      <c r="F788" s="414">
        <v>18500</v>
      </c>
      <c r="G788" s="414">
        <v>0</v>
      </c>
      <c r="H788" s="414">
        <f t="shared" si="65"/>
        <v>1295000</v>
      </c>
      <c r="I788" s="414">
        <f t="shared" si="66"/>
        <v>0</v>
      </c>
      <c r="J788" s="414">
        <f t="shared" si="67"/>
        <v>1295000</v>
      </c>
      <c r="K788" s="1111"/>
      <c r="L788" s="1464"/>
      <c r="M788" s="1441" t="s">
        <v>622</v>
      </c>
    </row>
    <row r="789" spans="1:13" s="1466" customFormat="1">
      <c r="A789" s="1572"/>
      <c r="B789" s="1571" t="s">
        <v>139</v>
      </c>
      <c r="C789" s="1573" t="s">
        <v>536</v>
      </c>
      <c r="D789" s="1109">
        <v>6</v>
      </c>
      <c r="E789" s="936" t="s">
        <v>5</v>
      </c>
      <c r="F789" s="414">
        <v>18000</v>
      </c>
      <c r="G789" s="414">
        <v>0</v>
      </c>
      <c r="H789" s="414">
        <f t="shared" si="65"/>
        <v>108000</v>
      </c>
      <c r="I789" s="414">
        <f t="shared" si="66"/>
        <v>0</v>
      </c>
      <c r="J789" s="414">
        <f t="shared" si="67"/>
        <v>108000</v>
      </c>
      <c r="K789" s="1111"/>
      <c r="L789" s="1464"/>
      <c r="M789" s="1441" t="s">
        <v>622</v>
      </c>
    </row>
    <row r="790" spans="1:13" s="1466" customFormat="1">
      <c r="A790" s="1572"/>
      <c r="B790" s="1554" t="s">
        <v>139</v>
      </c>
      <c r="C790" s="1559" t="s">
        <v>1599</v>
      </c>
      <c r="D790" s="1109">
        <v>1</v>
      </c>
      <c r="E790" s="936" t="s">
        <v>105</v>
      </c>
      <c r="F790" s="414">
        <v>0</v>
      </c>
      <c r="G790" s="414">
        <v>0</v>
      </c>
      <c r="H790" s="414">
        <f t="shared" si="65"/>
        <v>0</v>
      </c>
      <c r="I790" s="414">
        <f t="shared" si="66"/>
        <v>0</v>
      </c>
      <c r="J790" s="414">
        <f t="shared" si="67"/>
        <v>0</v>
      </c>
      <c r="K790" s="1111"/>
      <c r="L790" s="1464"/>
      <c r="M790" s="1468" t="s">
        <v>282</v>
      </c>
    </row>
    <row r="791" spans="1:13" s="1466" customFormat="1">
      <c r="A791" s="1570" t="s">
        <v>348</v>
      </c>
      <c r="B791" s="2478" t="s">
        <v>1637</v>
      </c>
      <c r="C791" s="2479"/>
      <c r="D791" s="404"/>
      <c r="E791" s="936"/>
      <c r="F791" s="414"/>
      <c r="G791" s="414"/>
      <c r="H791" s="414"/>
      <c r="I791" s="414"/>
      <c r="J791" s="414"/>
      <c r="K791" s="1111"/>
      <c r="L791" s="1464"/>
      <c r="M791" s="1441"/>
    </row>
    <row r="792" spans="1:13" s="1466" customFormat="1">
      <c r="A792" s="1572"/>
      <c r="B792" s="2472" t="s">
        <v>1638</v>
      </c>
      <c r="C792" s="2473"/>
      <c r="D792" s="404"/>
      <c r="E792" s="936"/>
      <c r="F792" s="1116"/>
      <c r="G792" s="414"/>
      <c r="H792" s="414"/>
      <c r="I792" s="414"/>
      <c r="J792" s="414"/>
      <c r="K792" s="1111"/>
      <c r="L792" s="1464"/>
      <c r="M792" s="1441"/>
    </row>
    <row r="793" spans="1:13" s="1466" customFormat="1">
      <c r="A793" s="1572"/>
      <c r="B793" s="1554" t="s">
        <v>139</v>
      </c>
      <c r="C793" s="1555" t="s">
        <v>1485</v>
      </c>
      <c r="D793" s="404">
        <v>90</v>
      </c>
      <c r="E793" s="936" t="s">
        <v>84</v>
      </c>
      <c r="F793" s="414">
        <v>64</v>
      </c>
      <c r="G793" s="414">
        <v>24</v>
      </c>
      <c r="H793" s="414">
        <f>F793*D793</f>
        <v>5760</v>
      </c>
      <c r="I793" s="414">
        <f>D793*G793</f>
        <v>2160</v>
      </c>
      <c r="J793" s="414">
        <f>H793+I793</f>
        <v>7920</v>
      </c>
      <c r="K793" s="1111"/>
      <c r="L793" s="1464"/>
      <c r="M793" s="1446" t="s">
        <v>642</v>
      </c>
    </row>
    <row r="794" spans="1:13" s="1466" customFormat="1">
      <c r="A794" s="1572"/>
      <c r="B794" s="1554" t="s">
        <v>139</v>
      </c>
      <c r="C794" s="1555" t="s">
        <v>1524</v>
      </c>
      <c r="D794" s="404">
        <v>4860</v>
      </c>
      <c r="E794" s="936" t="s">
        <v>84</v>
      </c>
      <c r="F794" s="414">
        <v>44.33</v>
      </c>
      <c r="G794" s="414">
        <v>22</v>
      </c>
      <c r="H794" s="414">
        <f>F794*D794</f>
        <v>215443.8</v>
      </c>
      <c r="I794" s="414">
        <f>D794*G794</f>
        <v>106920</v>
      </c>
      <c r="J794" s="414">
        <f>H794+I794</f>
        <v>322363.8</v>
      </c>
      <c r="K794" s="1111"/>
      <c r="L794" s="1464"/>
      <c r="M794" s="1446" t="s">
        <v>642</v>
      </c>
    </row>
    <row r="795" spans="1:13" s="1466" customFormat="1">
      <c r="A795" s="1572"/>
      <c r="B795" s="2472" t="s">
        <v>1639</v>
      </c>
      <c r="C795" s="2473"/>
      <c r="D795" s="404"/>
      <c r="E795" s="936"/>
      <c r="F795" s="1116"/>
      <c r="G795" s="414"/>
      <c r="H795" s="414"/>
      <c r="I795" s="414"/>
      <c r="J795" s="414"/>
      <c r="K795" s="1111"/>
      <c r="L795" s="1464"/>
      <c r="M795" s="1441"/>
    </row>
    <row r="796" spans="1:13" s="1456" customFormat="1">
      <c r="A796" s="1556"/>
      <c r="B796" s="1119" t="s">
        <v>139</v>
      </c>
      <c r="C796" s="1557" t="s">
        <v>1843</v>
      </c>
      <c r="D796" s="670">
        <v>1</v>
      </c>
      <c r="E796" s="945" t="s">
        <v>105</v>
      </c>
      <c r="F796" s="949">
        <f>SUM(H793:H794)*0.15</f>
        <v>33180.57</v>
      </c>
      <c r="G796" s="949">
        <v>0</v>
      </c>
      <c r="H796" s="949">
        <f>F796*D796</f>
        <v>33180.57</v>
      </c>
      <c r="I796" s="949">
        <f>D796*G796</f>
        <v>0</v>
      </c>
      <c r="J796" s="949">
        <f>H796+I796</f>
        <v>33180.57</v>
      </c>
      <c r="K796" s="949"/>
      <c r="L796" s="1454"/>
      <c r="M796" s="1455" t="s">
        <v>282</v>
      </c>
    </row>
    <row r="797" spans="1:13" s="1466" customFormat="1">
      <c r="A797" s="1572"/>
      <c r="B797" s="2472" t="s">
        <v>1640</v>
      </c>
      <c r="C797" s="2473"/>
      <c r="D797" s="404"/>
      <c r="E797" s="936"/>
      <c r="F797" s="1116"/>
      <c r="G797" s="414"/>
      <c r="H797" s="414"/>
      <c r="I797" s="414"/>
      <c r="J797" s="414"/>
      <c r="K797" s="1111"/>
      <c r="L797" s="1464"/>
      <c r="M797" s="1441"/>
    </row>
    <row r="798" spans="1:13" s="1466" customFormat="1">
      <c r="A798" s="2183"/>
      <c r="B798" s="2183"/>
      <c r="C798" s="2183"/>
      <c r="D798" s="2184"/>
      <c r="E798" s="2185"/>
      <c r="F798" s="2185"/>
      <c r="G798" s="2185"/>
      <c r="H798" s="2185"/>
      <c r="I798" s="2185"/>
      <c r="J798" s="2185"/>
      <c r="K798" s="2185"/>
      <c r="L798" s="1464"/>
      <c r="M798" s="1441"/>
    </row>
    <row r="799" spans="1:13" s="1466" customFormat="1">
      <c r="A799" s="2186"/>
      <c r="B799" s="2187"/>
      <c r="C799" s="2186" t="s">
        <v>133</v>
      </c>
      <c r="D799" s="2188"/>
      <c r="E799" s="418"/>
      <c r="F799" s="2189"/>
      <c r="G799" s="2189"/>
      <c r="H799" s="1277"/>
      <c r="I799" s="1277"/>
      <c r="J799" s="2188"/>
      <c r="K799" s="2188"/>
      <c r="L799" s="1464"/>
      <c r="M799" s="1441"/>
    </row>
    <row r="800" spans="1:13" s="1466" customFormat="1">
      <c r="A800" s="1642"/>
      <c r="B800" s="1017"/>
      <c r="C800" s="2407" t="s">
        <v>1769</v>
      </c>
      <c r="D800" s="2407"/>
      <c r="E800" s="1017"/>
      <c r="F800" s="1017"/>
      <c r="G800" s="1017"/>
      <c r="H800" s="1017" t="s">
        <v>134</v>
      </c>
      <c r="I800" s="1017"/>
      <c r="J800" s="1017"/>
      <c r="K800" s="1017"/>
      <c r="L800" s="1464"/>
      <c r="M800" s="1441"/>
    </row>
    <row r="801" spans="1:13" s="1466" customFormat="1">
      <c r="A801" s="1643"/>
      <c r="B801" s="419"/>
      <c r="C801" s="2408" t="s">
        <v>1970</v>
      </c>
      <c r="D801" s="2408"/>
      <c r="E801" s="419"/>
      <c r="F801" s="419"/>
      <c r="G801" s="419"/>
      <c r="H801" s="419" t="s">
        <v>1971</v>
      </c>
      <c r="I801" s="419"/>
      <c r="J801" s="419"/>
      <c r="K801" s="419"/>
      <c r="L801" s="1464"/>
      <c r="M801" s="1441"/>
    </row>
    <row r="802" spans="1:13" s="1466" customFormat="1">
      <c r="A802" s="2188"/>
      <c r="B802" s="1017"/>
      <c r="C802" s="1017" t="s">
        <v>2031</v>
      </c>
      <c r="D802" s="2188"/>
      <c r="E802" s="419"/>
      <c r="F802" s="419"/>
      <c r="G802" s="419"/>
      <c r="H802" s="1017" t="s">
        <v>134</v>
      </c>
      <c r="I802" s="419"/>
      <c r="J802" s="419"/>
      <c r="K802" s="419"/>
      <c r="L802" s="1464"/>
      <c r="M802" s="1441"/>
    </row>
    <row r="803" spans="1:13" s="1466" customFormat="1">
      <c r="A803" s="1017"/>
      <c r="B803" s="419"/>
      <c r="C803" s="419" t="s">
        <v>1984</v>
      </c>
      <c r="D803" s="2188"/>
      <c r="E803" s="1017"/>
      <c r="F803" s="1017"/>
      <c r="G803" s="1017"/>
      <c r="H803" s="419" t="s">
        <v>1985</v>
      </c>
      <c r="I803" s="1017"/>
      <c r="J803" s="1017"/>
      <c r="K803" s="1017"/>
      <c r="L803" s="1464"/>
      <c r="M803" s="1441"/>
    </row>
    <row r="804" spans="1:13" s="1466" customFormat="1">
      <c r="A804" s="2190"/>
      <c r="B804" s="2190"/>
      <c r="C804" s="1017" t="s">
        <v>670</v>
      </c>
      <c r="D804" s="2191"/>
      <c r="E804" s="2192"/>
      <c r="F804" s="2193"/>
      <c r="G804" s="2194"/>
      <c r="H804" s="2194"/>
      <c r="I804" s="2194"/>
      <c r="J804" s="2194"/>
      <c r="K804" s="2194"/>
      <c r="L804" s="1464"/>
      <c r="M804" s="1441"/>
    </row>
    <row r="805" spans="1:13" s="1466" customFormat="1">
      <c r="A805" s="2195"/>
      <c r="B805" s="2195"/>
      <c r="C805" s="2196" t="s">
        <v>1972</v>
      </c>
      <c r="D805" s="2197"/>
      <c r="E805" s="2198"/>
      <c r="F805" s="2199"/>
      <c r="G805" s="2200"/>
      <c r="H805" s="2200"/>
      <c r="I805" s="2200"/>
      <c r="J805" s="2200"/>
      <c r="K805" s="2200"/>
      <c r="L805" s="1464"/>
      <c r="M805" s="1441"/>
    </row>
    <row r="806" spans="1:13" s="1466" customFormat="1">
      <c r="A806" s="1572"/>
      <c r="B806" s="1554" t="s">
        <v>139</v>
      </c>
      <c r="C806" s="1559" t="s">
        <v>1643</v>
      </c>
      <c r="D806" s="404">
        <v>400</v>
      </c>
      <c r="E806" s="936" t="s">
        <v>84</v>
      </c>
      <c r="F806" s="414">
        <v>48</v>
      </c>
      <c r="G806" s="414">
        <v>25</v>
      </c>
      <c r="H806" s="414">
        <f>F806*D806</f>
        <v>19200</v>
      </c>
      <c r="I806" s="414">
        <f>D806*G806</f>
        <v>10000</v>
      </c>
      <c r="J806" s="414">
        <f>H806+I806</f>
        <v>29200</v>
      </c>
      <c r="K806" s="1111"/>
      <c r="L806" s="1464"/>
      <c r="M806" s="1446" t="s">
        <v>642</v>
      </c>
    </row>
    <row r="807" spans="1:13" s="1466" customFormat="1">
      <c r="A807" s="1572"/>
      <c r="B807" s="1554" t="s">
        <v>139</v>
      </c>
      <c r="C807" s="1559" t="s">
        <v>520</v>
      </c>
      <c r="D807" s="404">
        <v>5490</v>
      </c>
      <c r="E807" s="936" t="s">
        <v>84</v>
      </c>
      <c r="F807" s="414">
        <v>18</v>
      </c>
      <c r="G807" s="414">
        <v>8</v>
      </c>
      <c r="H807" s="414">
        <f>F807*D807</f>
        <v>98820</v>
      </c>
      <c r="I807" s="414">
        <f>D807*G807</f>
        <v>43920</v>
      </c>
      <c r="J807" s="414">
        <f>H807+I807</f>
        <v>142740</v>
      </c>
      <c r="K807" s="1111"/>
      <c r="L807" s="1464"/>
      <c r="M807" s="1446" t="s">
        <v>642</v>
      </c>
    </row>
    <row r="808" spans="1:13" s="1466" customFormat="1">
      <c r="A808" s="1572"/>
      <c r="B808" s="2472" t="s">
        <v>1641</v>
      </c>
      <c r="C808" s="2473"/>
      <c r="D808" s="404"/>
      <c r="E808" s="936"/>
      <c r="F808" s="1116"/>
      <c r="G808" s="414"/>
      <c r="H808" s="414"/>
      <c r="I808" s="414"/>
      <c r="J808" s="414"/>
      <c r="K808" s="1111"/>
      <c r="L808" s="1464"/>
      <c r="M808" s="1441"/>
    </row>
    <row r="809" spans="1:13" s="1456" customFormat="1">
      <c r="A809" s="1556"/>
      <c r="B809" s="1560" t="s">
        <v>139</v>
      </c>
      <c r="C809" s="1557" t="s">
        <v>1842</v>
      </c>
      <c r="D809" s="670">
        <v>1</v>
      </c>
      <c r="E809" s="945" t="s">
        <v>105</v>
      </c>
      <c r="F809" s="949">
        <f>SUM(H806:H807)*0.05</f>
        <v>5901</v>
      </c>
      <c r="G809" s="949">
        <v>0</v>
      </c>
      <c r="H809" s="949">
        <f>F809*D809</f>
        <v>5901</v>
      </c>
      <c r="I809" s="949">
        <f>D809*G809</f>
        <v>0</v>
      </c>
      <c r="J809" s="949">
        <f>H809+I809</f>
        <v>5901</v>
      </c>
      <c r="K809" s="949"/>
      <c r="L809" s="1454"/>
      <c r="M809" s="1455" t="s">
        <v>282</v>
      </c>
    </row>
    <row r="810" spans="1:13" s="1466" customFormat="1">
      <c r="A810" s="1578"/>
      <c r="B810" s="1579"/>
      <c r="C810" s="1580"/>
      <c r="D810" s="412"/>
      <c r="E810" s="961"/>
      <c r="F810" s="1125"/>
      <c r="G810" s="415"/>
      <c r="H810" s="415"/>
      <c r="I810" s="415"/>
      <c r="J810" s="415"/>
      <c r="K810" s="1139"/>
      <c r="L810" s="1464"/>
      <c r="M810" s="1441"/>
    </row>
    <row r="811" spans="1:13" s="1445" customFormat="1" ht="24.75" thickBot="1">
      <c r="A811" s="1565"/>
      <c r="B811" s="1146"/>
      <c r="C811" s="1566" t="str">
        <f>"รวมราคา "&amp;B780</f>
        <v>รวมราคา งานระบบกล้องวงจรปิด (รักษาความปลอดภัย)</v>
      </c>
      <c r="D811" s="1094"/>
      <c r="E811" s="1148"/>
      <c r="F811" s="966"/>
      <c r="G811" s="966"/>
      <c r="H811" s="966">
        <f>SUM(H781:H810)</f>
        <v>2273605.3699999996</v>
      </c>
      <c r="I811" s="966">
        <f>SUM(I781:I810)</f>
        <v>167500</v>
      </c>
      <c r="J811" s="966">
        <f>SUM(J781:J810)</f>
        <v>2441105.3699999996</v>
      </c>
      <c r="K811" s="966"/>
      <c r="L811" s="1444"/>
      <c r="M811" s="1452"/>
    </row>
    <row r="812" spans="1:13" s="1471" customFormat="1" ht="24.75" thickTop="1">
      <c r="A812" s="1581">
        <v>4.13</v>
      </c>
      <c r="B812" s="2480" t="s">
        <v>537</v>
      </c>
      <c r="C812" s="2481"/>
      <c r="D812" s="1582"/>
      <c r="E812" s="1583"/>
      <c r="F812" s="1154"/>
      <c r="G812" s="1154"/>
      <c r="H812" s="1155"/>
      <c r="I812" s="1155"/>
      <c r="J812" s="1155"/>
      <c r="K812" s="1155"/>
      <c r="L812" s="1469"/>
      <c r="M812" s="1470" t="s">
        <v>537</v>
      </c>
    </row>
    <row r="813" spans="1:13" s="1466" customFormat="1">
      <c r="A813" s="1584" t="s">
        <v>330</v>
      </c>
      <c r="B813" s="2474" t="s">
        <v>1647</v>
      </c>
      <c r="C813" s="2475"/>
      <c r="D813" s="1103"/>
      <c r="E813" s="1104"/>
      <c r="F813" s="1105"/>
      <c r="G813" s="1105"/>
      <c r="H813" s="1105"/>
      <c r="I813" s="1105"/>
      <c r="J813" s="1105"/>
      <c r="K813" s="1105"/>
      <c r="L813" s="1464"/>
      <c r="M813" s="1465"/>
    </row>
    <row r="814" spans="1:13" s="1466" customFormat="1">
      <c r="A814" s="1572" t="s">
        <v>349</v>
      </c>
      <c r="B814" s="2476" t="s">
        <v>1646</v>
      </c>
      <c r="C814" s="2477"/>
      <c r="D814" s="1109"/>
      <c r="E814" s="414"/>
      <c r="F814" s="414"/>
      <c r="G814" s="414"/>
      <c r="H814" s="1111"/>
      <c r="I814" s="1111"/>
      <c r="J814" s="1111"/>
      <c r="K814" s="1111"/>
      <c r="L814" s="1464"/>
      <c r="M814" s="1465"/>
    </row>
    <row r="815" spans="1:13" s="1466" customFormat="1">
      <c r="A815" s="1572"/>
      <c r="B815" s="1571" t="s">
        <v>139</v>
      </c>
      <c r="C815" s="1559" t="s">
        <v>1734</v>
      </c>
      <c r="D815" s="1109">
        <v>1</v>
      </c>
      <c r="E815" s="936" t="s">
        <v>5</v>
      </c>
      <c r="F815" s="414">
        <v>32500</v>
      </c>
      <c r="G815" s="414">
        <v>0</v>
      </c>
      <c r="H815" s="414">
        <f t="shared" ref="H815:H828" si="68">F815*D815</f>
        <v>32500</v>
      </c>
      <c r="I815" s="414">
        <f t="shared" ref="I815:I828" si="69">D815*G815</f>
        <v>0</v>
      </c>
      <c r="J815" s="414">
        <f t="shared" ref="J815:J828" si="70">H815+I815</f>
        <v>32500</v>
      </c>
      <c r="K815" s="1111"/>
      <c r="L815" s="1464"/>
      <c r="M815" s="1441" t="s">
        <v>622</v>
      </c>
    </row>
    <row r="816" spans="1:13" s="1466" customFormat="1">
      <c r="A816" s="1572"/>
      <c r="B816" s="1571" t="s">
        <v>139</v>
      </c>
      <c r="C816" s="1559" t="s">
        <v>538</v>
      </c>
      <c r="D816" s="1109">
        <v>1</v>
      </c>
      <c r="E816" s="936" t="s">
        <v>5</v>
      </c>
      <c r="F816" s="414">
        <v>7500</v>
      </c>
      <c r="G816" s="414">
        <v>0</v>
      </c>
      <c r="H816" s="414">
        <f t="shared" si="68"/>
        <v>7500</v>
      </c>
      <c r="I816" s="414">
        <f t="shared" si="69"/>
        <v>0</v>
      </c>
      <c r="J816" s="414">
        <f t="shared" si="70"/>
        <v>7500</v>
      </c>
      <c r="K816" s="1111"/>
      <c r="L816" s="1464"/>
      <c r="M816" s="1441" t="s">
        <v>622</v>
      </c>
    </row>
    <row r="817" spans="1:13" s="1466" customFormat="1">
      <c r="A817" s="1572"/>
      <c r="B817" s="1571" t="s">
        <v>139</v>
      </c>
      <c r="C817" s="1559" t="s">
        <v>539</v>
      </c>
      <c r="D817" s="1109">
        <v>1</v>
      </c>
      <c r="E817" s="936" t="s">
        <v>5</v>
      </c>
      <c r="F817" s="414">
        <v>10800</v>
      </c>
      <c r="G817" s="414">
        <v>0</v>
      </c>
      <c r="H817" s="414">
        <f t="shared" si="68"/>
        <v>10800</v>
      </c>
      <c r="I817" s="414">
        <f t="shared" si="69"/>
        <v>0</v>
      </c>
      <c r="J817" s="414">
        <f t="shared" si="70"/>
        <v>10800</v>
      </c>
      <c r="K817" s="1111"/>
      <c r="L817" s="1464"/>
      <c r="M817" s="1441" t="s">
        <v>622</v>
      </c>
    </row>
    <row r="818" spans="1:13" s="1466" customFormat="1">
      <c r="A818" s="1572"/>
      <c r="B818" s="1571" t="s">
        <v>139</v>
      </c>
      <c r="C818" s="1559" t="s">
        <v>540</v>
      </c>
      <c r="D818" s="1109">
        <v>1</v>
      </c>
      <c r="E818" s="936" t="s">
        <v>5</v>
      </c>
      <c r="F818" s="414">
        <v>6000</v>
      </c>
      <c r="G818" s="414">
        <v>0</v>
      </c>
      <c r="H818" s="414">
        <f t="shared" si="68"/>
        <v>6000</v>
      </c>
      <c r="I818" s="414">
        <f t="shared" si="69"/>
        <v>0</v>
      </c>
      <c r="J818" s="414">
        <f t="shared" si="70"/>
        <v>6000</v>
      </c>
      <c r="K818" s="1111"/>
      <c r="L818" s="1464"/>
      <c r="M818" s="1441" t="s">
        <v>622</v>
      </c>
    </row>
    <row r="819" spans="1:13" s="1466" customFormat="1">
      <c r="A819" s="1572"/>
      <c r="B819" s="1571" t="s">
        <v>139</v>
      </c>
      <c r="C819" s="1559" t="s">
        <v>541</v>
      </c>
      <c r="D819" s="1109">
        <v>1</v>
      </c>
      <c r="E819" s="936" t="s">
        <v>5</v>
      </c>
      <c r="F819" s="414">
        <v>12500</v>
      </c>
      <c r="G819" s="414">
        <v>0</v>
      </c>
      <c r="H819" s="414">
        <f t="shared" si="68"/>
        <v>12500</v>
      </c>
      <c r="I819" s="414">
        <f t="shared" si="69"/>
        <v>0</v>
      </c>
      <c r="J819" s="414">
        <f t="shared" si="70"/>
        <v>12500</v>
      </c>
      <c r="K819" s="1111"/>
      <c r="L819" s="1464"/>
      <c r="M819" s="1441" t="s">
        <v>622</v>
      </c>
    </row>
    <row r="820" spans="1:13" s="1466" customFormat="1">
      <c r="A820" s="1572"/>
      <c r="B820" s="1571" t="s">
        <v>139</v>
      </c>
      <c r="C820" s="1559" t="s">
        <v>542</v>
      </c>
      <c r="D820" s="1109">
        <v>1</v>
      </c>
      <c r="E820" s="936" t="s">
        <v>5</v>
      </c>
      <c r="F820" s="414">
        <v>28000</v>
      </c>
      <c r="G820" s="414">
        <v>0</v>
      </c>
      <c r="H820" s="414">
        <f t="shared" si="68"/>
        <v>28000</v>
      </c>
      <c r="I820" s="414">
        <f t="shared" si="69"/>
        <v>0</v>
      </c>
      <c r="J820" s="414">
        <f t="shared" si="70"/>
        <v>28000</v>
      </c>
      <c r="K820" s="1111"/>
      <c r="L820" s="1464"/>
      <c r="M820" s="1441" t="s">
        <v>622</v>
      </c>
    </row>
    <row r="821" spans="1:13" s="1466" customFormat="1">
      <c r="A821" s="1572"/>
      <c r="B821" s="1571" t="s">
        <v>139</v>
      </c>
      <c r="C821" s="1559" t="s">
        <v>543</v>
      </c>
      <c r="D821" s="1109">
        <v>1</v>
      </c>
      <c r="E821" s="936" t="s">
        <v>5</v>
      </c>
      <c r="F821" s="414">
        <v>16200</v>
      </c>
      <c r="G821" s="414">
        <v>0</v>
      </c>
      <c r="H821" s="414">
        <f t="shared" si="68"/>
        <v>16200</v>
      </c>
      <c r="I821" s="414">
        <f t="shared" si="69"/>
        <v>0</v>
      </c>
      <c r="J821" s="414">
        <f t="shared" si="70"/>
        <v>16200</v>
      </c>
      <c r="K821" s="1111"/>
      <c r="L821" s="1464"/>
      <c r="M821" s="1441" t="s">
        <v>622</v>
      </c>
    </row>
    <row r="822" spans="1:13" s="1466" customFormat="1">
      <c r="A822" s="1572"/>
      <c r="B822" s="1571" t="s">
        <v>139</v>
      </c>
      <c r="C822" s="1559" t="s">
        <v>284</v>
      </c>
      <c r="D822" s="1109">
        <v>1</v>
      </c>
      <c r="E822" s="936" t="s">
        <v>5</v>
      </c>
      <c r="F822" s="414">
        <v>11500</v>
      </c>
      <c r="G822" s="414">
        <v>0</v>
      </c>
      <c r="H822" s="414">
        <f t="shared" si="68"/>
        <v>11500</v>
      </c>
      <c r="I822" s="414">
        <f t="shared" si="69"/>
        <v>0</v>
      </c>
      <c r="J822" s="414">
        <f t="shared" si="70"/>
        <v>11500</v>
      </c>
      <c r="K822" s="1111"/>
      <c r="L822" s="1464"/>
      <c r="M822" s="1441" t="s">
        <v>622</v>
      </c>
    </row>
    <row r="823" spans="1:13" s="1466" customFormat="1">
      <c r="A823" s="1572"/>
      <c r="B823" s="1571" t="s">
        <v>139</v>
      </c>
      <c r="C823" s="1573" t="s">
        <v>1731</v>
      </c>
      <c r="D823" s="1109">
        <v>4</v>
      </c>
      <c r="E823" s="936" t="s">
        <v>5</v>
      </c>
      <c r="F823" s="414">
        <v>56000</v>
      </c>
      <c r="G823" s="414">
        <v>0</v>
      </c>
      <c r="H823" s="414">
        <f t="shared" si="68"/>
        <v>224000</v>
      </c>
      <c r="I823" s="414">
        <f t="shared" si="69"/>
        <v>0</v>
      </c>
      <c r="J823" s="414">
        <f t="shared" si="70"/>
        <v>224000</v>
      </c>
      <c r="K823" s="1111"/>
      <c r="L823" s="1464"/>
      <c r="M823" s="1441" t="s">
        <v>622</v>
      </c>
    </row>
    <row r="824" spans="1:13" s="1466" customFormat="1">
      <c r="A824" s="1572"/>
      <c r="B824" s="1571" t="s">
        <v>139</v>
      </c>
      <c r="C824" s="1559" t="s">
        <v>544</v>
      </c>
      <c r="D824" s="1109">
        <v>1</v>
      </c>
      <c r="E824" s="936" t="s">
        <v>5</v>
      </c>
      <c r="F824" s="414">
        <v>18500</v>
      </c>
      <c r="G824" s="414">
        <v>0</v>
      </c>
      <c r="H824" s="414">
        <f t="shared" si="68"/>
        <v>18500</v>
      </c>
      <c r="I824" s="414">
        <f t="shared" si="69"/>
        <v>0</v>
      </c>
      <c r="J824" s="414">
        <f t="shared" si="70"/>
        <v>18500</v>
      </c>
      <c r="K824" s="1111"/>
      <c r="L824" s="1464"/>
      <c r="M824" s="1441" t="s">
        <v>622</v>
      </c>
    </row>
    <row r="825" spans="1:13" s="1466" customFormat="1">
      <c r="A825" s="1572"/>
      <c r="B825" s="1571" t="s">
        <v>139</v>
      </c>
      <c r="C825" s="1559" t="s">
        <v>1644</v>
      </c>
      <c r="D825" s="1109">
        <v>51</v>
      </c>
      <c r="E825" s="936" t="s">
        <v>5</v>
      </c>
      <c r="F825" s="414">
        <v>2145</v>
      </c>
      <c r="G825" s="414">
        <v>0</v>
      </c>
      <c r="H825" s="414">
        <f t="shared" si="68"/>
        <v>109395</v>
      </c>
      <c r="I825" s="414">
        <f t="shared" si="69"/>
        <v>0</v>
      </c>
      <c r="J825" s="414">
        <f t="shared" si="70"/>
        <v>109395</v>
      </c>
      <c r="K825" s="1111"/>
      <c r="L825" s="1464"/>
      <c r="M825" s="1441" t="s">
        <v>622</v>
      </c>
    </row>
    <row r="826" spans="1:13" s="1466" customFormat="1">
      <c r="A826" s="1572"/>
      <c r="B826" s="1571" t="s">
        <v>139</v>
      </c>
      <c r="C826" s="1559" t="s">
        <v>1645</v>
      </c>
      <c r="D826" s="1109">
        <v>2</v>
      </c>
      <c r="E826" s="936" t="s">
        <v>5</v>
      </c>
      <c r="F826" s="414">
        <v>1850</v>
      </c>
      <c r="G826" s="414">
        <v>0</v>
      </c>
      <c r="H826" s="414">
        <f t="shared" si="68"/>
        <v>3700</v>
      </c>
      <c r="I826" s="414">
        <f t="shared" si="69"/>
        <v>0</v>
      </c>
      <c r="J826" s="414">
        <f t="shared" si="70"/>
        <v>3700</v>
      </c>
      <c r="K826" s="1111"/>
      <c r="L826" s="1464"/>
      <c r="M826" s="1441" t="s">
        <v>622</v>
      </c>
    </row>
    <row r="827" spans="1:13" s="1466" customFormat="1">
      <c r="A827" s="1572"/>
      <c r="B827" s="1571" t="s">
        <v>139</v>
      </c>
      <c r="C827" s="1559" t="s">
        <v>274</v>
      </c>
      <c r="D827" s="1109">
        <v>10</v>
      </c>
      <c r="E827" s="936" t="s">
        <v>5</v>
      </c>
      <c r="F827" s="414">
        <v>3630</v>
      </c>
      <c r="G827" s="414">
        <v>0</v>
      </c>
      <c r="H827" s="414">
        <f t="shared" si="68"/>
        <v>36300</v>
      </c>
      <c r="I827" s="414">
        <f t="shared" si="69"/>
        <v>0</v>
      </c>
      <c r="J827" s="414">
        <f t="shared" si="70"/>
        <v>36300</v>
      </c>
      <c r="K827" s="1111"/>
      <c r="L827" s="1464"/>
      <c r="M827" s="1441" t="s">
        <v>622</v>
      </c>
    </row>
    <row r="828" spans="1:13" s="1466" customFormat="1">
      <c r="A828" s="1572"/>
      <c r="B828" s="1554" t="s">
        <v>139</v>
      </c>
      <c r="C828" s="1559" t="s">
        <v>1599</v>
      </c>
      <c r="D828" s="1109">
        <v>1</v>
      </c>
      <c r="E828" s="936" t="s">
        <v>105</v>
      </c>
      <c r="F828" s="414">
        <v>0</v>
      </c>
      <c r="G828" s="414">
        <v>60000</v>
      </c>
      <c r="H828" s="414">
        <f t="shared" si="68"/>
        <v>0</v>
      </c>
      <c r="I828" s="414">
        <f t="shared" si="69"/>
        <v>60000</v>
      </c>
      <c r="J828" s="414">
        <f t="shared" si="70"/>
        <v>60000</v>
      </c>
      <c r="K828" s="1111"/>
      <c r="L828" s="1464"/>
      <c r="M828" s="1468" t="s">
        <v>282</v>
      </c>
    </row>
    <row r="829" spans="1:13" s="1466" customFormat="1">
      <c r="A829" s="2183"/>
      <c r="B829" s="2183"/>
      <c r="C829" s="2183"/>
      <c r="D829" s="2184"/>
      <c r="E829" s="2185"/>
      <c r="F829" s="2185"/>
      <c r="G829" s="2185"/>
      <c r="H829" s="2185"/>
      <c r="I829" s="2185"/>
      <c r="J829" s="2185"/>
      <c r="K829" s="2185"/>
      <c r="L829" s="1464"/>
      <c r="M829" s="1468"/>
    </row>
    <row r="830" spans="1:13" s="1466" customFormat="1">
      <c r="A830" s="2186"/>
      <c r="B830" s="2187"/>
      <c r="C830" s="2186" t="s">
        <v>133</v>
      </c>
      <c r="D830" s="2188"/>
      <c r="E830" s="418"/>
      <c r="F830" s="2189"/>
      <c r="G830" s="2189"/>
      <c r="H830" s="1277"/>
      <c r="I830" s="1277"/>
      <c r="J830" s="2188"/>
      <c r="K830" s="2188"/>
      <c r="L830" s="1464"/>
      <c r="M830" s="1468"/>
    </row>
    <row r="831" spans="1:13" s="1466" customFormat="1">
      <c r="A831" s="1642"/>
      <c r="B831" s="1017"/>
      <c r="C831" s="2407" t="s">
        <v>1769</v>
      </c>
      <c r="D831" s="2407"/>
      <c r="E831" s="1017"/>
      <c r="F831" s="1017"/>
      <c r="G831" s="1017"/>
      <c r="H831" s="1017" t="s">
        <v>134</v>
      </c>
      <c r="I831" s="1017"/>
      <c r="J831" s="1017"/>
      <c r="K831" s="1017"/>
      <c r="L831" s="1464"/>
      <c r="M831" s="1468"/>
    </row>
    <row r="832" spans="1:13" s="1466" customFormat="1">
      <c r="A832" s="1643"/>
      <c r="B832" s="419"/>
      <c r="C832" s="2408" t="s">
        <v>1970</v>
      </c>
      <c r="D832" s="2408"/>
      <c r="E832" s="419"/>
      <c r="F832" s="419"/>
      <c r="G832" s="419"/>
      <c r="H832" s="419" t="s">
        <v>1971</v>
      </c>
      <c r="I832" s="419"/>
      <c r="J832" s="419"/>
      <c r="K832" s="419"/>
      <c r="L832" s="1464"/>
      <c r="M832" s="1468"/>
    </row>
    <row r="833" spans="1:13" s="1466" customFormat="1">
      <c r="A833" s="2188"/>
      <c r="B833" s="1017"/>
      <c r="C833" s="1017" t="s">
        <v>2031</v>
      </c>
      <c r="D833" s="2188"/>
      <c r="E833" s="419"/>
      <c r="F833" s="419"/>
      <c r="G833" s="419"/>
      <c r="H833" s="1017" t="s">
        <v>134</v>
      </c>
      <c r="I833" s="419"/>
      <c r="J833" s="419"/>
      <c r="K833" s="419"/>
      <c r="L833" s="1464"/>
      <c r="M833" s="1468"/>
    </row>
    <row r="834" spans="1:13" s="1466" customFormat="1">
      <c r="A834" s="1017"/>
      <c r="B834" s="419"/>
      <c r="C834" s="419" t="s">
        <v>1984</v>
      </c>
      <c r="D834" s="2188"/>
      <c r="E834" s="1017"/>
      <c r="F834" s="1017"/>
      <c r="G834" s="1017"/>
      <c r="H834" s="419" t="s">
        <v>1985</v>
      </c>
      <c r="I834" s="1017"/>
      <c r="J834" s="1017"/>
      <c r="K834" s="1017"/>
      <c r="L834" s="1464"/>
      <c r="M834" s="1468"/>
    </row>
    <row r="835" spans="1:13" s="1466" customFormat="1">
      <c r="A835" s="2190"/>
      <c r="B835" s="2190"/>
      <c r="C835" s="1017" t="s">
        <v>670</v>
      </c>
      <c r="D835" s="2191"/>
      <c r="E835" s="2192"/>
      <c r="F835" s="2193"/>
      <c r="G835" s="2194"/>
      <c r="H835" s="2194"/>
      <c r="I835" s="2194"/>
      <c r="J835" s="2194"/>
      <c r="K835" s="2194"/>
      <c r="L835" s="1464"/>
      <c r="M835" s="1468"/>
    </row>
    <row r="836" spans="1:13" s="1466" customFormat="1">
      <c r="A836" s="2195"/>
      <c r="B836" s="2195"/>
      <c r="C836" s="2196" t="s">
        <v>1972</v>
      </c>
      <c r="D836" s="2197"/>
      <c r="E836" s="2198"/>
      <c r="F836" s="2199"/>
      <c r="G836" s="2200"/>
      <c r="H836" s="2200"/>
      <c r="I836" s="2200"/>
      <c r="J836" s="2200"/>
      <c r="K836" s="2200"/>
      <c r="L836" s="1464"/>
      <c r="M836" s="1468"/>
    </row>
    <row r="837" spans="1:13" s="1134" customFormat="1">
      <c r="A837" s="1572" t="s">
        <v>350</v>
      </c>
      <c r="B837" s="2478" t="s">
        <v>1648</v>
      </c>
      <c r="C837" s="2479"/>
      <c r="D837" s="404"/>
      <c r="E837" s="936"/>
      <c r="F837" s="414"/>
      <c r="G837" s="414"/>
      <c r="H837" s="414"/>
      <c r="I837" s="414"/>
      <c r="J837" s="414"/>
      <c r="K837" s="1111"/>
      <c r="L837" s="1106"/>
      <c r="M837" s="407"/>
    </row>
    <row r="838" spans="1:13" s="1134" customFormat="1">
      <c r="A838" s="1572"/>
      <c r="B838" s="2472" t="s">
        <v>1649</v>
      </c>
      <c r="C838" s="2473"/>
      <c r="D838" s="404"/>
      <c r="E838" s="936"/>
      <c r="F838" s="1116"/>
      <c r="G838" s="414"/>
      <c r="H838" s="414"/>
      <c r="I838" s="414"/>
      <c r="J838" s="414"/>
      <c r="K838" s="1111"/>
      <c r="L838" s="1106"/>
      <c r="M838" s="407"/>
    </row>
    <row r="839" spans="1:13" s="1134" customFormat="1">
      <c r="A839" s="1572"/>
      <c r="B839" s="1554" t="s">
        <v>139</v>
      </c>
      <c r="C839" s="1555" t="s">
        <v>1486</v>
      </c>
      <c r="D839" s="404">
        <v>60</v>
      </c>
      <c r="E839" s="936" t="s">
        <v>84</v>
      </c>
      <c r="F839" s="414">
        <v>640</v>
      </c>
      <c r="G839" s="414">
        <v>55</v>
      </c>
      <c r="H839" s="414">
        <f>F839*D839</f>
        <v>38400</v>
      </c>
      <c r="I839" s="414">
        <f>D839*G839</f>
        <v>3300</v>
      </c>
      <c r="J839" s="414">
        <f>H839+I839</f>
        <v>41700</v>
      </c>
      <c r="K839" s="1111"/>
      <c r="L839" s="1106"/>
      <c r="M839" s="939" t="s">
        <v>642</v>
      </c>
    </row>
    <row r="840" spans="1:13" s="1134" customFormat="1">
      <c r="A840" s="1572"/>
      <c r="B840" s="1554" t="s">
        <v>139</v>
      </c>
      <c r="C840" s="1555" t="s">
        <v>1485</v>
      </c>
      <c r="D840" s="404">
        <f>12*10+150</f>
        <v>270</v>
      </c>
      <c r="E840" s="936" t="s">
        <v>84</v>
      </c>
      <c r="F840" s="414">
        <v>64</v>
      </c>
      <c r="G840" s="414">
        <v>24</v>
      </c>
      <c r="H840" s="414">
        <f>F840*D840</f>
        <v>17280</v>
      </c>
      <c r="I840" s="414">
        <f>D840*G840</f>
        <v>6480</v>
      </c>
      <c r="J840" s="414">
        <f>H840+I840</f>
        <v>23760</v>
      </c>
      <c r="K840" s="1111"/>
      <c r="L840" s="1106"/>
      <c r="M840" s="939" t="s">
        <v>642</v>
      </c>
    </row>
    <row r="841" spans="1:13" s="1134" customFormat="1">
      <c r="A841" s="1584"/>
      <c r="B841" s="1585" t="s">
        <v>139</v>
      </c>
      <c r="C841" s="1586" t="s">
        <v>1524</v>
      </c>
      <c r="D841" s="406">
        <f>75*10</f>
        <v>750</v>
      </c>
      <c r="E841" s="936" t="s">
        <v>84</v>
      </c>
      <c r="F841" s="414">
        <v>44.33</v>
      </c>
      <c r="G841" s="414">
        <v>22</v>
      </c>
      <c r="H841" s="449">
        <f>F841*D841</f>
        <v>33247.5</v>
      </c>
      <c r="I841" s="449">
        <f>D841*G841</f>
        <v>16500</v>
      </c>
      <c r="J841" s="449">
        <f>H841+I841</f>
        <v>49747.5</v>
      </c>
      <c r="K841" s="1105"/>
      <c r="L841" s="1106"/>
      <c r="M841" s="939" t="s">
        <v>642</v>
      </c>
    </row>
    <row r="842" spans="1:13" s="1134" customFormat="1">
      <c r="A842" s="1572"/>
      <c r="B842" s="2472" t="s">
        <v>1650</v>
      </c>
      <c r="C842" s="2473"/>
      <c r="D842" s="404"/>
      <c r="E842" s="936"/>
      <c r="F842" s="1116"/>
      <c r="G842" s="414"/>
      <c r="H842" s="414"/>
      <c r="I842" s="414"/>
      <c r="J842" s="414"/>
      <c r="K842" s="1111"/>
      <c r="L842" s="1106"/>
      <c r="M842" s="407"/>
    </row>
    <row r="843" spans="1:13" s="1134" customFormat="1">
      <c r="A843" s="1584"/>
      <c r="B843" s="1585" t="s">
        <v>139</v>
      </c>
      <c r="C843" s="1586" t="s">
        <v>1843</v>
      </c>
      <c r="D843" s="406">
        <v>1</v>
      </c>
      <c r="E843" s="936" t="s">
        <v>105</v>
      </c>
      <c r="F843" s="414">
        <f>SUM(H839:H841)*0.15</f>
        <v>13339.125</v>
      </c>
      <c r="G843" s="414">
        <v>0</v>
      </c>
      <c r="H843" s="449">
        <f>F843*D843</f>
        <v>13339.125</v>
      </c>
      <c r="I843" s="449">
        <f>D843*G843</f>
        <v>0</v>
      </c>
      <c r="J843" s="449">
        <f>H843+I843</f>
        <v>13339.125</v>
      </c>
      <c r="K843" s="1105"/>
      <c r="L843" s="1106"/>
      <c r="M843" s="939" t="s">
        <v>282</v>
      </c>
    </row>
    <row r="844" spans="1:13" s="1134" customFormat="1">
      <c r="A844" s="1584"/>
      <c r="B844" s="1587" t="s">
        <v>1651</v>
      </c>
      <c r="C844" s="1586"/>
      <c r="D844" s="406"/>
      <c r="E844" s="936"/>
      <c r="F844" s="414"/>
      <c r="G844" s="414"/>
      <c r="H844" s="449"/>
      <c r="I844" s="449"/>
      <c r="J844" s="449"/>
      <c r="K844" s="1105"/>
      <c r="L844" s="1106"/>
      <c r="M844" s="939"/>
    </row>
    <row r="845" spans="1:13" s="1134" customFormat="1">
      <c r="A845" s="1572"/>
      <c r="B845" s="1554" t="s">
        <v>139</v>
      </c>
      <c r="C845" s="1558" t="s">
        <v>1653</v>
      </c>
      <c r="D845" s="404">
        <v>1000</v>
      </c>
      <c r="E845" s="936" t="s">
        <v>84</v>
      </c>
      <c r="F845" s="414">
        <v>21</v>
      </c>
      <c r="G845" s="414">
        <v>10</v>
      </c>
      <c r="H845" s="414">
        <f>F845*D845</f>
        <v>21000</v>
      </c>
      <c r="I845" s="414">
        <f>D845*G845</f>
        <v>10000</v>
      </c>
      <c r="J845" s="414">
        <f>H845+I845</f>
        <v>31000</v>
      </c>
      <c r="K845" s="1111"/>
      <c r="L845" s="1106"/>
      <c r="M845" s="939" t="s">
        <v>642</v>
      </c>
    </row>
    <row r="846" spans="1:13" s="1134" customFormat="1">
      <c r="A846" s="1572"/>
      <c r="B846" s="1554" t="s">
        <v>139</v>
      </c>
      <c r="C846" s="1558" t="s">
        <v>1652</v>
      </c>
      <c r="D846" s="404">
        <v>1800</v>
      </c>
      <c r="E846" s="936" t="s">
        <v>84</v>
      </c>
      <c r="F846" s="414">
        <v>14</v>
      </c>
      <c r="G846" s="414">
        <v>7</v>
      </c>
      <c r="H846" s="414">
        <f>F846*D846</f>
        <v>25200</v>
      </c>
      <c r="I846" s="414">
        <f>D846*G846</f>
        <v>12600</v>
      </c>
      <c r="J846" s="414">
        <f>H846+I846</f>
        <v>37800</v>
      </c>
      <c r="K846" s="1111"/>
      <c r="L846" s="1106"/>
      <c r="M846" s="939" t="s">
        <v>642</v>
      </c>
    </row>
    <row r="847" spans="1:13" s="1134" customFormat="1">
      <c r="A847" s="1572"/>
      <c r="B847" s="2472" t="s">
        <v>1650</v>
      </c>
      <c r="C847" s="2473"/>
      <c r="D847" s="404"/>
      <c r="E847" s="936"/>
      <c r="F847" s="1116"/>
      <c r="G847" s="414"/>
      <c r="H847" s="414"/>
      <c r="I847" s="414"/>
      <c r="J847" s="414"/>
      <c r="K847" s="1111"/>
      <c r="L847" s="1106"/>
      <c r="M847" s="407"/>
    </row>
    <row r="848" spans="1:13" s="952" customFormat="1">
      <c r="A848" s="1556"/>
      <c r="B848" s="1560" t="s">
        <v>139</v>
      </c>
      <c r="C848" s="1557" t="s">
        <v>1842</v>
      </c>
      <c r="D848" s="670">
        <v>1</v>
      </c>
      <c r="E848" s="945" t="s">
        <v>105</v>
      </c>
      <c r="F848" s="949">
        <f>SUM(H845:H846)*0.05</f>
        <v>2310</v>
      </c>
      <c r="G848" s="949">
        <v>0</v>
      </c>
      <c r="H848" s="949">
        <f>F848*D848</f>
        <v>2310</v>
      </c>
      <c r="I848" s="949">
        <f>D848*G848</f>
        <v>0</v>
      </c>
      <c r="J848" s="949">
        <f>H848+I848</f>
        <v>2310</v>
      </c>
      <c r="K848" s="949"/>
      <c r="L848" s="950"/>
      <c r="M848" s="1121" t="s">
        <v>282</v>
      </c>
    </row>
    <row r="849" spans="1:13" s="952" customFormat="1">
      <c r="A849" s="1556"/>
      <c r="B849" s="1119" t="s">
        <v>139</v>
      </c>
      <c r="C849" s="1557" t="s">
        <v>1843</v>
      </c>
      <c r="D849" s="670">
        <v>1</v>
      </c>
      <c r="E849" s="945" t="s">
        <v>105</v>
      </c>
      <c r="F849" s="949">
        <v>0</v>
      </c>
      <c r="G849" s="949">
        <v>0</v>
      </c>
      <c r="H849" s="949">
        <f>F849*D849</f>
        <v>0</v>
      </c>
      <c r="I849" s="949">
        <f>D849*G849</f>
        <v>0</v>
      </c>
      <c r="J849" s="949">
        <f>H849+I849</f>
        <v>0</v>
      </c>
      <c r="K849" s="949"/>
      <c r="L849" s="950"/>
      <c r="M849" s="1145"/>
    </row>
    <row r="850" spans="1:13" s="1134" customFormat="1">
      <c r="A850" s="1572" t="s">
        <v>331</v>
      </c>
      <c r="B850" s="2476" t="s">
        <v>1690</v>
      </c>
      <c r="C850" s="2477"/>
      <c r="D850" s="1109"/>
      <c r="E850" s="1110"/>
      <c r="F850" s="1111"/>
      <c r="G850" s="1111"/>
      <c r="H850" s="1111"/>
      <c r="I850" s="1111"/>
      <c r="J850" s="1111"/>
      <c r="K850" s="1111"/>
      <c r="L850" s="1106"/>
      <c r="M850" s="1107"/>
    </row>
    <row r="851" spans="1:13" s="1134" customFormat="1">
      <c r="A851" s="1572" t="s">
        <v>336</v>
      </c>
      <c r="B851" s="1588" t="s">
        <v>1691</v>
      </c>
      <c r="C851" s="1573"/>
      <c r="D851" s="1109"/>
      <c r="E851" s="1589"/>
      <c r="F851" s="1111"/>
      <c r="G851" s="1111"/>
      <c r="H851" s="1111"/>
      <c r="I851" s="1111"/>
      <c r="J851" s="1111"/>
      <c r="K851" s="1111"/>
      <c r="L851" s="1106"/>
      <c r="M851" s="1107"/>
    </row>
    <row r="852" spans="1:13" s="1134" customFormat="1">
      <c r="A852" s="1572"/>
      <c r="B852" s="1554" t="s">
        <v>139</v>
      </c>
      <c r="C852" s="1573" t="s">
        <v>1674</v>
      </c>
      <c r="D852" s="1109">
        <v>0</v>
      </c>
      <c r="E852" s="936" t="s">
        <v>5</v>
      </c>
      <c r="F852" s="414">
        <v>0</v>
      </c>
      <c r="G852" s="1111">
        <v>0</v>
      </c>
      <c r="H852" s="414">
        <f t="shared" ref="H852:H871" si="71">F852*D852</f>
        <v>0</v>
      </c>
      <c r="I852" s="414">
        <f t="shared" ref="I852:I871" si="72">D852*G852</f>
        <v>0</v>
      </c>
      <c r="J852" s="414">
        <f t="shared" ref="J852:J871" si="73">H852+I852</f>
        <v>0</v>
      </c>
      <c r="K852" s="1110" t="s">
        <v>1806</v>
      </c>
      <c r="L852" s="1161"/>
      <c r="M852" s="407"/>
    </row>
    <row r="853" spans="1:13" s="1134" customFormat="1">
      <c r="A853" s="1572"/>
      <c r="B853" s="1554" t="s">
        <v>139</v>
      </c>
      <c r="C853" s="1573" t="s">
        <v>1688</v>
      </c>
      <c r="D853" s="1109">
        <v>0</v>
      </c>
      <c r="E853" s="936" t="s">
        <v>5</v>
      </c>
      <c r="F853" s="414">
        <v>0</v>
      </c>
      <c r="G853" s="1111">
        <v>0</v>
      </c>
      <c r="H853" s="414">
        <f t="shared" si="71"/>
        <v>0</v>
      </c>
      <c r="I853" s="414">
        <f t="shared" si="72"/>
        <v>0</v>
      </c>
      <c r="J853" s="414">
        <f t="shared" si="73"/>
        <v>0</v>
      </c>
      <c r="K853" s="1110" t="s">
        <v>1806</v>
      </c>
      <c r="L853" s="1161"/>
      <c r="M853" s="407"/>
    </row>
    <row r="854" spans="1:13" s="1134" customFormat="1">
      <c r="A854" s="1572"/>
      <c r="B854" s="1554" t="s">
        <v>139</v>
      </c>
      <c r="C854" s="1573" t="s">
        <v>1689</v>
      </c>
      <c r="D854" s="1109">
        <v>0</v>
      </c>
      <c r="E854" s="936" t="s">
        <v>5</v>
      </c>
      <c r="F854" s="414">
        <v>0</v>
      </c>
      <c r="G854" s="1111">
        <v>0</v>
      </c>
      <c r="H854" s="414">
        <f t="shared" si="71"/>
        <v>0</v>
      </c>
      <c r="I854" s="414">
        <f t="shared" si="72"/>
        <v>0</v>
      </c>
      <c r="J854" s="414">
        <f t="shared" si="73"/>
        <v>0</v>
      </c>
      <c r="K854" s="1110" t="s">
        <v>1806</v>
      </c>
      <c r="L854" s="1161"/>
      <c r="M854" s="407"/>
    </row>
    <row r="855" spans="1:13" s="1134" customFormat="1">
      <c r="A855" s="2183"/>
      <c r="B855" s="2183"/>
      <c r="C855" s="2183"/>
      <c r="D855" s="2184"/>
      <c r="E855" s="2185"/>
      <c r="F855" s="2185"/>
      <c r="G855" s="2185"/>
      <c r="H855" s="2185"/>
      <c r="I855" s="2185"/>
      <c r="J855" s="2185"/>
      <c r="K855" s="2185"/>
      <c r="L855" s="1161"/>
      <c r="M855" s="407"/>
    </row>
    <row r="856" spans="1:13" s="1134" customFormat="1">
      <c r="A856" s="2186"/>
      <c r="B856" s="2187"/>
      <c r="C856" s="2186" t="s">
        <v>133</v>
      </c>
      <c r="D856" s="2188"/>
      <c r="E856" s="418"/>
      <c r="F856" s="2189"/>
      <c r="G856" s="2189"/>
      <c r="H856" s="1277"/>
      <c r="I856" s="1277"/>
      <c r="J856" s="2188"/>
      <c r="K856" s="2188"/>
      <c r="L856" s="1161"/>
      <c r="M856" s="407"/>
    </row>
    <row r="857" spans="1:13" s="1134" customFormat="1">
      <c r="A857" s="1642"/>
      <c r="B857" s="1017"/>
      <c r="C857" s="2407" t="s">
        <v>1769</v>
      </c>
      <c r="D857" s="2407"/>
      <c r="E857" s="1017"/>
      <c r="F857" s="1017"/>
      <c r="G857" s="1017"/>
      <c r="H857" s="1017" t="s">
        <v>134</v>
      </c>
      <c r="I857" s="1017"/>
      <c r="J857" s="1017"/>
      <c r="K857" s="1017"/>
      <c r="L857" s="1161"/>
      <c r="M857" s="407"/>
    </row>
    <row r="858" spans="1:13" s="1134" customFormat="1">
      <c r="A858" s="1643"/>
      <c r="B858" s="419"/>
      <c r="C858" s="2408" t="s">
        <v>1970</v>
      </c>
      <c r="D858" s="2408"/>
      <c r="E858" s="419"/>
      <c r="F858" s="419"/>
      <c r="G858" s="419"/>
      <c r="H858" s="419" t="s">
        <v>1971</v>
      </c>
      <c r="I858" s="419"/>
      <c r="J858" s="419"/>
      <c r="K858" s="419"/>
      <c r="L858" s="1161"/>
      <c r="M858" s="407"/>
    </row>
    <row r="859" spans="1:13" s="1134" customFormat="1">
      <c r="A859" s="2188"/>
      <c r="B859" s="1017"/>
      <c r="C859" s="1017" t="s">
        <v>2031</v>
      </c>
      <c r="D859" s="2188"/>
      <c r="E859" s="419"/>
      <c r="F859" s="419"/>
      <c r="G859" s="419"/>
      <c r="H859" s="1017" t="s">
        <v>134</v>
      </c>
      <c r="I859" s="419"/>
      <c r="J859" s="419"/>
      <c r="K859" s="419"/>
      <c r="L859" s="1161"/>
      <c r="M859" s="407"/>
    </row>
    <row r="860" spans="1:13" s="1134" customFormat="1">
      <c r="A860" s="1017"/>
      <c r="B860" s="419"/>
      <c r="C860" s="419" t="s">
        <v>1984</v>
      </c>
      <c r="D860" s="2188"/>
      <c r="E860" s="1017"/>
      <c r="F860" s="1017"/>
      <c r="G860" s="1017"/>
      <c r="H860" s="419" t="s">
        <v>1985</v>
      </c>
      <c r="I860" s="1017"/>
      <c r="J860" s="1017"/>
      <c r="K860" s="1017"/>
      <c r="L860" s="1161"/>
      <c r="M860" s="407"/>
    </row>
    <row r="861" spans="1:13" s="1134" customFormat="1">
      <c r="A861" s="2190"/>
      <c r="B861" s="2190"/>
      <c r="C861" s="1017" t="s">
        <v>670</v>
      </c>
      <c r="D861" s="2191"/>
      <c r="E861" s="2192"/>
      <c r="F861" s="2193"/>
      <c r="G861" s="2194"/>
      <c r="H861" s="2194"/>
      <c r="I861" s="2194"/>
      <c r="J861" s="2194"/>
      <c r="K861" s="2194"/>
      <c r="L861" s="1161"/>
      <c r="M861" s="407"/>
    </row>
    <row r="862" spans="1:13" s="1134" customFormat="1">
      <c r="A862" s="2195"/>
      <c r="B862" s="2195"/>
      <c r="C862" s="2196" t="s">
        <v>1972</v>
      </c>
      <c r="D862" s="2197"/>
      <c r="E862" s="2198"/>
      <c r="F862" s="2199"/>
      <c r="G862" s="2200"/>
      <c r="H862" s="2200"/>
      <c r="I862" s="2200"/>
      <c r="J862" s="2200"/>
      <c r="K862" s="2200"/>
      <c r="L862" s="1161"/>
      <c r="M862" s="407"/>
    </row>
    <row r="863" spans="1:13" s="1134" customFormat="1">
      <c r="A863" s="1572"/>
      <c r="B863" s="1554" t="s">
        <v>139</v>
      </c>
      <c r="C863" s="1573" t="s">
        <v>1679</v>
      </c>
      <c r="D863" s="1109">
        <v>7</v>
      </c>
      <c r="E863" s="936" t="s">
        <v>5</v>
      </c>
      <c r="F863" s="1111">
        <v>0</v>
      </c>
      <c r="G863" s="1111">
        <v>1000</v>
      </c>
      <c r="H863" s="414">
        <f t="shared" si="71"/>
        <v>0</v>
      </c>
      <c r="I863" s="414">
        <f t="shared" si="72"/>
        <v>7000</v>
      </c>
      <c r="J863" s="414">
        <f t="shared" si="73"/>
        <v>7000</v>
      </c>
      <c r="K863" s="1110"/>
      <c r="L863" s="1161"/>
      <c r="M863" s="407" t="s">
        <v>622</v>
      </c>
    </row>
    <row r="864" spans="1:13" s="1134" customFormat="1">
      <c r="A864" s="1572"/>
      <c r="B864" s="1554" t="s">
        <v>139</v>
      </c>
      <c r="C864" s="1573" t="s">
        <v>1715</v>
      </c>
      <c r="D864" s="1109">
        <f>1+5+1</f>
        <v>7</v>
      </c>
      <c r="E864" s="936" t="s">
        <v>5</v>
      </c>
      <c r="F864" s="1111">
        <v>0</v>
      </c>
      <c r="G864" s="1111">
        <v>2000</v>
      </c>
      <c r="H864" s="414">
        <f t="shared" si="71"/>
        <v>0</v>
      </c>
      <c r="I864" s="414">
        <f t="shared" si="72"/>
        <v>14000</v>
      </c>
      <c r="J864" s="414">
        <f t="shared" si="73"/>
        <v>14000</v>
      </c>
      <c r="K864" s="1110"/>
      <c r="L864" s="1161"/>
      <c r="M864" s="407" t="s">
        <v>622</v>
      </c>
    </row>
    <row r="865" spans="1:14" s="1134" customFormat="1">
      <c r="A865" s="1572"/>
      <c r="B865" s="1554" t="s">
        <v>139</v>
      </c>
      <c r="C865" s="1573" t="s">
        <v>1680</v>
      </c>
      <c r="D865" s="1109">
        <v>21</v>
      </c>
      <c r="E865" s="936" t="s">
        <v>5</v>
      </c>
      <c r="F865" s="1111">
        <v>0</v>
      </c>
      <c r="G865" s="1111">
        <v>1000</v>
      </c>
      <c r="H865" s="414">
        <f t="shared" si="71"/>
        <v>0</v>
      </c>
      <c r="I865" s="414">
        <f t="shared" si="72"/>
        <v>21000</v>
      </c>
      <c r="J865" s="414">
        <f t="shared" si="73"/>
        <v>21000</v>
      </c>
      <c r="K865" s="1110"/>
      <c r="L865" s="1161"/>
      <c r="M865" s="407" t="s">
        <v>622</v>
      </c>
    </row>
    <row r="866" spans="1:14" s="1134" customFormat="1">
      <c r="A866" s="1572"/>
      <c r="B866" s="1554" t="s">
        <v>139</v>
      </c>
      <c r="C866" s="1573" t="s">
        <v>1716</v>
      </c>
      <c r="D866" s="1109">
        <f>17+4</f>
        <v>21</v>
      </c>
      <c r="E866" s="936" t="s">
        <v>5</v>
      </c>
      <c r="F866" s="1111">
        <v>0</v>
      </c>
      <c r="G866" s="1111">
        <v>2500</v>
      </c>
      <c r="H866" s="414">
        <f t="shared" si="71"/>
        <v>0</v>
      </c>
      <c r="I866" s="414">
        <f t="shared" si="72"/>
        <v>52500</v>
      </c>
      <c r="J866" s="414">
        <f t="shared" si="73"/>
        <v>52500</v>
      </c>
      <c r="K866" s="1110"/>
      <c r="L866" s="1161"/>
      <c r="M866" s="407" t="s">
        <v>622</v>
      </c>
    </row>
    <row r="867" spans="1:14" s="1134" customFormat="1">
      <c r="A867" s="1572"/>
      <c r="B867" s="1554" t="s">
        <v>139</v>
      </c>
      <c r="C867" s="1573" t="s">
        <v>1696</v>
      </c>
      <c r="D867" s="1109">
        <v>28</v>
      </c>
      <c r="E867" s="936" t="s">
        <v>5</v>
      </c>
      <c r="F867" s="1111">
        <v>12500</v>
      </c>
      <c r="G867" s="1111">
        <v>500</v>
      </c>
      <c r="H867" s="414">
        <f t="shared" si="71"/>
        <v>350000</v>
      </c>
      <c r="I867" s="414">
        <f t="shared" si="72"/>
        <v>14000</v>
      </c>
      <c r="J867" s="414">
        <f t="shared" si="73"/>
        <v>364000</v>
      </c>
      <c r="K867" s="1110"/>
      <c r="L867" s="1161"/>
      <c r="M867" s="407" t="s">
        <v>622</v>
      </c>
      <c r="N867" s="1014">
        <v>16150</v>
      </c>
    </row>
    <row r="868" spans="1:14" s="1134" customFormat="1">
      <c r="A868" s="1572"/>
      <c r="B868" s="1554" t="s">
        <v>139</v>
      </c>
      <c r="C868" s="1573" t="s">
        <v>1732</v>
      </c>
      <c r="D868" s="1109">
        <v>0</v>
      </c>
      <c r="E868" s="936" t="s">
        <v>5</v>
      </c>
      <c r="F868" s="414">
        <v>0</v>
      </c>
      <c r="G868" s="1111">
        <v>0</v>
      </c>
      <c r="H868" s="414">
        <f t="shared" si="71"/>
        <v>0</v>
      </c>
      <c r="I868" s="414">
        <f t="shared" si="72"/>
        <v>0</v>
      </c>
      <c r="J868" s="414">
        <f t="shared" si="73"/>
        <v>0</v>
      </c>
      <c r="K868" s="1110" t="s">
        <v>1806</v>
      </c>
      <c r="L868" s="1161"/>
      <c r="M868" s="407"/>
      <c r="N868" s="1014"/>
    </row>
    <row r="869" spans="1:14" s="1134" customFormat="1">
      <c r="A869" s="1572"/>
      <c r="B869" s="1554" t="s">
        <v>139</v>
      </c>
      <c r="C869" s="1573" t="s">
        <v>1697</v>
      </c>
      <c r="D869" s="1109">
        <v>0</v>
      </c>
      <c r="E869" s="936" t="s">
        <v>5</v>
      </c>
      <c r="F869" s="414">
        <v>0</v>
      </c>
      <c r="G869" s="1111">
        <v>0</v>
      </c>
      <c r="H869" s="414">
        <f t="shared" si="71"/>
        <v>0</v>
      </c>
      <c r="I869" s="414">
        <f t="shared" si="72"/>
        <v>0</v>
      </c>
      <c r="J869" s="414">
        <f t="shared" si="73"/>
        <v>0</v>
      </c>
      <c r="K869" s="1110" t="s">
        <v>1806</v>
      </c>
      <c r="L869" s="1161"/>
      <c r="M869" s="407"/>
      <c r="N869" s="1014">
        <v>12500</v>
      </c>
    </row>
    <row r="870" spans="1:14" s="1134" customFormat="1">
      <c r="A870" s="1572"/>
      <c r="B870" s="1554" t="s">
        <v>139</v>
      </c>
      <c r="C870" s="1573" t="s">
        <v>1699</v>
      </c>
      <c r="D870" s="1109">
        <v>0</v>
      </c>
      <c r="E870" s="936" t="s">
        <v>5</v>
      </c>
      <c r="F870" s="414">
        <v>0</v>
      </c>
      <c r="G870" s="1111">
        <v>0</v>
      </c>
      <c r="H870" s="414">
        <f t="shared" si="71"/>
        <v>0</v>
      </c>
      <c r="I870" s="414">
        <f t="shared" si="72"/>
        <v>0</v>
      </c>
      <c r="J870" s="414">
        <f t="shared" si="73"/>
        <v>0</v>
      </c>
      <c r="K870" s="1110" t="s">
        <v>1806</v>
      </c>
      <c r="L870" s="1161"/>
      <c r="M870" s="407"/>
      <c r="N870" s="1014">
        <v>7000</v>
      </c>
    </row>
    <row r="871" spans="1:14" s="1134" customFormat="1">
      <c r="A871" s="1572"/>
      <c r="B871" s="1554" t="s">
        <v>139</v>
      </c>
      <c r="C871" s="1559" t="s">
        <v>1599</v>
      </c>
      <c r="D871" s="1109">
        <v>0</v>
      </c>
      <c r="E871" s="936" t="s">
        <v>105</v>
      </c>
      <c r="F871" s="414">
        <v>0</v>
      </c>
      <c r="G871" s="1111">
        <v>0</v>
      </c>
      <c r="H871" s="414">
        <f t="shared" si="71"/>
        <v>0</v>
      </c>
      <c r="I871" s="414">
        <f t="shared" si="72"/>
        <v>0</v>
      </c>
      <c r="J871" s="414">
        <f t="shared" si="73"/>
        <v>0</v>
      </c>
      <c r="K871" s="1110" t="s">
        <v>1806</v>
      </c>
      <c r="L871" s="1161"/>
      <c r="M871" s="1117"/>
      <c r="N871" s="1014"/>
    </row>
    <row r="872" spans="1:14" s="1134" customFormat="1">
      <c r="A872" s="1572" t="s">
        <v>337</v>
      </c>
      <c r="B872" s="1590" t="s">
        <v>1701</v>
      </c>
      <c r="C872" s="1591"/>
      <c r="D872" s="1109"/>
      <c r="E872" s="936"/>
      <c r="F872" s="1111"/>
      <c r="G872" s="1111"/>
      <c r="H872" s="414"/>
      <c r="I872" s="414"/>
      <c r="J872" s="414"/>
      <c r="K872" s="1111"/>
      <c r="L872" s="1106"/>
      <c r="M872" s="407"/>
      <c r="N872" s="1014"/>
    </row>
    <row r="873" spans="1:14" s="1134" customFormat="1">
      <c r="A873" s="1572"/>
      <c r="B873" s="1592" t="s">
        <v>1700</v>
      </c>
      <c r="C873" s="1591"/>
      <c r="D873" s="404"/>
      <c r="E873" s="936"/>
      <c r="F873" s="1116"/>
      <c r="G873" s="414"/>
      <c r="H873" s="414"/>
      <c r="I873" s="414"/>
      <c r="J873" s="414"/>
      <c r="K873" s="1111"/>
      <c r="L873" s="1106"/>
      <c r="M873" s="407"/>
      <c r="N873" s="1014"/>
    </row>
    <row r="874" spans="1:14" s="1134" customFormat="1">
      <c r="A874" s="1572"/>
      <c r="B874" s="1554" t="s">
        <v>139</v>
      </c>
      <c r="C874" s="1573" t="s">
        <v>1524</v>
      </c>
      <c r="D874" s="1109">
        <f>420+420</f>
        <v>840</v>
      </c>
      <c r="E874" s="936" t="s">
        <v>84</v>
      </c>
      <c r="F874" s="414">
        <v>44.33</v>
      </c>
      <c r="G874" s="1111">
        <v>22</v>
      </c>
      <c r="H874" s="414">
        <f>F874*D874</f>
        <v>37237.199999999997</v>
      </c>
      <c r="I874" s="414">
        <f>D874*G874</f>
        <v>18480</v>
      </c>
      <c r="J874" s="414">
        <f>H874+I874</f>
        <v>55717.2</v>
      </c>
      <c r="K874" s="1110"/>
      <c r="L874" s="1161"/>
      <c r="M874" s="407" t="s">
        <v>642</v>
      </c>
      <c r="N874" s="1014"/>
    </row>
    <row r="875" spans="1:14" s="1134" customFormat="1">
      <c r="A875" s="1584"/>
      <c r="B875" s="1593" t="s">
        <v>1702</v>
      </c>
      <c r="C875" s="1594"/>
      <c r="D875" s="406"/>
      <c r="E875" s="934"/>
      <c r="F875" s="1123"/>
      <c r="G875" s="449"/>
      <c r="H875" s="449"/>
      <c r="I875" s="449"/>
      <c r="J875" s="449"/>
      <c r="K875" s="1105"/>
      <c r="L875" s="1106"/>
      <c r="M875" s="407"/>
      <c r="N875" s="1014"/>
    </row>
    <row r="876" spans="1:14" s="952" customFormat="1">
      <c r="A876" s="1556"/>
      <c r="B876" s="1119" t="s">
        <v>139</v>
      </c>
      <c r="C876" s="1557" t="s">
        <v>1843</v>
      </c>
      <c r="D876" s="670">
        <v>1</v>
      </c>
      <c r="E876" s="945" t="s">
        <v>105</v>
      </c>
      <c r="F876" s="949">
        <f>SUM(H873:H874)*0.15</f>
        <v>5585.579999999999</v>
      </c>
      <c r="G876" s="949">
        <v>0</v>
      </c>
      <c r="H876" s="949">
        <f>F876*D876</f>
        <v>5585.579999999999</v>
      </c>
      <c r="I876" s="949">
        <f>D876*G876</f>
        <v>0</v>
      </c>
      <c r="J876" s="949">
        <f>H876+I876</f>
        <v>5585.579999999999</v>
      </c>
      <c r="K876" s="949"/>
      <c r="L876" s="950"/>
      <c r="M876" s="1121" t="s">
        <v>282</v>
      </c>
    </row>
    <row r="877" spans="1:14" s="1134" customFormat="1">
      <c r="A877" s="1572"/>
      <c r="B877" s="1590" t="s">
        <v>1703</v>
      </c>
      <c r="C877" s="1591"/>
      <c r="D877" s="404"/>
      <c r="E877" s="936"/>
      <c r="F877" s="1116"/>
      <c r="G877" s="414"/>
      <c r="H877" s="414"/>
      <c r="I877" s="414"/>
      <c r="J877" s="414"/>
      <c r="K877" s="1111"/>
      <c r="L877" s="1106"/>
      <c r="M877" s="407"/>
      <c r="N877" s="1014"/>
    </row>
    <row r="878" spans="1:14" s="952" customFormat="1" ht="48">
      <c r="A878" s="1556"/>
      <c r="B878" s="1560" t="s">
        <v>139</v>
      </c>
      <c r="C878" s="1595" t="s">
        <v>1704</v>
      </c>
      <c r="D878" s="670">
        <v>0</v>
      </c>
      <c r="E878" s="945" t="s">
        <v>84</v>
      </c>
      <c r="F878" s="949">
        <v>32</v>
      </c>
      <c r="G878" s="949">
        <v>15</v>
      </c>
      <c r="H878" s="949">
        <f>F878*D878</f>
        <v>0</v>
      </c>
      <c r="I878" s="949">
        <f>D878*G878</f>
        <v>0</v>
      </c>
      <c r="J878" s="949">
        <f>H878+I878</f>
        <v>0</v>
      </c>
      <c r="K878" s="945" t="s">
        <v>1806</v>
      </c>
      <c r="L878" s="1164"/>
      <c r="M878" s="1152"/>
      <c r="N878" s="874"/>
    </row>
    <row r="879" spans="1:14" s="1134" customFormat="1">
      <c r="A879" s="1572"/>
      <c r="B879" s="1554" t="s">
        <v>139</v>
      </c>
      <c r="C879" s="1558" t="s">
        <v>1705</v>
      </c>
      <c r="D879" s="404">
        <v>900</v>
      </c>
      <c r="E879" s="936" t="s">
        <v>84</v>
      </c>
      <c r="F879" s="414">
        <v>11.4</v>
      </c>
      <c r="G879" s="414">
        <v>7</v>
      </c>
      <c r="H879" s="414">
        <f>F879*D879</f>
        <v>10260</v>
      </c>
      <c r="I879" s="414">
        <f>D879*G879</f>
        <v>6300</v>
      </c>
      <c r="J879" s="414">
        <f>H879+I879</f>
        <v>16560</v>
      </c>
      <c r="K879" s="1110"/>
      <c r="L879" s="1161"/>
      <c r="M879" s="939" t="s">
        <v>642</v>
      </c>
      <c r="N879" s="1014"/>
    </row>
    <row r="880" spans="1:14" s="1134" customFormat="1">
      <c r="A880" s="1572"/>
      <c r="B880" s="1554" t="s">
        <v>139</v>
      </c>
      <c r="C880" s="1559" t="s">
        <v>520</v>
      </c>
      <c r="D880" s="404">
        <v>610</v>
      </c>
      <c r="E880" s="936" t="s">
        <v>84</v>
      </c>
      <c r="F880" s="414">
        <v>18</v>
      </c>
      <c r="G880" s="414">
        <v>8</v>
      </c>
      <c r="H880" s="414">
        <f>F880*D880</f>
        <v>10980</v>
      </c>
      <c r="I880" s="414">
        <f>D880*G880</f>
        <v>4880</v>
      </c>
      <c r="J880" s="414">
        <f>H880+I880</f>
        <v>15860</v>
      </c>
      <c r="K880" s="1110"/>
      <c r="L880" s="1161"/>
      <c r="M880" s="939" t="s">
        <v>642</v>
      </c>
      <c r="N880" s="1014"/>
    </row>
    <row r="881" spans="1:14" s="1134" customFormat="1">
      <c r="A881" s="1572"/>
      <c r="B881" s="1590" t="s">
        <v>1702</v>
      </c>
      <c r="C881" s="1591"/>
      <c r="D881" s="404"/>
      <c r="E881" s="936"/>
      <c r="F881" s="1116"/>
      <c r="G881" s="414"/>
      <c r="H881" s="414"/>
      <c r="I881" s="414"/>
      <c r="J881" s="414"/>
      <c r="K881" s="1111"/>
      <c r="L881" s="1106"/>
      <c r="M881" s="407"/>
      <c r="N881" s="1014"/>
    </row>
    <row r="882" spans="1:14" s="952" customFormat="1">
      <c r="A882" s="1556"/>
      <c r="B882" s="1560" t="s">
        <v>139</v>
      </c>
      <c r="C882" s="1557" t="s">
        <v>1842</v>
      </c>
      <c r="D882" s="670">
        <v>1</v>
      </c>
      <c r="E882" s="945" t="s">
        <v>105</v>
      </c>
      <c r="F882" s="949">
        <f>SUM(H879:H880)*0.05</f>
        <v>1062</v>
      </c>
      <c r="G882" s="949">
        <v>0</v>
      </c>
      <c r="H882" s="949">
        <f>F882*D882</f>
        <v>1062</v>
      </c>
      <c r="I882" s="949">
        <f>D882*G882</f>
        <v>0</v>
      </c>
      <c r="J882" s="949">
        <f>H882+I882</f>
        <v>1062</v>
      </c>
      <c r="K882" s="949"/>
      <c r="L882" s="950"/>
      <c r="M882" s="1121" t="s">
        <v>282</v>
      </c>
    </row>
    <row r="883" spans="1:14" s="952" customFormat="1">
      <c r="A883" s="2183"/>
      <c r="B883" s="2183"/>
      <c r="C883" s="2183"/>
      <c r="D883" s="2184"/>
      <c r="E883" s="2185"/>
      <c r="F883" s="2185"/>
      <c r="G883" s="2185"/>
      <c r="H883" s="2185"/>
      <c r="I883" s="2185"/>
      <c r="J883" s="2185"/>
      <c r="K883" s="2185"/>
      <c r="L883" s="950"/>
      <c r="M883" s="1121"/>
    </row>
    <row r="884" spans="1:14" s="952" customFormat="1">
      <c r="A884" s="2186"/>
      <c r="B884" s="2187"/>
      <c r="C884" s="2186" t="s">
        <v>133</v>
      </c>
      <c r="D884" s="2188"/>
      <c r="E884" s="418"/>
      <c r="F884" s="2189"/>
      <c r="G884" s="2189"/>
      <c r="H884" s="1277"/>
      <c r="I884" s="1277"/>
      <c r="J884" s="2188"/>
      <c r="K884" s="2188"/>
      <c r="L884" s="950"/>
      <c r="M884" s="1121"/>
    </row>
    <row r="885" spans="1:14" s="952" customFormat="1">
      <c r="A885" s="1642"/>
      <c r="B885" s="1017"/>
      <c r="C885" s="2407" t="s">
        <v>1769</v>
      </c>
      <c r="D885" s="2407"/>
      <c r="E885" s="1017"/>
      <c r="F885" s="1017"/>
      <c r="G885" s="1017"/>
      <c r="H885" s="1017" t="s">
        <v>134</v>
      </c>
      <c r="I885" s="1017"/>
      <c r="J885" s="1017"/>
      <c r="K885" s="1017"/>
      <c r="L885" s="950"/>
      <c r="M885" s="1121"/>
    </row>
    <row r="886" spans="1:14" s="952" customFormat="1">
      <c r="A886" s="1643"/>
      <c r="B886" s="419"/>
      <c r="C886" s="2408" t="s">
        <v>1970</v>
      </c>
      <c r="D886" s="2408"/>
      <c r="E886" s="419"/>
      <c r="F886" s="419"/>
      <c r="G886" s="419"/>
      <c r="H886" s="419" t="s">
        <v>1971</v>
      </c>
      <c r="I886" s="419"/>
      <c r="J886" s="419"/>
      <c r="K886" s="419"/>
      <c r="L886" s="950"/>
      <c r="M886" s="1121"/>
    </row>
    <row r="887" spans="1:14" s="952" customFormat="1">
      <c r="A887" s="2188"/>
      <c r="B887" s="1017"/>
      <c r="C887" s="1017" t="s">
        <v>2031</v>
      </c>
      <c r="D887" s="2188"/>
      <c r="E887" s="419"/>
      <c r="F887" s="419"/>
      <c r="G887" s="419"/>
      <c r="H887" s="1017" t="s">
        <v>134</v>
      </c>
      <c r="I887" s="419"/>
      <c r="J887" s="419"/>
      <c r="K887" s="419"/>
      <c r="L887" s="950"/>
      <c r="M887" s="1121"/>
    </row>
    <row r="888" spans="1:14" s="952" customFormat="1">
      <c r="A888" s="1017"/>
      <c r="B888" s="419"/>
      <c r="C888" s="419" t="s">
        <v>1984</v>
      </c>
      <c r="D888" s="2188"/>
      <c r="E888" s="1017"/>
      <c r="F888" s="1017"/>
      <c r="G888" s="1017"/>
      <c r="H888" s="419" t="s">
        <v>1985</v>
      </c>
      <c r="I888" s="1017"/>
      <c r="J888" s="1017"/>
      <c r="K888" s="1017"/>
      <c r="L888" s="950"/>
      <c r="M888" s="1121"/>
    </row>
    <row r="889" spans="1:14" s="952" customFormat="1">
      <c r="A889" s="2190"/>
      <c r="B889" s="2190"/>
      <c r="C889" s="1017" t="s">
        <v>670</v>
      </c>
      <c r="D889" s="2191"/>
      <c r="E889" s="2192"/>
      <c r="F889" s="2193"/>
      <c r="G889" s="2194"/>
      <c r="H889" s="2194"/>
      <c r="I889" s="2194"/>
      <c r="J889" s="2194"/>
      <c r="K889" s="2194"/>
      <c r="L889" s="950"/>
      <c r="M889" s="1121"/>
    </row>
    <row r="890" spans="1:14" s="952" customFormat="1">
      <c r="A890" s="2195"/>
      <c r="B890" s="2195"/>
      <c r="C890" s="2196" t="s">
        <v>1972</v>
      </c>
      <c r="D890" s="2197"/>
      <c r="E890" s="2198"/>
      <c r="F890" s="2199"/>
      <c r="G890" s="2200"/>
      <c r="H890" s="2200"/>
      <c r="I890" s="2200"/>
      <c r="J890" s="2200"/>
      <c r="K890" s="2200"/>
      <c r="L890" s="950"/>
      <c r="M890" s="1121"/>
    </row>
    <row r="891" spans="1:14" s="1134" customFormat="1">
      <c r="A891" s="1572" t="s">
        <v>335</v>
      </c>
      <c r="B891" s="2476" t="s">
        <v>1678</v>
      </c>
      <c r="C891" s="2477"/>
      <c r="D891" s="1109"/>
      <c r="E891" s="1110"/>
      <c r="F891" s="1111"/>
      <c r="G891" s="1111"/>
      <c r="H891" s="1111"/>
      <c r="I891" s="1111"/>
      <c r="J891" s="1111"/>
      <c r="K891" s="1111"/>
      <c r="L891" s="1106"/>
      <c r="M891" s="1107"/>
    </row>
    <row r="892" spans="1:14" s="1134" customFormat="1">
      <c r="A892" s="1572" t="s">
        <v>351</v>
      </c>
      <c r="B892" s="2476" t="s">
        <v>1673</v>
      </c>
      <c r="C892" s="2477"/>
      <c r="D892" s="1109"/>
      <c r="E892" s="1589"/>
      <c r="F892" s="1111"/>
      <c r="G892" s="1111"/>
      <c r="H892" s="1111"/>
      <c r="I892" s="1111"/>
      <c r="J892" s="1111"/>
      <c r="K892" s="1111"/>
      <c r="L892" s="1106"/>
      <c r="M892" s="1107"/>
    </row>
    <row r="893" spans="1:14" s="1134" customFormat="1">
      <c r="A893" s="1572"/>
      <c r="B893" s="1554" t="s">
        <v>139</v>
      </c>
      <c r="C893" s="1573" t="s">
        <v>1674</v>
      </c>
      <c r="D893" s="1109">
        <v>0</v>
      </c>
      <c r="E893" s="936" t="s">
        <v>5</v>
      </c>
      <c r="F893" s="414">
        <v>0</v>
      </c>
      <c r="G893" s="1111">
        <v>0</v>
      </c>
      <c r="H893" s="414">
        <f t="shared" ref="H893:H899" si="74">F893*D893</f>
        <v>0</v>
      </c>
      <c r="I893" s="414">
        <f t="shared" ref="I893:I899" si="75">D893*G893</f>
        <v>0</v>
      </c>
      <c r="J893" s="414">
        <f t="shared" ref="J893:J899" si="76">H893+I893</f>
        <v>0</v>
      </c>
      <c r="K893" s="1110" t="s">
        <v>1806</v>
      </c>
      <c r="L893" s="1161"/>
      <c r="M893" s="407" t="s">
        <v>622</v>
      </c>
    </row>
    <row r="894" spans="1:14" s="1134" customFormat="1">
      <c r="A894" s="1572"/>
      <c r="B894" s="1554" t="s">
        <v>139</v>
      </c>
      <c r="C894" s="1573" t="s">
        <v>1675</v>
      </c>
      <c r="D894" s="1109">
        <v>1</v>
      </c>
      <c r="E894" s="936" t="s">
        <v>5</v>
      </c>
      <c r="F894" s="1111">
        <v>0</v>
      </c>
      <c r="G894" s="1111">
        <v>2500</v>
      </c>
      <c r="H894" s="414">
        <f t="shared" si="74"/>
        <v>0</v>
      </c>
      <c r="I894" s="414">
        <f t="shared" si="75"/>
        <v>2500</v>
      </c>
      <c r="J894" s="414">
        <f t="shared" si="76"/>
        <v>2500</v>
      </c>
      <c r="K894" s="1110"/>
      <c r="L894" s="1161"/>
      <c r="M894" s="407" t="s">
        <v>622</v>
      </c>
    </row>
    <row r="895" spans="1:14" s="952" customFormat="1" ht="48">
      <c r="A895" s="1556"/>
      <c r="B895" s="1560" t="s">
        <v>139</v>
      </c>
      <c r="C895" s="1596" t="s">
        <v>1706</v>
      </c>
      <c r="D895" s="670">
        <v>1</v>
      </c>
      <c r="E895" s="945" t="s">
        <v>5</v>
      </c>
      <c r="F895" s="949">
        <v>0</v>
      </c>
      <c r="G895" s="949">
        <v>4000</v>
      </c>
      <c r="H895" s="949">
        <f t="shared" si="74"/>
        <v>0</v>
      </c>
      <c r="I895" s="949">
        <f t="shared" si="75"/>
        <v>4000</v>
      </c>
      <c r="J895" s="949">
        <f t="shared" si="76"/>
        <v>4000</v>
      </c>
      <c r="K895" s="945"/>
      <c r="L895" s="1164"/>
      <c r="M895" s="1152" t="s">
        <v>622</v>
      </c>
    </row>
    <row r="896" spans="1:14" s="1134" customFormat="1">
      <c r="A896" s="893"/>
      <c r="B896" s="892" t="s">
        <v>139</v>
      </c>
      <c r="C896" s="1151" t="s">
        <v>1696</v>
      </c>
      <c r="D896" s="1109">
        <v>1</v>
      </c>
      <c r="E896" s="936" t="s">
        <v>5</v>
      </c>
      <c r="F896" s="1111">
        <v>12500</v>
      </c>
      <c r="G896" s="1111">
        <v>500</v>
      </c>
      <c r="H896" s="414">
        <f t="shared" si="74"/>
        <v>12500</v>
      </c>
      <c r="I896" s="414">
        <f t="shared" si="75"/>
        <v>500</v>
      </c>
      <c r="J896" s="414">
        <f t="shared" si="76"/>
        <v>13000</v>
      </c>
      <c r="K896" s="1110"/>
      <c r="L896" s="1161"/>
      <c r="M896" s="407" t="s">
        <v>622</v>
      </c>
    </row>
    <row r="897" spans="1:13" s="1134" customFormat="1">
      <c r="A897" s="893"/>
      <c r="B897" s="892" t="s">
        <v>139</v>
      </c>
      <c r="C897" s="1151" t="s">
        <v>1731</v>
      </c>
      <c r="D897" s="1109">
        <v>0</v>
      </c>
      <c r="E897" s="936" t="s">
        <v>5</v>
      </c>
      <c r="F897" s="414">
        <v>0</v>
      </c>
      <c r="G897" s="1111">
        <v>0</v>
      </c>
      <c r="H897" s="414">
        <f t="shared" si="74"/>
        <v>0</v>
      </c>
      <c r="I897" s="414">
        <f t="shared" si="75"/>
        <v>0</v>
      </c>
      <c r="J897" s="414">
        <f t="shared" si="76"/>
        <v>0</v>
      </c>
      <c r="K897" s="1110" t="s">
        <v>1806</v>
      </c>
      <c r="L897" s="1161"/>
      <c r="M897" s="407" t="s">
        <v>622</v>
      </c>
    </row>
    <row r="898" spans="1:13" s="1134" customFormat="1">
      <c r="A898" s="893"/>
      <c r="B898" s="892" t="s">
        <v>139</v>
      </c>
      <c r="C898" s="1151" t="s">
        <v>1699</v>
      </c>
      <c r="D898" s="1109">
        <v>0</v>
      </c>
      <c r="E898" s="936" t="s">
        <v>5</v>
      </c>
      <c r="F898" s="1111">
        <v>0</v>
      </c>
      <c r="G898" s="1111">
        <v>0</v>
      </c>
      <c r="H898" s="414">
        <f t="shared" si="74"/>
        <v>0</v>
      </c>
      <c r="I898" s="414">
        <f t="shared" si="75"/>
        <v>0</v>
      </c>
      <c r="J898" s="414">
        <f t="shared" si="76"/>
        <v>0</v>
      </c>
      <c r="K898" s="1110" t="s">
        <v>1806</v>
      </c>
      <c r="L898" s="1161"/>
      <c r="M898" s="407" t="s">
        <v>622</v>
      </c>
    </row>
    <row r="899" spans="1:13" s="1134" customFormat="1">
      <c r="A899" s="893"/>
      <c r="B899" s="892" t="s">
        <v>139</v>
      </c>
      <c r="C899" s="1085" t="s">
        <v>1599</v>
      </c>
      <c r="D899" s="1109">
        <v>0</v>
      </c>
      <c r="E899" s="936" t="s">
        <v>105</v>
      </c>
      <c r="F899" s="414">
        <v>0</v>
      </c>
      <c r="G899" s="414">
        <v>0</v>
      </c>
      <c r="H899" s="414">
        <f t="shared" si="74"/>
        <v>0</v>
      </c>
      <c r="I899" s="414">
        <f t="shared" si="75"/>
        <v>0</v>
      </c>
      <c r="J899" s="414">
        <f t="shared" si="76"/>
        <v>0</v>
      </c>
      <c r="K899" s="1110" t="s">
        <v>1806</v>
      </c>
      <c r="L899" s="1161"/>
      <c r="M899" s="1117" t="s">
        <v>282</v>
      </c>
    </row>
    <row r="900" spans="1:13" s="1134" customFormat="1">
      <c r="A900" s="893" t="s">
        <v>352</v>
      </c>
      <c r="B900" s="2464" t="s">
        <v>1710</v>
      </c>
      <c r="C900" s="2465"/>
      <c r="D900" s="1109"/>
      <c r="E900" s="936"/>
      <c r="F900" s="1111"/>
      <c r="G900" s="1111"/>
      <c r="H900" s="414"/>
      <c r="I900" s="414"/>
      <c r="J900" s="414"/>
      <c r="K900" s="1111"/>
      <c r="L900" s="1106"/>
      <c r="M900" s="1117"/>
    </row>
    <row r="901" spans="1:13" s="1134" customFormat="1">
      <c r="A901" s="893"/>
      <c r="B901" s="953" t="s">
        <v>1711</v>
      </c>
      <c r="C901" s="1120"/>
      <c r="D901" s="1109"/>
      <c r="E901" s="936"/>
      <c r="F901" s="414"/>
      <c r="G901" s="414"/>
      <c r="H901" s="414"/>
      <c r="I901" s="414"/>
      <c r="J901" s="414"/>
      <c r="K901" s="1110"/>
      <c r="L901" s="1161"/>
      <c r="M901" s="1117"/>
    </row>
    <row r="902" spans="1:13" s="1134" customFormat="1">
      <c r="A902" s="893"/>
      <c r="B902" s="892" t="s">
        <v>139</v>
      </c>
      <c r="C902" s="1115" t="s">
        <v>1524</v>
      </c>
      <c r="D902" s="1109">
        <v>0</v>
      </c>
      <c r="E902" s="936" t="s">
        <v>84</v>
      </c>
      <c r="F902" s="414">
        <v>44.33</v>
      </c>
      <c r="G902" s="414">
        <v>22</v>
      </c>
      <c r="H902" s="414">
        <f>F902*D902</f>
        <v>0</v>
      </c>
      <c r="I902" s="414">
        <f>D902*G902</f>
        <v>0</v>
      </c>
      <c r="J902" s="414">
        <f>H902+I902</f>
        <v>0</v>
      </c>
      <c r="K902" s="1110" t="s">
        <v>1806</v>
      </c>
      <c r="L902" s="1161"/>
      <c r="M902" s="1117"/>
    </row>
    <row r="903" spans="1:13" s="1134" customFormat="1">
      <c r="A903" s="893"/>
      <c r="B903" s="953" t="s">
        <v>1712</v>
      </c>
      <c r="C903" s="1120"/>
      <c r="D903" s="1109"/>
      <c r="E903" s="936"/>
      <c r="F903" s="414"/>
      <c r="G903" s="414"/>
      <c r="H903" s="414"/>
      <c r="I903" s="414"/>
      <c r="J903" s="414"/>
      <c r="K903" s="1110"/>
      <c r="L903" s="1161"/>
      <c r="M903" s="1117"/>
    </row>
    <row r="904" spans="1:13" s="1134" customFormat="1">
      <c r="A904" s="893"/>
      <c r="B904" s="892" t="s">
        <v>139</v>
      </c>
      <c r="C904" s="1120" t="s">
        <v>1842</v>
      </c>
      <c r="D904" s="1109">
        <v>0</v>
      </c>
      <c r="E904" s="936" t="s">
        <v>105</v>
      </c>
      <c r="F904" s="414">
        <f>ROUND(SUM(H901:H903)*0.3,0)</f>
        <v>0</v>
      </c>
      <c r="G904" s="414">
        <f>ROUND(F904*0.3,0)</f>
        <v>0</v>
      </c>
      <c r="H904" s="414">
        <f>F904*D904</f>
        <v>0</v>
      </c>
      <c r="I904" s="414">
        <f>D904*G904</f>
        <v>0</v>
      </c>
      <c r="J904" s="414">
        <f>H904+I904</f>
        <v>0</v>
      </c>
      <c r="K904" s="1110" t="s">
        <v>1806</v>
      </c>
      <c r="L904" s="1161"/>
      <c r="M904" s="1117"/>
    </row>
    <row r="905" spans="1:13" s="1134" customFormat="1">
      <c r="A905" s="893"/>
      <c r="B905" s="892" t="s">
        <v>139</v>
      </c>
      <c r="C905" s="1120" t="s">
        <v>1843</v>
      </c>
      <c r="D905" s="1109">
        <v>0</v>
      </c>
      <c r="E905" s="936" t="s">
        <v>105</v>
      </c>
      <c r="F905" s="414">
        <f>ROUND(SUM(H901:H903)*0.1,0)</f>
        <v>0</v>
      </c>
      <c r="G905" s="414">
        <f>ROUND(F905*0.3,0)</f>
        <v>0</v>
      </c>
      <c r="H905" s="414">
        <f>F905*D905</f>
        <v>0</v>
      </c>
      <c r="I905" s="414">
        <f>D905*G905</f>
        <v>0</v>
      </c>
      <c r="J905" s="414">
        <f>H905+I905</f>
        <v>0</v>
      </c>
      <c r="K905" s="1110" t="s">
        <v>1806</v>
      </c>
      <c r="L905" s="1161"/>
      <c r="M905" s="1117"/>
    </row>
    <row r="906" spans="1:13" s="1134" customFormat="1">
      <c r="A906" s="2183"/>
      <c r="B906" s="2183"/>
      <c r="C906" s="2183"/>
      <c r="D906" s="2184"/>
      <c r="E906" s="2185"/>
      <c r="F906" s="2185"/>
      <c r="G906" s="2185"/>
      <c r="H906" s="2185"/>
      <c r="I906" s="2185"/>
      <c r="J906" s="2185"/>
      <c r="K906" s="2185"/>
      <c r="L906" s="1161"/>
      <c r="M906" s="1117"/>
    </row>
    <row r="907" spans="1:13" s="1134" customFormat="1">
      <c r="A907" s="2186"/>
      <c r="B907" s="2187"/>
      <c r="C907" s="2186" t="s">
        <v>133</v>
      </c>
      <c r="D907" s="2188"/>
      <c r="E907" s="418"/>
      <c r="F907" s="2189"/>
      <c r="G907" s="2189"/>
      <c r="H907" s="1277"/>
      <c r="I907" s="1277"/>
      <c r="J907" s="2188"/>
      <c r="K907" s="2188"/>
      <c r="L907" s="1161"/>
      <c r="M907" s="1117"/>
    </row>
    <row r="908" spans="1:13" s="1134" customFormat="1">
      <c r="A908" s="1642"/>
      <c r="B908" s="1017"/>
      <c r="C908" s="2407" t="s">
        <v>1769</v>
      </c>
      <c r="D908" s="2407"/>
      <c r="E908" s="1017"/>
      <c r="F908" s="1017"/>
      <c r="G908" s="1017"/>
      <c r="H908" s="1017" t="s">
        <v>134</v>
      </c>
      <c r="I908" s="1017"/>
      <c r="J908" s="1017"/>
      <c r="K908" s="1017"/>
      <c r="L908" s="1161"/>
      <c r="M908" s="1117"/>
    </row>
    <row r="909" spans="1:13" s="1134" customFormat="1">
      <c r="A909" s="1643"/>
      <c r="B909" s="419"/>
      <c r="C909" s="2408" t="s">
        <v>1970</v>
      </c>
      <c r="D909" s="2408"/>
      <c r="E909" s="419"/>
      <c r="F909" s="419"/>
      <c r="G909" s="419"/>
      <c r="H909" s="419" t="s">
        <v>1971</v>
      </c>
      <c r="I909" s="419"/>
      <c r="J909" s="419"/>
      <c r="K909" s="419"/>
      <c r="L909" s="1161"/>
      <c r="M909" s="1117"/>
    </row>
    <row r="910" spans="1:13" s="1134" customFormat="1">
      <c r="A910" s="2188"/>
      <c r="B910" s="1017"/>
      <c r="C910" s="1017" t="s">
        <v>2031</v>
      </c>
      <c r="D910" s="2188"/>
      <c r="E910" s="419"/>
      <c r="F910" s="419"/>
      <c r="G910" s="419"/>
      <c r="H910" s="1017" t="s">
        <v>134</v>
      </c>
      <c r="I910" s="419"/>
      <c r="J910" s="419"/>
      <c r="K910" s="419"/>
      <c r="L910" s="1161"/>
      <c r="M910" s="1117"/>
    </row>
    <row r="911" spans="1:13" s="1134" customFormat="1">
      <c r="A911" s="1017"/>
      <c r="B911" s="419"/>
      <c r="C911" s="419" t="s">
        <v>1984</v>
      </c>
      <c r="D911" s="2188"/>
      <c r="E911" s="1017"/>
      <c r="F911" s="1017"/>
      <c r="G911" s="1017"/>
      <c r="H911" s="419" t="s">
        <v>1985</v>
      </c>
      <c r="I911" s="1017"/>
      <c r="J911" s="1017"/>
      <c r="K911" s="1017"/>
      <c r="L911" s="1161"/>
      <c r="M911" s="1117"/>
    </row>
    <row r="912" spans="1:13" s="1134" customFormat="1">
      <c r="A912" s="2190"/>
      <c r="B912" s="2190"/>
      <c r="C912" s="1017" t="s">
        <v>670</v>
      </c>
      <c r="D912" s="2191"/>
      <c r="E912" s="2192"/>
      <c r="F912" s="2193"/>
      <c r="G912" s="2194"/>
      <c r="H912" s="2194"/>
      <c r="I912" s="2194"/>
      <c r="J912" s="2194"/>
      <c r="K912" s="2194"/>
      <c r="L912" s="1161"/>
      <c r="M912" s="1117"/>
    </row>
    <row r="913" spans="1:13" s="1134" customFormat="1">
      <c r="A913" s="2195"/>
      <c r="B913" s="2195"/>
      <c r="C913" s="2196" t="s">
        <v>1972</v>
      </c>
      <c r="D913" s="2197"/>
      <c r="E913" s="2198"/>
      <c r="F913" s="2199"/>
      <c r="G913" s="2200"/>
      <c r="H913" s="2200"/>
      <c r="I913" s="2200"/>
      <c r="J913" s="2200"/>
      <c r="K913" s="2200"/>
      <c r="L913" s="1161"/>
      <c r="M913" s="1117"/>
    </row>
    <row r="914" spans="1:13" s="1134" customFormat="1">
      <c r="A914" s="893"/>
      <c r="B914" s="953" t="s">
        <v>1713</v>
      </c>
      <c r="C914" s="1120"/>
      <c r="D914" s="1109"/>
      <c r="E914" s="936"/>
      <c r="F914" s="414"/>
      <c r="G914" s="414"/>
      <c r="H914" s="414"/>
      <c r="I914" s="414"/>
      <c r="J914" s="414"/>
      <c r="K914" s="1110"/>
      <c r="L914" s="1161"/>
      <c r="M914" s="1117"/>
    </row>
    <row r="915" spans="1:13" s="952" customFormat="1" ht="48">
      <c r="A915" s="946"/>
      <c r="B915" s="947" t="s">
        <v>139</v>
      </c>
      <c r="C915" s="1163" t="s">
        <v>1704</v>
      </c>
      <c r="D915" s="670">
        <v>0</v>
      </c>
      <c r="E915" s="945" t="s">
        <v>84</v>
      </c>
      <c r="F915" s="949">
        <f>ROUND(SUM(H903:H905)*0.1,0)</f>
        <v>0</v>
      </c>
      <c r="G915" s="949">
        <f>ROUND(F915*0.3,0)</f>
        <v>0</v>
      </c>
      <c r="H915" s="949">
        <f>F915*D915</f>
        <v>0</v>
      </c>
      <c r="I915" s="949">
        <f>D915*G915</f>
        <v>0</v>
      </c>
      <c r="J915" s="949">
        <f>H915+I915</f>
        <v>0</v>
      </c>
      <c r="K915" s="945" t="s">
        <v>1806</v>
      </c>
      <c r="L915" s="1164"/>
      <c r="M915" s="1145"/>
    </row>
    <row r="916" spans="1:13" s="1134" customFormat="1">
      <c r="A916" s="893"/>
      <c r="B916" s="892" t="s">
        <v>139</v>
      </c>
      <c r="C916" s="1122" t="s">
        <v>1705</v>
      </c>
      <c r="D916" s="1109">
        <v>0</v>
      </c>
      <c r="E916" s="936" t="s">
        <v>84</v>
      </c>
      <c r="F916" s="414">
        <v>11.4</v>
      </c>
      <c r="G916" s="414">
        <v>7</v>
      </c>
      <c r="H916" s="414">
        <f>F916*D916</f>
        <v>0</v>
      </c>
      <c r="I916" s="414">
        <f>D916*G916</f>
        <v>0</v>
      </c>
      <c r="J916" s="414">
        <f>H916+I916</f>
        <v>0</v>
      </c>
      <c r="K916" s="1110" t="s">
        <v>1806</v>
      </c>
      <c r="L916" s="1161"/>
      <c r="M916" s="1117"/>
    </row>
    <row r="917" spans="1:13" s="1134" customFormat="1">
      <c r="A917" s="893"/>
      <c r="B917" s="892" t="s">
        <v>139</v>
      </c>
      <c r="C917" s="1085" t="s">
        <v>520</v>
      </c>
      <c r="D917" s="1109">
        <v>0</v>
      </c>
      <c r="E917" s="936" t="s">
        <v>84</v>
      </c>
      <c r="F917" s="414">
        <v>18</v>
      </c>
      <c r="G917" s="414">
        <v>8</v>
      </c>
      <c r="H917" s="414">
        <f>F917*D917</f>
        <v>0</v>
      </c>
      <c r="I917" s="414">
        <f>D917*G917</f>
        <v>0</v>
      </c>
      <c r="J917" s="414">
        <f>H917+I917</f>
        <v>0</v>
      </c>
      <c r="K917" s="1110" t="s">
        <v>1806</v>
      </c>
      <c r="L917" s="1161"/>
      <c r="M917" s="1117"/>
    </row>
    <row r="918" spans="1:13" s="1134" customFormat="1">
      <c r="A918" s="893"/>
      <c r="B918" s="953" t="s">
        <v>1712</v>
      </c>
      <c r="C918" s="1120"/>
      <c r="D918" s="1109"/>
      <c r="E918" s="936"/>
      <c r="F918" s="414"/>
      <c r="G918" s="414"/>
      <c r="H918" s="414"/>
      <c r="I918" s="414"/>
      <c r="J918" s="414"/>
      <c r="K918" s="1110"/>
      <c r="L918" s="1161"/>
      <c r="M918" s="1117"/>
    </row>
    <row r="919" spans="1:13" s="1134" customFormat="1">
      <c r="A919" s="893"/>
      <c r="B919" s="892" t="s">
        <v>139</v>
      </c>
      <c r="C919" s="1120" t="s">
        <v>1842</v>
      </c>
      <c r="D919" s="1109">
        <v>0</v>
      </c>
      <c r="E919" s="936" t="s">
        <v>105</v>
      </c>
      <c r="F919" s="1116">
        <f>ROUND(SUM(H915:H918)*0.1,0)</f>
        <v>0</v>
      </c>
      <c r="G919" s="414">
        <f>ROUND(F919*0.3,0)</f>
        <v>0</v>
      </c>
      <c r="H919" s="414">
        <f>F919*D919</f>
        <v>0</v>
      </c>
      <c r="I919" s="414">
        <f>D919*G919</f>
        <v>0</v>
      </c>
      <c r="J919" s="414">
        <f>H919+I919</f>
        <v>0</v>
      </c>
      <c r="K919" s="1110" t="s">
        <v>1806</v>
      </c>
      <c r="L919" s="1161"/>
      <c r="M919" s="1117"/>
    </row>
    <row r="920" spans="1:13" s="1134" customFormat="1">
      <c r="A920" s="893"/>
      <c r="B920" s="892" t="s">
        <v>139</v>
      </c>
      <c r="C920" s="1120" t="s">
        <v>1843</v>
      </c>
      <c r="D920" s="1109">
        <v>0</v>
      </c>
      <c r="E920" s="936" t="s">
        <v>105</v>
      </c>
      <c r="F920" s="1116"/>
      <c r="G920" s="414"/>
      <c r="H920" s="414"/>
      <c r="I920" s="414"/>
      <c r="J920" s="414"/>
      <c r="K920" s="1110"/>
      <c r="L920" s="1161"/>
      <c r="M920" s="1117"/>
    </row>
    <row r="921" spans="1:13" s="1134" customFormat="1">
      <c r="A921" s="1150" t="s">
        <v>1676</v>
      </c>
      <c r="B921" s="1159" t="s">
        <v>1225</v>
      </c>
      <c r="C921" s="1151"/>
      <c r="D921" s="1109"/>
      <c r="E921" s="1160"/>
      <c r="F921" s="1111"/>
      <c r="G921" s="1111"/>
      <c r="H921" s="1111"/>
      <c r="I921" s="1111"/>
      <c r="J921" s="1111"/>
      <c r="K921" s="1111"/>
      <c r="L921" s="1106"/>
      <c r="M921" s="1107"/>
    </row>
    <row r="922" spans="1:13" s="1134" customFormat="1">
      <c r="A922" s="1150" t="s">
        <v>1677</v>
      </c>
      <c r="B922" s="1159" t="s">
        <v>1718</v>
      </c>
      <c r="C922" s="1151"/>
      <c r="D922" s="1109"/>
      <c r="E922" s="1160"/>
      <c r="F922" s="1111"/>
      <c r="G922" s="1111"/>
      <c r="H922" s="1111"/>
      <c r="I922" s="1111"/>
      <c r="J922" s="1111"/>
      <c r="K922" s="1111"/>
      <c r="L922" s="1106"/>
      <c r="M922" s="1107"/>
    </row>
    <row r="923" spans="1:13" s="1134" customFormat="1">
      <c r="A923" s="1150"/>
      <c r="B923" s="892" t="s">
        <v>139</v>
      </c>
      <c r="C923" s="1151" t="s">
        <v>545</v>
      </c>
      <c r="D923" s="1109">
        <v>1</v>
      </c>
      <c r="E923" s="936" t="s">
        <v>5</v>
      </c>
      <c r="F923" s="414">
        <v>42500</v>
      </c>
      <c r="G923" s="414">
        <v>4500</v>
      </c>
      <c r="H923" s="414">
        <f t="shared" ref="H923:H932" si="77">F923*D923</f>
        <v>42500</v>
      </c>
      <c r="I923" s="414">
        <f t="shared" ref="I923:I932" si="78">D923*G923</f>
        <v>4500</v>
      </c>
      <c r="J923" s="414">
        <f t="shared" ref="J923:J932" si="79">H923+I923</f>
        <v>47000</v>
      </c>
      <c r="K923" s="1111"/>
      <c r="L923" s="1106"/>
      <c r="M923" s="407" t="s">
        <v>622</v>
      </c>
    </row>
    <row r="924" spans="1:13" s="1134" customFormat="1">
      <c r="A924" s="1150"/>
      <c r="B924" s="892" t="s">
        <v>139</v>
      </c>
      <c r="C924" s="1151" t="s">
        <v>1732</v>
      </c>
      <c r="D924" s="1109">
        <v>1</v>
      </c>
      <c r="E924" s="936" t="s">
        <v>5</v>
      </c>
      <c r="F924" s="1111">
        <v>12500</v>
      </c>
      <c r="G924" s="1111">
        <v>1000</v>
      </c>
      <c r="H924" s="414">
        <f t="shared" si="77"/>
        <v>12500</v>
      </c>
      <c r="I924" s="414">
        <f t="shared" si="78"/>
        <v>1000</v>
      </c>
      <c r="J924" s="414">
        <f t="shared" si="79"/>
        <v>13500</v>
      </c>
      <c r="K924" s="1111"/>
      <c r="L924" s="1106"/>
      <c r="M924" s="407" t="s">
        <v>622</v>
      </c>
    </row>
    <row r="925" spans="1:13" s="1134" customFormat="1">
      <c r="A925" s="1150"/>
      <c r="B925" s="892" t="s">
        <v>139</v>
      </c>
      <c r="C925" s="1151" t="s">
        <v>548</v>
      </c>
      <c r="D925" s="1109">
        <v>1</v>
      </c>
      <c r="E925" s="936" t="s">
        <v>5</v>
      </c>
      <c r="F925" s="414">
        <v>4200</v>
      </c>
      <c r="G925" s="414">
        <v>300</v>
      </c>
      <c r="H925" s="414">
        <f t="shared" si="77"/>
        <v>4200</v>
      </c>
      <c r="I925" s="414">
        <f t="shared" si="78"/>
        <v>300</v>
      </c>
      <c r="J925" s="414">
        <f t="shared" si="79"/>
        <v>4500</v>
      </c>
      <c r="K925" s="1111"/>
      <c r="L925" s="1106"/>
      <c r="M925" s="407" t="s">
        <v>622</v>
      </c>
    </row>
    <row r="926" spans="1:13" s="1134" customFormat="1">
      <c r="A926" s="1150"/>
      <c r="B926" s="892" t="s">
        <v>139</v>
      </c>
      <c r="C926" s="1151" t="s">
        <v>550</v>
      </c>
      <c r="D926" s="1109">
        <v>2</v>
      </c>
      <c r="E926" s="936" t="s">
        <v>5</v>
      </c>
      <c r="F926" s="414">
        <v>9000</v>
      </c>
      <c r="G926" s="414">
        <v>300</v>
      </c>
      <c r="H926" s="414">
        <f t="shared" si="77"/>
        <v>18000</v>
      </c>
      <c r="I926" s="414">
        <f t="shared" si="78"/>
        <v>600</v>
      </c>
      <c r="J926" s="414">
        <f t="shared" si="79"/>
        <v>18600</v>
      </c>
      <c r="K926" s="1111"/>
      <c r="L926" s="1106"/>
      <c r="M926" s="407" t="s">
        <v>622</v>
      </c>
    </row>
    <row r="927" spans="1:13" s="1134" customFormat="1">
      <c r="A927" s="1150"/>
      <c r="B927" s="892" t="s">
        <v>139</v>
      </c>
      <c r="C927" s="1151" t="s">
        <v>1752</v>
      </c>
      <c r="D927" s="1109">
        <v>2</v>
      </c>
      <c r="E927" s="936" t="s">
        <v>5</v>
      </c>
      <c r="F927" s="414">
        <v>96000</v>
      </c>
      <c r="G927" s="414">
        <v>9000</v>
      </c>
      <c r="H927" s="414">
        <f t="shared" si="77"/>
        <v>192000</v>
      </c>
      <c r="I927" s="414">
        <f t="shared" si="78"/>
        <v>18000</v>
      </c>
      <c r="J927" s="414">
        <f t="shared" si="79"/>
        <v>210000</v>
      </c>
      <c r="K927" s="1111"/>
      <c r="L927" s="1106"/>
      <c r="M927" s="407" t="s">
        <v>622</v>
      </c>
    </row>
    <row r="928" spans="1:13" s="1134" customFormat="1">
      <c r="A928" s="1150"/>
      <c r="B928" s="892" t="s">
        <v>139</v>
      </c>
      <c r="C928" s="1151" t="s">
        <v>1729</v>
      </c>
      <c r="D928" s="1109">
        <v>1</v>
      </c>
      <c r="E928" s="936" t="s">
        <v>5</v>
      </c>
      <c r="F928" s="414">
        <v>18000</v>
      </c>
      <c r="G928" s="414">
        <v>1500</v>
      </c>
      <c r="H928" s="414">
        <f t="shared" si="77"/>
        <v>18000</v>
      </c>
      <c r="I928" s="414">
        <f t="shared" si="78"/>
        <v>1500</v>
      </c>
      <c r="J928" s="414">
        <f t="shared" si="79"/>
        <v>19500</v>
      </c>
      <c r="K928" s="1111"/>
      <c r="L928" s="1106"/>
      <c r="M928" s="407" t="s">
        <v>622</v>
      </c>
    </row>
    <row r="929" spans="1:13" s="1134" customFormat="1">
      <c r="A929" s="1150"/>
      <c r="B929" s="892" t="s">
        <v>139</v>
      </c>
      <c r="C929" s="1151" t="s">
        <v>1753</v>
      </c>
      <c r="D929" s="1109">
        <v>2</v>
      </c>
      <c r="E929" s="936" t="s">
        <v>5</v>
      </c>
      <c r="F929" s="414">
        <v>46000</v>
      </c>
      <c r="G929" s="414">
        <v>4000</v>
      </c>
      <c r="H929" s="414">
        <f t="shared" si="77"/>
        <v>92000</v>
      </c>
      <c r="I929" s="414">
        <f t="shared" si="78"/>
        <v>8000</v>
      </c>
      <c r="J929" s="414">
        <f t="shared" si="79"/>
        <v>100000</v>
      </c>
      <c r="K929" s="1111"/>
      <c r="L929" s="1106"/>
      <c r="M929" s="407" t="s">
        <v>622</v>
      </c>
    </row>
    <row r="930" spans="1:13" s="1134" customFormat="1">
      <c r="A930" s="1150"/>
      <c r="B930" s="892" t="s">
        <v>139</v>
      </c>
      <c r="C930" s="1151" t="s">
        <v>1754</v>
      </c>
      <c r="D930" s="1109">
        <v>2</v>
      </c>
      <c r="E930" s="936" t="s">
        <v>5</v>
      </c>
      <c r="F930" s="414">
        <v>80000</v>
      </c>
      <c r="G930" s="414">
        <v>7500</v>
      </c>
      <c r="H930" s="414">
        <f t="shared" si="77"/>
        <v>160000</v>
      </c>
      <c r="I930" s="414">
        <f t="shared" si="78"/>
        <v>15000</v>
      </c>
      <c r="J930" s="414">
        <f t="shared" si="79"/>
        <v>175000</v>
      </c>
      <c r="K930" s="1111"/>
      <c r="L930" s="1106"/>
      <c r="M930" s="407" t="s">
        <v>622</v>
      </c>
    </row>
    <row r="931" spans="1:13" s="1134" customFormat="1">
      <c r="A931" s="1150"/>
      <c r="B931" s="892" t="s">
        <v>139</v>
      </c>
      <c r="C931" s="1151" t="s">
        <v>1755</v>
      </c>
      <c r="D931" s="1109">
        <v>2</v>
      </c>
      <c r="E931" s="936" t="s">
        <v>5</v>
      </c>
      <c r="F931" s="414">
        <v>48000</v>
      </c>
      <c r="G931" s="414">
        <v>4500</v>
      </c>
      <c r="H931" s="414">
        <f t="shared" si="77"/>
        <v>96000</v>
      </c>
      <c r="I931" s="414">
        <f t="shared" si="78"/>
        <v>9000</v>
      </c>
      <c r="J931" s="414">
        <f t="shared" si="79"/>
        <v>105000</v>
      </c>
      <c r="K931" s="1111"/>
      <c r="L931" s="1106"/>
      <c r="M931" s="407" t="s">
        <v>622</v>
      </c>
    </row>
    <row r="932" spans="1:13" s="1134" customFormat="1">
      <c r="A932" s="1150"/>
      <c r="B932" s="892" t="s">
        <v>139</v>
      </c>
      <c r="C932" s="1151" t="s">
        <v>549</v>
      </c>
      <c r="D932" s="1109">
        <v>2</v>
      </c>
      <c r="E932" s="936" t="s">
        <v>5</v>
      </c>
      <c r="F932" s="414">
        <v>8000</v>
      </c>
      <c r="G932" s="414">
        <v>750</v>
      </c>
      <c r="H932" s="414">
        <f t="shared" si="77"/>
        <v>16000</v>
      </c>
      <c r="I932" s="414">
        <f t="shared" si="78"/>
        <v>1500</v>
      </c>
      <c r="J932" s="414">
        <f t="shared" si="79"/>
        <v>17500</v>
      </c>
      <c r="K932" s="1111"/>
      <c r="L932" s="1106"/>
      <c r="M932" s="407" t="s">
        <v>622</v>
      </c>
    </row>
    <row r="933" spans="1:13" s="1134" customFormat="1">
      <c r="A933" s="893" t="s">
        <v>1730</v>
      </c>
      <c r="B933" s="2464" t="s">
        <v>1719</v>
      </c>
      <c r="C933" s="2465"/>
      <c r="D933" s="1109"/>
      <c r="E933" s="936"/>
      <c r="F933" s="414"/>
      <c r="G933" s="414"/>
      <c r="H933" s="414"/>
      <c r="I933" s="414"/>
      <c r="J933" s="414"/>
      <c r="K933" s="1111"/>
      <c r="L933" s="1106"/>
      <c r="M933" s="1107"/>
    </row>
    <row r="934" spans="1:13" s="1134" customFormat="1">
      <c r="A934" s="893"/>
      <c r="B934" s="892" t="s">
        <v>139</v>
      </c>
      <c r="C934" s="1085" t="s">
        <v>1808</v>
      </c>
      <c r="D934" s="1109">
        <v>16</v>
      </c>
      <c r="E934" s="936" t="s">
        <v>5</v>
      </c>
      <c r="F934" s="1111">
        <v>0</v>
      </c>
      <c r="G934" s="1111">
        <v>2500</v>
      </c>
      <c r="H934" s="414">
        <f t="shared" ref="H934:H939" si="80">F934*D934</f>
        <v>0</v>
      </c>
      <c r="I934" s="414">
        <f t="shared" ref="I934:I939" si="81">D934*G934</f>
        <v>40000</v>
      </c>
      <c r="J934" s="414">
        <f t="shared" ref="J934:J939" si="82">H934+I934</f>
        <v>40000</v>
      </c>
      <c r="K934" s="1111"/>
      <c r="L934" s="1106"/>
      <c r="M934" s="407" t="s">
        <v>622</v>
      </c>
    </row>
    <row r="935" spans="1:13" s="1134" customFormat="1">
      <c r="A935" s="893"/>
      <c r="B935" s="892" t="s">
        <v>139</v>
      </c>
      <c r="C935" s="1151" t="s">
        <v>553</v>
      </c>
      <c r="D935" s="1109">
        <v>1</v>
      </c>
      <c r="E935" s="936" t="s">
        <v>5</v>
      </c>
      <c r="F935" s="1111">
        <v>250000</v>
      </c>
      <c r="G935" s="1111">
        <v>20000</v>
      </c>
      <c r="H935" s="414">
        <f t="shared" si="80"/>
        <v>250000</v>
      </c>
      <c r="I935" s="414">
        <f t="shared" si="81"/>
        <v>20000</v>
      </c>
      <c r="J935" s="414">
        <f t="shared" si="82"/>
        <v>270000</v>
      </c>
      <c r="K935" s="1111"/>
      <c r="L935" s="1106"/>
      <c r="M935" s="407" t="s">
        <v>622</v>
      </c>
    </row>
    <row r="936" spans="1:13" s="1134" customFormat="1">
      <c r="A936" s="893"/>
      <c r="B936" s="892" t="s">
        <v>139</v>
      </c>
      <c r="C936" s="1151" t="s">
        <v>272</v>
      </c>
      <c r="D936" s="1109">
        <v>1</v>
      </c>
      <c r="E936" s="936" t="s">
        <v>5</v>
      </c>
      <c r="F936" s="1111">
        <v>52000</v>
      </c>
      <c r="G936" s="1111">
        <v>2500</v>
      </c>
      <c r="H936" s="414">
        <f t="shared" si="80"/>
        <v>52000</v>
      </c>
      <c r="I936" s="414">
        <f t="shared" si="81"/>
        <v>2500</v>
      </c>
      <c r="J936" s="414">
        <f t="shared" si="82"/>
        <v>54500</v>
      </c>
      <c r="K936" s="1111"/>
      <c r="L936" s="1106"/>
      <c r="M936" s="407" t="s">
        <v>622</v>
      </c>
    </row>
    <row r="937" spans="1:13" s="1134" customFormat="1">
      <c r="A937" s="893"/>
      <c r="B937" s="892" t="s">
        <v>139</v>
      </c>
      <c r="C937" s="1151" t="s">
        <v>1696</v>
      </c>
      <c r="D937" s="1109">
        <v>16</v>
      </c>
      <c r="E937" s="936" t="s">
        <v>5</v>
      </c>
      <c r="F937" s="1111">
        <v>12500</v>
      </c>
      <c r="G937" s="1111">
        <v>500</v>
      </c>
      <c r="H937" s="414">
        <f t="shared" si="80"/>
        <v>200000</v>
      </c>
      <c r="I937" s="414">
        <f t="shared" si="81"/>
        <v>8000</v>
      </c>
      <c r="J937" s="414">
        <f t="shared" si="82"/>
        <v>208000</v>
      </c>
      <c r="K937" s="1111"/>
      <c r="L937" s="1106"/>
      <c r="M937" s="407" t="s">
        <v>622</v>
      </c>
    </row>
    <row r="938" spans="1:13" s="1134" customFormat="1">
      <c r="A938" s="893"/>
      <c r="B938" s="892" t="s">
        <v>139</v>
      </c>
      <c r="C938" s="1085" t="s">
        <v>1726</v>
      </c>
      <c r="D938" s="404">
        <v>1</v>
      </c>
      <c r="E938" s="936" t="s">
        <v>5</v>
      </c>
      <c r="F938" s="414">
        <v>8500</v>
      </c>
      <c r="G938" s="414">
        <v>1500</v>
      </c>
      <c r="H938" s="414">
        <f t="shared" si="80"/>
        <v>8500</v>
      </c>
      <c r="I938" s="414">
        <f t="shared" si="81"/>
        <v>1500</v>
      </c>
      <c r="J938" s="414">
        <f t="shared" si="82"/>
        <v>10000</v>
      </c>
      <c r="K938" s="1111"/>
      <c r="L938" s="1106"/>
      <c r="M938" s="407" t="s">
        <v>622</v>
      </c>
    </row>
    <row r="939" spans="1:13" s="1134" customFormat="1">
      <c r="A939" s="893"/>
      <c r="B939" s="892" t="s">
        <v>139</v>
      </c>
      <c r="C939" s="1085" t="s">
        <v>1599</v>
      </c>
      <c r="D939" s="1109">
        <v>1</v>
      </c>
      <c r="E939" s="936" t="s">
        <v>105</v>
      </c>
      <c r="F939" s="414">
        <v>0</v>
      </c>
      <c r="G939" s="414">
        <v>0</v>
      </c>
      <c r="H939" s="414">
        <f t="shared" si="80"/>
        <v>0</v>
      </c>
      <c r="I939" s="414">
        <f t="shared" si="81"/>
        <v>0</v>
      </c>
      <c r="J939" s="414">
        <f t="shared" si="82"/>
        <v>0</v>
      </c>
      <c r="K939" s="1111"/>
      <c r="L939" s="1106"/>
      <c r="M939" s="407"/>
    </row>
    <row r="940" spans="1:13" s="1134" customFormat="1">
      <c r="A940" s="2183"/>
      <c r="B940" s="2183"/>
      <c r="C940" s="2183"/>
      <c r="D940" s="2184"/>
      <c r="E940" s="2185"/>
      <c r="F940" s="2185"/>
      <c r="G940" s="2185"/>
      <c r="H940" s="2185"/>
      <c r="I940" s="2185"/>
      <c r="J940" s="2185"/>
      <c r="K940" s="2185"/>
      <c r="L940" s="1106"/>
      <c r="M940" s="407"/>
    </row>
    <row r="941" spans="1:13" s="1134" customFormat="1">
      <c r="A941" s="2186"/>
      <c r="B941" s="2187"/>
      <c r="C941" s="2186" t="s">
        <v>133</v>
      </c>
      <c r="D941" s="2188"/>
      <c r="E941" s="418"/>
      <c r="F941" s="2189"/>
      <c r="G941" s="2189"/>
      <c r="H941" s="1277"/>
      <c r="I941" s="1277"/>
      <c r="J941" s="2188"/>
      <c r="K941" s="2188"/>
      <c r="L941" s="1106"/>
      <c r="M941" s="407"/>
    </row>
    <row r="942" spans="1:13" s="1134" customFormat="1">
      <c r="A942" s="1642"/>
      <c r="B942" s="1017"/>
      <c r="C942" s="2407" t="s">
        <v>1769</v>
      </c>
      <c r="D942" s="2407"/>
      <c r="E942" s="1017"/>
      <c r="F942" s="1017"/>
      <c r="G942" s="1017"/>
      <c r="H942" s="1017" t="s">
        <v>134</v>
      </c>
      <c r="I942" s="1017"/>
      <c r="J942" s="1017"/>
      <c r="K942" s="1017"/>
      <c r="L942" s="1106"/>
      <c r="M942" s="407"/>
    </row>
    <row r="943" spans="1:13" s="1134" customFormat="1">
      <c r="A943" s="1643"/>
      <c r="B943" s="419"/>
      <c r="C943" s="2408" t="s">
        <v>1970</v>
      </c>
      <c r="D943" s="2408"/>
      <c r="E943" s="419"/>
      <c r="F943" s="419"/>
      <c r="G943" s="419"/>
      <c r="H943" s="419" t="s">
        <v>1971</v>
      </c>
      <c r="I943" s="419"/>
      <c r="J943" s="419"/>
      <c r="K943" s="419"/>
      <c r="L943" s="1106"/>
      <c r="M943" s="407"/>
    </row>
    <row r="944" spans="1:13" s="1134" customFormat="1">
      <c r="A944" s="2188"/>
      <c r="B944" s="1017"/>
      <c r="C944" s="1017" t="s">
        <v>2031</v>
      </c>
      <c r="D944" s="2188"/>
      <c r="E944" s="419"/>
      <c r="F944" s="419"/>
      <c r="G944" s="419"/>
      <c r="H944" s="1017" t="s">
        <v>134</v>
      </c>
      <c r="I944" s="419"/>
      <c r="J944" s="419"/>
      <c r="K944" s="419"/>
      <c r="L944" s="1106"/>
      <c r="M944" s="407"/>
    </row>
    <row r="945" spans="1:13" s="1134" customFormat="1">
      <c r="A945" s="1017"/>
      <c r="B945" s="419"/>
      <c r="C945" s="419" t="s">
        <v>1984</v>
      </c>
      <c r="D945" s="2188"/>
      <c r="E945" s="1017"/>
      <c r="F945" s="1017"/>
      <c r="G945" s="1017"/>
      <c r="H945" s="419" t="s">
        <v>1985</v>
      </c>
      <c r="I945" s="1017"/>
      <c r="J945" s="1017"/>
      <c r="K945" s="1017"/>
      <c r="L945" s="1106"/>
      <c r="M945" s="407"/>
    </row>
    <row r="946" spans="1:13" s="1134" customFormat="1">
      <c r="A946" s="2190"/>
      <c r="B946" s="2190"/>
      <c r="C946" s="1017" t="s">
        <v>670</v>
      </c>
      <c r="D946" s="2191"/>
      <c r="E946" s="2192"/>
      <c r="F946" s="2193"/>
      <c r="G946" s="2194"/>
      <c r="H946" s="2194"/>
      <c r="I946" s="2194"/>
      <c r="J946" s="2194"/>
      <c r="K946" s="2194"/>
      <c r="L946" s="1106"/>
      <c r="M946" s="407"/>
    </row>
    <row r="947" spans="1:13" s="1134" customFormat="1">
      <c r="A947" s="2195"/>
      <c r="B947" s="2195"/>
      <c r="C947" s="2196" t="s">
        <v>1972</v>
      </c>
      <c r="D947" s="2197"/>
      <c r="E947" s="2198"/>
      <c r="F947" s="2199"/>
      <c r="G947" s="2200"/>
      <c r="H947" s="2200"/>
      <c r="I947" s="2200"/>
      <c r="J947" s="2200"/>
      <c r="K947" s="2200"/>
      <c r="L947" s="1106"/>
      <c r="M947" s="407"/>
    </row>
    <row r="948" spans="1:13" s="1134" customFormat="1">
      <c r="A948" s="893" t="s">
        <v>1730</v>
      </c>
      <c r="B948" s="2464" t="s">
        <v>1722</v>
      </c>
      <c r="C948" s="2465"/>
      <c r="D948" s="1109"/>
      <c r="E948" s="936"/>
      <c r="F948" s="1111"/>
      <c r="G948" s="1111"/>
      <c r="H948" s="414"/>
      <c r="I948" s="414"/>
      <c r="J948" s="414"/>
      <c r="K948" s="1111"/>
      <c r="L948" s="1106"/>
      <c r="M948" s="407"/>
    </row>
    <row r="949" spans="1:13" s="1134" customFormat="1">
      <c r="A949" s="893"/>
      <c r="B949" s="2466" t="s">
        <v>1723</v>
      </c>
      <c r="C949" s="2467"/>
      <c r="D949" s="404"/>
      <c r="E949" s="936"/>
      <c r="F949" s="1116"/>
      <c r="G949" s="414"/>
      <c r="H949" s="414"/>
      <c r="I949" s="414"/>
      <c r="J949" s="414"/>
      <c r="K949" s="1111"/>
      <c r="L949" s="1106"/>
      <c r="M949" s="407"/>
    </row>
    <row r="950" spans="1:13" s="1134" customFormat="1">
      <c r="A950" s="893"/>
      <c r="B950" s="892" t="s">
        <v>139</v>
      </c>
      <c r="C950" s="1115" t="s">
        <v>1591</v>
      </c>
      <c r="D950" s="404">
        <v>60</v>
      </c>
      <c r="E950" s="936" t="s">
        <v>84</v>
      </c>
      <c r="F950" s="414">
        <v>320</v>
      </c>
      <c r="G950" s="414">
        <v>30</v>
      </c>
      <c r="H950" s="414">
        <f>F950*D950</f>
        <v>19200</v>
      </c>
      <c r="I950" s="414">
        <f>D950*G950</f>
        <v>1800</v>
      </c>
      <c r="J950" s="414">
        <f>H950+I950</f>
        <v>21000</v>
      </c>
      <c r="K950" s="1111"/>
      <c r="L950" s="1106"/>
      <c r="M950" s="939" t="s">
        <v>642</v>
      </c>
    </row>
    <row r="951" spans="1:13" s="1134" customFormat="1">
      <c r="A951" s="893"/>
      <c r="B951" s="892" t="s">
        <v>139</v>
      </c>
      <c r="C951" s="1115" t="s">
        <v>1485</v>
      </c>
      <c r="D951" s="404">
        <v>120</v>
      </c>
      <c r="E951" s="936" t="s">
        <v>84</v>
      </c>
      <c r="F951" s="414">
        <v>64</v>
      </c>
      <c r="G951" s="414">
        <v>24</v>
      </c>
      <c r="H951" s="414">
        <f>F951*D951</f>
        <v>7680</v>
      </c>
      <c r="I951" s="414">
        <f>D951*G951</f>
        <v>2880</v>
      </c>
      <c r="J951" s="414">
        <f>H951+I951</f>
        <v>10560</v>
      </c>
      <c r="K951" s="1111"/>
      <c r="L951" s="1106"/>
      <c r="M951" s="939" t="s">
        <v>642</v>
      </c>
    </row>
    <row r="952" spans="1:13" s="1134" customFormat="1">
      <c r="A952" s="893"/>
      <c r="B952" s="892" t="s">
        <v>139</v>
      </c>
      <c r="C952" s="1115" t="s">
        <v>1524</v>
      </c>
      <c r="D952" s="404">
        <v>240</v>
      </c>
      <c r="E952" s="936" t="s">
        <v>84</v>
      </c>
      <c r="F952" s="414">
        <v>44.33</v>
      </c>
      <c r="G952" s="414">
        <v>22</v>
      </c>
      <c r="H952" s="414">
        <f>F952*D952</f>
        <v>10639.199999999999</v>
      </c>
      <c r="I952" s="414">
        <f>D952*G952</f>
        <v>5280</v>
      </c>
      <c r="J952" s="414">
        <f>H952+I952</f>
        <v>15919.199999999999</v>
      </c>
      <c r="K952" s="1111"/>
      <c r="L952" s="1106"/>
      <c r="M952" s="939" t="s">
        <v>642</v>
      </c>
    </row>
    <row r="953" spans="1:13" s="1134" customFormat="1">
      <c r="A953" s="893"/>
      <c r="B953" s="2466" t="s">
        <v>1724</v>
      </c>
      <c r="C953" s="2467"/>
      <c r="D953" s="404"/>
      <c r="E953" s="936"/>
      <c r="F953" s="1116"/>
      <c r="G953" s="414"/>
      <c r="H953" s="414"/>
      <c r="I953" s="414"/>
      <c r="J953" s="414"/>
      <c r="K953" s="1111"/>
      <c r="L953" s="1106"/>
      <c r="M953" s="939" t="s">
        <v>642</v>
      </c>
    </row>
    <row r="954" spans="1:13" s="952" customFormat="1">
      <c r="A954" s="946"/>
      <c r="B954" s="1119" t="s">
        <v>139</v>
      </c>
      <c r="C954" s="1120" t="s">
        <v>1843</v>
      </c>
      <c r="D954" s="670">
        <v>1</v>
      </c>
      <c r="E954" s="945" t="s">
        <v>105</v>
      </c>
      <c r="F954" s="949">
        <f>SUM(H950:H952)*0.15</f>
        <v>5627.8799999999992</v>
      </c>
      <c r="G954" s="949">
        <v>0</v>
      </c>
      <c r="H954" s="949">
        <f>F954*D954</f>
        <v>5627.8799999999992</v>
      </c>
      <c r="I954" s="949">
        <f>D954*G954</f>
        <v>0</v>
      </c>
      <c r="J954" s="949">
        <f>H954+I954</f>
        <v>5627.8799999999992</v>
      </c>
      <c r="K954" s="949"/>
      <c r="L954" s="950"/>
      <c r="M954" s="1121" t="s">
        <v>282</v>
      </c>
    </row>
    <row r="955" spans="1:13" s="1134" customFormat="1">
      <c r="A955" s="893"/>
      <c r="B955" s="2466" t="s">
        <v>1725</v>
      </c>
      <c r="C955" s="2467"/>
      <c r="D955" s="404"/>
      <c r="E955" s="936"/>
      <c r="F955" s="1116"/>
      <c r="G955" s="414"/>
      <c r="H955" s="414"/>
      <c r="I955" s="414"/>
      <c r="J955" s="414"/>
      <c r="K955" s="1111"/>
      <c r="L955" s="1106"/>
      <c r="M955" s="407"/>
    </row>
    <row r="956" spans="1:13" s="952" customFormat="1" ht="48">
      <c r="A956" s="946"/>
      <c r="B956" s="947" t="s">
        <v>139</v>
      </c>
      <c r="C956" s="1163" t="s">
        <v>1704</v>
      </c>
      <c r="D956" s="670">
        <v>800</v>
      </c>
      <c r="E956" s="945" t="s">
        <v>84</v>
      </c>
      <c r="F956" s="949">
        <v>32</v>
      </c>
      <c r="G956" s="949">
        <v>15</v>
      </c>
      <c r="H956" s="949">
        <f>F956*D956</f>
        <v>25600</v>
      </c>
      <c r="I956" s="949">
        <f>D956*G956</f>
        <v>12000</v>
      </c>
      <c r="J956" s="949">
        <f>H956+I956</f>
        <v>37600</v>
      </c>
      <c r="K956" s="949"/>
      <c r="L956" s="950"/>
      <c r="M956" s="939" t="s">
        <v>642</v>
      </c>
    </row>
    <row r="957" spans="1:13" s="1134" customFormat="1">
      <c r="A957" s="893"/>
      <c r="B957" s="892" t="s">
        <v>139</v>
      </c>
      <c r="C957" s="1122" t="s">
        <v>1482</v>
      </c>
      <c r="D957" s="404">
        <v>160</v>
      </c>
      <c r="E957" s="945" t="s">
        <v>84</v>
      </c>
      <c r="F957" s="414">
        <v>28.3</v>
      </c>
      <c r="G957" s="414">
        <v>12</v>
      </c>
      <c r="H957" s="414">
        <f>F957*D957</f>
        <v>4528</v>
      </c>
      <c r="I957" s="414">
        <f>D957*G957</f>
        <v>1920</v>
      </c>
      <c r="J957" s="414">
        <f>H957+I957</f>
        <v>6448</v>
      </c>
      <c r="K957" s="1111"/>
      <c r="L957" s="1106"/>
      <c r="M957" s="939" t="s">
        <v>642</v>
      </c>
    </row>
    <row r="958" spans="1:13" s="1134" customFormat="1">
      <c r="A958" s="893"/>
      <c r="B958" s="892" t="s">
        <v>139</v>
      </c>
      <c r="C958" s="1122" t="s">
        <v>1492</v>
      </c>
      <c r="D958" s="404">
        <v>40</v>
      </c>
      <c r="E958" s="945" t="s">
        <v>84</v>
      </c>
      <c r="F958" s="414">
        <v>17.2</v>
      </c>
      <c r="G958" s="414">
        <v>10</v>
      </c>
      <c r="H958" s="414">
        <f>F958*D958</f>
        <v>688</v>
      </c>
      <c r="I958" s="414">
        <f>D958*G958</f>
        <v>400</v>
      </c>
      <c r="J958" s="414">
        <f>H958+I958</f>
        <v>1088</v>
      </c>
      <c r="K958" s="1111"/>
      <c r="L958" s="1106"/>
      <c r="M958" s="939" t="s">
        <v>642</v>
      </c>
    </row>
    <row r="959" spans="1:13" s="1134" customFormat="1">
      <c r="A959" s="893"/>
      <c r="B959" s="892" t="s">
        <v>139</v>
      </c>
      <c r="C959" s="1122" t="s">
        <v>1705</v>
      </c>
      <c r="D959" s="404">
        <v>300</v>
      </c>
      <c r="E959" s="945" t="s">
        <v>84</v>
      </c>
      <c r="F959" s="414">
        <v>11.4</v>
      </c>
      <c r="G959" s="414">
        <v>7</v>
      </c>
      <c r="H959" s="414">
        <f>F959*D959</f>
        <v>3420</v>
      </c>
      <c r="I959" s="414">
        <f>D959*G959</f>
        <v>2100</v>
      </c>
      <c r="J959" s="414">
        <f>H959+I959</f>
        <v>5520</v>
      </c>
      <c r="K959" s="1111"/>
      <c r="L959" s="1106"/>
      <c r="M959" s="939" t="s">
        <v>642</v>
      </c>
    </row>
    <row r="960" spans="1:13" s="1134" customFormat="1">
      <c r="A960" s="893"/>
      <c r="B960" s="892" t="s">
        <v>139</v>
      </c>
      <c r="C960" s="1085" t="s">
        <v>520</v>
      </c>
      <c r="D960" s="404">
        <f>305+305</f>
        <v>610</v>
      </c>
      <c r="E960" s="936" t="s">
        <v>84</v>
      </c>
      <c r="F960" s="414">
        <v>18</v>
      </c>
      <c r="G960" s="414">
        <v>8</v>
      </c>
      <c r="H960" s="414">
        <f>F960*D960</f>
        <v>10980</v>
      </c>
      <c r="I960" s="414">
        <f>D960*G960</f>
        <v>4880</v>
      </c>
      <c r="J960" s="414">
        <f>H960+I960</f>
        <v>15860</v>
      </c>
      <c r="K960" s="1111"/>
      <c r="L960" s="1106"/>
      <c r="M960" s="939" t="s">
        <v>642</v>
      </c>
    </row>
    <row r="961" spans="1:13" s="1134" customFormat="1">
      <c r="A961" s="893"/>
      <c r="B961" s="2466" t="s">
        <v>1724</v>
      </c>
      <c r="C961" s="2467"/>
      <c r="D961" s="404"/>
      <c r="E961" s="936"/>
      <c r="F961" s="1116"/>
      <c r="G961" s="414"/>
      <c r="H961" s="414"/>
      <c r="I961" s="414"/>
      <c r="J961" s="414"/>
      <c r="K961" s="1111"/>
      <c r="L961" s="1106"/>
      <c r="M961" s="407"/>
    </row>
    <row r="962" spans="1:13" s="952" customFormat="1">
      <c r="A962" s="946"/>
      <c r="B962" s="947" t="s">
        <v>139</v>
      </c>
      <c r="C962" s="1120" t="s">
        <v>1842</v>
      </c>
      <c r="D962" s="670">
        <v>1</v>
      </c>
      <c r="E962" s="945" t="s">
        <v>105</v>
      </c>
      <c r="F962" s="949">
        <f>SUM(H956:H960)*0.05</f>
        <v>2260.8000000000002</v>
      </c>
      <c r="G962" s="949">
        <v>0</v>
      </c>
      <c r="H962" s="949">
        <f>F962*D962</f>
        <v>2260.8000000000002</v>
      </c>
      <c r="I962" s="949">
        <f>D962*G962</f>
        <v>0</v>
      </c>
      <c r="J962" s="949">
        <f>H962+I962</f>
        <v>2260.8000000000002</v>
      </c>
      <c r="K962" s="949"/>
      <c r="L962" s="950"/>
      <c r="M962" s="1121" t="s">
        <v>282</v>
      </c>
    </row>
    <row r="963" spans="1:13" s="1134" customFormat="1">
      <c r="A963" s="893"/>
      <c r="B963" s="892"/>
      <c r="C963" s="1085"/>
      <c r="D963" s="404"/>
      <c r="E963" s="936"/>
      <c r="F963" s="1116"/>
      <c r="G963" s="414"/>
      <c r="H963" s="414"/>
      <c r="I963" s="414"/>
      <c r="J963" s="414"/>
      <c r="K963" s="1111"/>
      <c r="L963" s="1106"/>
      <c r="M963" s="407"/>
    </row>
    <row r="964" spans="1:13" s="968" customFormat="1" ht="24.75" thickBot="1">
      <c r="A964" s="962"/>
      <c r="B964" s="1146"/>
      <c r="C964" s="1147" t="str">
        <f>"รวมราคา "&amp;B812</f>
        <v>รวมราคา งานระบบเสียงประกาศ และระบบภาพและเสียง</v>
      </c>
      <c r="D964" s="1094"/>
      <c r="E964" s="1148"/>
      <c r="F964" s="966"/>
      <c r="G964" s="966"/>
      <c r="H964" s="966">
        <f>SUM(H813:H963)</f>
        <v>2347620.2850000001</v>
      </c>
      <c r="I964" s="966">
        <f>SUM(I813:I963)</f>
        <v>416700</v>
      </c>
      <c r="J964" s="966">
        <f>SUM(J813:J963)</f>
        <v>2764320.2850000001</v>
      </c>
      <c r="K964" s="966"/>
      <c r="L964" s="967"/>
      <c r="M964" s="1095"/>
    </row>
    <row r="965" spans="1:13" s="1158" customFormat="1" ht="24.75" thickTop="1">
      <c r="A965" s="1153">
        <v>4.1399999999999997</v>
      </c>
      <c r="B965" s="2501" t="s">
        <v>1654</v>
      </c>
      <c r="C965" s="2502"/>
      <c r="D965" s="1165"/>
      <c r="E965" s="1154"/>
      <c r="F965" s="1154"/>
      <c r="G965" s="1154"/>
      <c r="H965" s="1155"/>
      <c r="I965" s="1155"/>
      <c r="J965" s="1155"/>
      <c r="K965" s="1155"/>
      <c r="L965" s="1156"/>
      <c r="M965" s="1157"/>
    </row>
    <row r="966" spans="1:13" s="1162" customFormat="1">
      <c r="A966" s="1166" t="s">
        <v>333</v>
      </c>
      <c r="B966" s="2503" t="s">
        <v>1655</v>
      </c>
      <c r="C966" s="2504"/>
      <c r="D966" s="1167"/>
      <c r="E966" s="1168"/>
      <c r="F966" s="1168"/>
      <c r="G966" s="1168"/>
      <c r="H966" s="1169"/>
      <c r="I966" s="1169"/>
      <c r="J966" s="1169"/>
      <c r="K966" s="1169"/>
      <c r="L966" s="1170"/>
      <c r="M966" s="1171"/>
    </row>
    <row r="967" spans="1:13" s="952" customFormat="1">
      <c r="A967" s="946"/>
      <c r="B967" s="947" t="s">
        <v>139</v>
      </c>
      <c r="C967" s="1120" t="s">
        <v>272</v>
      </c>
      <c r="D967" s="670">
        <v>1</v>
      </c>
      <c r="E967" s="945" t="s">
        <v>5</v>
      </c>
      <c r="F967" s="949">
        <v>45000</v>
      </c>
      <c r="G967" s="949">
        <v>0</v>
      </c>
      <c r="H967" s="949">
        <f t="shared" ref="H967:H991" si="83">F967*D967</f>
        <v>45000</v>
      </c>
      <c r="I967" s="949">
        <f t="shared" ref="I967:I991" si="84">D967*G967</f>
        <v>0</v>
      </c>
      <c r="J967" s="949">
        <f t="shared" ref="J967:J991" si="85">H967+I967</f>
        <v>45000</v>
      </c>
      <c r="K967" s="949"/>
      <c r="L967" s="950"/>
      <c r="M967" s="1121" t="s">
        <v>622</v>
      </c>
    </row>
    <row r="968" spans="1:13" s="952" customFormat="1">
      <c r="A968" s="946"/>
      <c r="B968" s="947" t="s">
        <v>139</v>
      </c>
      <c r="C968" s="1120" t="s">
        <v>557</v>
      </c>
      <c r="D968" s="670">
        <v>1</v>
      </c>
      <c r="E968" s="945" t="s">
        <v>5</v>
      </c>
      <c r="F968" s="949">
        <v>80000</v>
      </c>
      <c r="G968" s="949">
        <v>0</v>
      </c>
      <c r="H968" s="949">
        <f t="shared" si="83"/>
        <v>80000</v>
      </c>
      <c r="I968" s="949">
        <f t="shared" si="84"/>
        <v>0</v>
      </c>
      <c r="J968" s="949">
        <f t="shared" si="85"/>
        <v>80000</v>
      </c>
      <c r="K968" s="949"/>
      <c r="L968" s="950"/>
      <c r="M968" s="1121" t="s">
        <v>622</v>
      </c>
    </row>
    <row r="969" spans="1:13" s="1134" customFormat="1">
      <c r="A969" s="1317"/>
      <c r="B969" s="1316" t="s">
        <v>139</v>
      </c>
      <c r="C969" s="2180" t="s">
        <v>554</v>
      </c>
      <c r="D969" s="416">
        <v>1</v>
      </c>
      <c r="E969" s="999" t="s">
        <v>5</v>
      </c>
      <c r="F969" s="1002">
        <v>12500</v>
      </c>
      <c r="G969" s="2181">
        <v>0</v>
      </c>
      <c r="H969" s="1002">
        <f t="shared" si="83"/>
        <v>12500</v>
      </c>
      <c r="I969" s="1002">
        <f t="shared" si="84"/>
        <v>0</v>
      </c>
      <c r="J969" s="1002">
        <f t="shared" si="85"/>
        <v>12500</v>
      </c>
      <c r="K969" s="2182"/>
      <c r="L969" s="1106"/>
      <c r="M969" s="407" t="s">
        <v>622</v>
      </c>
    </row>
    <row r="970" spans="1:13" s="1134" customFormat="1">
      <c r="A970" s="2183"/>
      <c r="B970" s="2183"/>
      <c r="C970" s="2183"/>
      <c r="D970" s="2184"/>
      <c r="E970" s="2185"/>
      <c r="F970" s="2185"/>
      <c r="G970" s="2185"/>
      <c r="H970" s="2185"/>
      <c r="I970" s="2185"/>
      <c r="J970" s="2185"/>
      <c r="K970" s="2185"/>
      <c r="L970" s="1106"/>
      <c r="M970" s="407"/>
    </row>
    <row r="971" spans="1:13" s="1134" customFormat="1">
      <c r="A971" s="2186"/>
      <c r="B971" s="2187"/>
      <c r="C971" s="2186" t="s">
        <v>133</v>
      </c>
      <c r="D971" s="2188"/>
      <c r="E971" s="418"/>
      <c r="F971" s="2189"/>
      <c r="G971" s="2189"/>
      <c r="H971" s="1277"/>
      <c r="I971" s="1277"/>
      <c r="J971" s="2188"/>
      <c r="K971" s="2188"/>
      <c r="L971" s="1106"/>
      <c r="M971" s="407"/>
    </row>
    <row r="972" spans="1:13" s="1134" customFormat="1">
      <c r="A972" s="1642"/>
      <c r="B972" s="1017"/>
      <c r="C972" s="2407" t="s">
        <v>1769</v>
      </c>
      <c r="D972" s="2407"/>
      <c r="E972" s="1017"/>
      <c r="F972" s="1017"/>
      <c r="G972" s="1017"/>
      <c r="H972" s="1017" t="s">
        <v>134</v>
      </c>
      <c r="I972" s="1017"/>
      <c r="J972" s="1017"/>
      <c r="K972" s="1017"/>
      <c r="L972" s="1106"/>
      <c r="M972" s="407"/>
    </row>
    <row r="973" spans="1:13" s="1134" customFormat="1">
      <c r="A973" s="1643"/>
      <c r="B973" s="419"/>
      <c r="C973" s="2408" t="s">
        <v>1970</v>
      </c>
      <c r="D973" s="2408"/>
      <c r="E973" s="419"/>
      <c r="F973" s="419"/>
      <c r="G973" s="419"/>
      <c r="H973" s="419" t="s">
        <v>1971</v>
      </c>
      <c r="I973" s="419"/>
      <c r="J973" s="419"/>
      <c r="K973" s="419"/>
      <c r="L973" s="1106"/>
      <c r="M973" s="407"/>
    </row>
    <row r="974" spans="1:13" s="1134" customFormat="1">
      <c r="A974" s="2188"/>
      <c r="B974" s="1017"/>
      <c r="C974" s="1017" t="s">
        <v>2031</v>
      </c>
      <c r="D974" s="2188"/>
      <c r="E974" s="419"/>
      <c r="F974" s="419"/>
      <c r="G974" s="419"/>
      <c r="H974" s="1017" t="s">
        <v>134</v>
      </c>
      <c r="I974" s="419"/>
      <c r="J974" s="419"/>
      <c r="K974" s="419"/>
      <c r="L974" s="1106"/>
      <c r="M974" s="407"/>
    </row>
    <row r="975" spans="1:13" s="1134" customFormat="1">
      <c r="A975" s="1017"/>
      <c r="B975" s="419"/>
      <c r="C975" s="419" t="s">
        <v>1984</v>
      </c>
      <c r="D975" s="2188"/>
      <c r="E975" s="1017"/>
      <c r="F975" s="1017"/>
      <c r="G975" s="1017"/>
      <c r="H975" s="419" t="s">
        <v>1985</v>
      </c>
      <c r="I975" s="1017"/>
      <c r="J975" s="1017"/>
      <c r="K975" s="1017"/>
      <c r="L975" s="1106"/>
      <c r="M975" s="407"/>
    </row>
    <row r="976" spans="1:13" s="1134" customFormat="1">
      <c r="A976" s="2190"/>
      <c r="B976" s="2190"/>
      <c r="C976" s="1017" t="s">
        <v>670</v>
      </c>
      <c r="D976" s="2191"/>
      <c r="E976" s="2192"/>
      <c r="F976" s="2193"/>
      <c r="G976" s="2194"/>
      <c r="H976" s="2194"/>
      <c r="I976" s="2194"/>
      <c r="J976" s="2194"/>
      <c r="K976" s="2194"/>
      <c r="L976" s="1106"/>
      <c r="M976" s="407"/>
    </row>
    <row r="977" spans="1:13" s="1134" customFormat="1">
      <c r="A977" s="2195"/>
      <c r="B977" s="2195"/>
      <c r="C977" s="2196" t="s">
        <v>1972</v>
      </c>
      <c r="D977" s="2197"/>
      <c r="E977" s="2198"/>
      <c r="F977" s="2199"/>
      <c r="G977" s="2200"/>
      <c r="H977" s="2200"/>
      <c r="I977" s="2200"/>
      <c r="J977" s="2200"/>
      <c r="K977" s="2200"/>
      <c r="L977" s="1106"/>
      <c r="M977" s="407"/>
    </row>
    <row r="978" spans="1:13" s="1134" customFormat="1">
      <c r="A978" s="893"/>
      <c r="B978" s="892" t="s">
        <v>139</v>
      </c>
      <c r="C978" s="1137" t="s">
        <v>555</v>
      </c>
      <c r="D978" s="404">
        <v>1</v>
      </c>
      <c r="E978" s="936" t="s">
        <v>5</v>
      </c>
      <c r="F978" s="414">
        <v>4900</v>
      </c>
      <c r="G978" s="949">
        <v>0</v>
      </c>
      <c r="H978" s="414">
        <f t="shared" si="83"/>
        <v>4900</v>
      </c>
      <c r="I978" s="414">
        <f t="shared" si="84"/>
        <v>0</v>
      </c>
      <c r="J978" s="414">
        <f t="shared" si="85"/>
        <v>4900</v>
      </c>
      <c r="K978" s="1111"/>
      <c r="L978" s="1106"/>
      <c r="M978" s="407" t="s">
        <v>622</v>
      </c>
    </row>
    <row r="979" spans="1:13" s="1134" customFormat="1">
      <c r="A979" s="893"/>
      <c r="B979" s="892" t="s">
        <v>139</v>
      </c>
      <c r="C979" s="1137" t="s">
        <v>1656</v>
      </c>
      <c r="D979" s="404">
        <v>1</v>
      </c>
      <c r="E979" s="936" t="s">
        <v>5</v>
      </c>
      <c r="F979" s="414">
        <v>65000</v>
      </c>
      <c r="G979" s="949">
        <v>0</v>
      </c>
      <c r="H979" s="414">
        <f t="shared" si="83"/>
        <v>65000</v>
      </c>
      <c r="I979" s="414">
        <f t="shared" si="84"/>
        <v>0</v>
      </c>
      <c r="J979" s="414">
        <f t="shared" si="85"/>
        <v>65000</v>
      </c>
      <c r="K979" s="1111"/>
      <c r="L979" s="1106"/>
      <c r="M979" s="407" t="s">
        <v>622</v>
      </c>
    </row>
    <row r="980" spans="1:13" s="1134" customFormat="1">
      <c r="A980" s="893"/>
      <c r="B980" s="892" t="s">
        <v>139</v>
      </c>
      <c r="C980" s="1137" t="s">
        <v>1657</v>
      </c>
      <c r="D980" s="404">
        <v>1</v>
      </c>
      <c r="E980" s="936" t="s">
        <v>5</v>
      </c>
      <c r="F980" s="414">
        <v>48500</v>
      </c>
      <c r="G980" s="949">
        <v>0</v>
      </c>
      <c r="H980" s="414">
        <f t="shared" si="83"/>
        <v>48500</v>
      </c>
      <c r="I980" s="414">
        <f t="shared" si="84"/>
        <v>0</v>
      </c>
      <c r="J980" s="414">
        <f t="shared" si="85"/>
        <v>48500</v>
      </c>
      <c r="K980" s="1111"/>
      <c r="L980" s="1106"/>
      <c r="M980" s="407" t="s">
        <v>622</v>
      </c>
    </row>
    <row r="981" spans="1:13" s="1134" customFormat="1">
      <c r="A981" s="893"/>
      <c r="B981" s="892" t="s">
        <v>139</v>
      </c>
      <c r="C981" s="1137" t="s">
        <v>1658</v>
      </c>
      <c r="D981" s="404">
        <v>1</v>
      </c>
      <c r="E981" s="936" t="s">
        <v>5</v>
      </c>
      <c r="F981" s="414">
        <v>48500</v>
      </c>
      <c r="G981" s="949">
        <v>0</v>
      </c>
      <c r="H981" s="414">
        <f t="shared" si="83"/>
        <v>48500</v>
      </c>
      <c r="I981" s="414">
        <f t="shared" si="84"/>
        <v>0</v>
      </c>
      <c r="J981" s="414">
        <f t="shared" si="85"/>
        <v>48500</v>
      </c>
      <c r="K981" s="1111"/>
      <c r="L981" s="1106"/>
      <c r="M981" s="407" t="s">
        <v>622</v>
      </c>
    </row>
    <row r="982" spans="1:13" s="1134" customFormat="1">
      <c r="A982" s="893"/>
      <c r="B982" s="892" t="s">
        <v>139</v>
      </c>
      <c r="C982" s="1137" t="s">
        <v>1659</v>
      </c>
      <c r="D982" s="404">
        <v>1</v>
      </c>
      <c r="E982" s="936" t="s">
        <v>5</v>
      </c>
      <c r="F982" s="414">
        <v>48500</v>
      </c>
      <c r="G982" s="949">
        <v>0</v>
      </c>
      <c r="H982" s="414">
        <f t="shared" si="83"/>
        <v>48500</v>
      </c>
      <c r="I982" s="414">
        <f t="shared" si="84"/>
        <v>0</v>
      </c>
      <c r="J982" s="414">
        <f t="shared" si="85"/>
        <v>48500</v>
      </c>
      <c r="K982" s="1111"/>
      <c r="L982" s="1106"/>
      <c r="M982" s="407" t="s">
        <v>622</v>
      </c>
    </row>
    <row r="983" spans="1:13" s="1134" customFormat="1">
      <c r="A983" s="893"/>
      <c r="B983" s="892" t="s">
        <v>139</v>
      </c>
      <c r="C983" s="1137" t="s">
        <v>1660</v>
      </c>
      <c r="D983" s="404">
        <v>1</v>
      </c>
      <c r="E983" s="936" t="s">
        <v>5</v>
      </c>
      <c r="F983" s="414">
        <v>48500</v>
      </c>
      <c r="G983" s="949">
        <v>0</v>
      </c>
      <c r="H983" s="414">
        <f t="shared" si="83"/>
        <v>48500</v>
      </c>
      <c r="I983" s="414">
        <f t="shared" si="84"/>
        <v>0</v>
      </c>
      <c r="J983" s="414">
        <f t="shared" si="85"/>
        <v>48500</v>
      </c>
      <c r="K983" s="1111"/>
      <c r="L983" s="1106"/>
      <c r="M983" s="407" t="s">
        <v>622</v>
      </c>
    </row>
    <row r="984" spans="1:13" s="1134" customFormat="1">
      <c r="A984" s="893"/>
      <c r="B984" s="892" t="s">
        <v>139</v>
      </c>
      <c r="C984" s="1137" t="s">
        <v>1661</v>
      </c>
      <c r="D984" s="404">
        <v>1</v>
      </c>
      <c r="E984" s="936" t="s">
        <v>5</v>
      </c>
      <c r="F984" s="414">
        <v>48500</v>
      </c>
      <c r="G984" s="949">
        <v>0</v>
      </c>
      <c r="H984" s="414">
        <f t="shared" si="83"/>
        <v>48500</v>
      </c>
      <c r="I984" s="414">
        <f t="shared" si="84"/>
        <v>0</v>
      </c>
      <c r="J984" s="414">
        <f t="shared" si="85"/>
        <v>48500</v>
      </c>
      <c r="K984" s="1111"/>
      <c r="L984" s="1106"/>
      <c r="M984" s="407" t="s">
        <v>622</v>
      </c>
    </row>
    <row r="985" spans="1:13" s="1134" customFormat="1">
      <c r="A985" s="893"/>
      <c r="B985" s="892" t="s">
        <v>139</v>
      </c>
      <c r="C985" s="1137" t="s">
        <v>1662</v>
      </c>
      <c r="D985" s="404">
        <v>1</v>
      </c>
      <c r="E985" s="936" t="s">
        <v>5</v>
      </c>
      <c r="F985" s="414">
        <v>48500</v>
      </c>
      <c r="G985" s="949">
        <v>0</v>
      </c>
      <c r="H985" s="414">
        <f t="shared" si="83"/>
        <v>48500</v>
      </c>
      <c r="I985" s="414">
        <f t="shared" si="84"/>
        <v>0</v>
      </c>
      <c r="J985" s="414">
        <f t="shared" si="85"/>
        <v>48500</v>
      </c>
      <c r="K985" s="1111"/>
      <c r="L985" s="1106"/>
      <c r="M985" s="407" t="s">
        <v>622</v>
      </c>
    </row>
    <row r="986" spans="1:13" s="1134" customFormat="1">
      <c r="A986" s="893"/>
      <c r="B986" s="892" t="s">
        <v>139</v>
      </c>
      <c r="C986" s="1137" t="s">
        <v>1663</v>
      </c>
      <c r="D986" s="404">
        <v>1</v>
      </c>
      <c r="E986" s="936" t="s">
        <v>5</v>
      </c>
      <c r="F986" s="414">
        <v>48500</v>
      </c>
      <c r="G986" s="949">
        <v>0</v>
      </c>
      <c r="H986" s="414">
        <f t="shared" si="83"/>
        <v>48500</v>
      </c>
      <c r="I986" s="414">
        <f t="shared" si="84"/>
        <v>0</v>
      </c>
      <c r="J986" s="414">
        <f t="shared" si="85"/>
        <v>48500</v>
      </c>
      <c r="K986" s="1111"/>
      <c r="L986" s="1106"/>
      <c r="M986" s="407" t="s">
        <v>622</v>
      </c>
    </row>
    <row r="987" spans="1:13" s="1134" customFormat="1">
      <c r="A987" s="893"/>
      <c r="B987" s="892" t="s">
        <v>139</v>
      </c>
      <c r="C987" s="1137" t="s">
        <v>1664</v>
      </c>
      <c r="D987" s="404">
        <v>1</v>
      </c>
      <c r="E987" s="936" t="s">
        <v>5</v>
      </c>
      <c r="F987" s="414">
        <v>48500</v>
      </c>
      <c r="G987" s="949">
        <v>0</v>
      </c>
      <c r="H987" s="414">
        <f t="shared" si="83"/>
        <v>48500</v>
      </c>
      <c r="I987" s="414">
        <f t="shared" si="84"/>
        <v>0</v>
      </c>
      <c r="J987" s="414">
        <f t="shared" si="85"/>
        <v>48500</v>
      </c>
      <c r="K987" s="1111"/>
      <c r="L987" s="1106"/>
      <c r="M987" s="407" t="s">
        <v>622</v>
      </c>
    </row>
    <row r="988" spans="1:13" s="1134" customFormat="1">
      <c r="A988" s="893"/>
      <c r="B988" s="892" t="s">
        <v>139</v>
      </c>
      <c r="C988" s="1137" t="s">
        <v>1665</v>
      </c>
      <c r="D988" s="404">
        <v>1</v>
      </c>
      <c r="E988" s="936" t="s">
        <v>5</v>
      </c>
      <c r="F988" s="414">
        <v>72000</v>
      </c>
      <c r="G988" s="949">
        <v>0</v>
      </c>
      <c r="H988" s="414">
        <f t="shared" si="83"/>
        <v>72000</v>
      </c>
      <c r="I988" s="414">
        <f t="shared" si="84"/>
        <v>0</v>
      </c>
      <c r="J988" s="414">
        <f t="shared" si="85"/>
        <v>72000</v>
      </c>
      <c r="K988" s="1111"/>
      <c r="L988" s="1106"/>
      <c r="M988" s="407" t="s">
        <v>622</v>
      </c>
    </row>
    <row r="989" spans="1:13" s="1134" customFormat="1">
      <c r="A989" s="893"/>
      <c r="B989" s="892" t="s">
        <v>139</v>
      </c>
      <c r="C989" s="1137" t="s">
        <v>1666</v>
      </c>
      <c r="D989" s="404">
        <v>1</v>
      </c>
      <c r="E989" s="936" t="s">
        <v>5</v>
      </c>
      <c r="F989" s="414">
        <v>42000</v>
      </c>
      <c r="G989" s="949">
        <v>0</v>
      </c>
      <c r="H989" s="414">
        <f t="shared" si="83"/>
        <v>42000</v>
      </c>
      <c r="I989" s="414">
        <f t="shared" si="84"/>
        <v>0</v>
      </c>
      <c r="J989" s="414">
        <f t="shared" si="85"/>
        <v>42000</v>
      </c>
      <c r="K989" s="1111"/>
      <c r="L989" s="1106"/>
      <c r="M989" s="407" t="s">
        <v>622</v>
      </c>
    </row>
    <row r="990" spans="1:13" s="1134" customFormat="1">
      <c r="A990" s="893"/>
      <c r="B990" s="892" t="s">
        <v>139</v>
      </c>
      <c r="C990" s="1137" t="s">
        <v>556</v>
      </c>
      <c r="D990" s="404">
        <v>14</v>
      </c>
      <c r="E990" s="936" t="s">
        <v>5</v>
      </c>
      <c r="F990" s="414">
        <v>4800</v>
      </c>
      <c r="G990" s="949">
        <v>0</v>
      </c>
      <c r="H990" s="414">
        <f t="shared" si="83"/>
        <v>67200</v>
      </c>
      <c r="I990" s="414">
        <f t="shared" si="84"/>
        <v>0</v>
      </c>
      <c r="J990" s="414">
        <f t="shared" si="85"/>
        <v>67200</v>
      </c>
      <c r="K990" s="1111"/>
      <c r="L990" s="1106"/>
      <c r="M990" s="407" t="s">
        <v>622</v>
      </c>
    </row>
    <row r="991" spans="1:13" s="1134" customFormat="1">
      <c r="A991" s="893"/>
      <c r="B991" s="892" t="s">
        <v>139</v>
      </c>
      <c r="C991" s="1085" t="s">
        <v>1599</v>
      </c>
      <c r="D991" s="1109">
        <v>1</v>
      </c>
      <c r="E991" s="936" t="s">
        <v>105</v>
      </c>
      <c r="F991" s="414">
        <v>0</v>
      </c>
      <c r="G991" s="414">
        <v>45000</v>
      </c>
      <c r="H991" s="414">
        <f t="shared" si="83"/>
        <v>0</v>
      </c>
      <c r="I991" s="414">
        <f t="shared" si="84"/>
        <v>45000</v>
      </c>
      <c r="J991" s="414">
        <f t="shared" si="85"/>
        <v>45000</v>
      </c>
      <c r="K991" s="1111"/>
      <c r="L991" s="1106"/>
      <c r="M991" s="1117" t="s">
        <v>282</v>
      </c>
    </row>
    <row r="992" spans="1:13" s="1134" customFormat="1">
      <c r="A992" s="893" t="s">
        <v>334</v>
      </c>
      <c r="B992" s="2464" t="s">
        <v>1667</v>
      </c>
      <c r="C992" s="2465"/>
      <c r="D992" s="404"/>
      <c r="E992" s="936"/>
      <c r="F992" s="414"/>
      <c r="G992" s="414"/>
      <c r="H992" s="414"/>
      <c r="I992" s="414"/>
      <c r="J992" s="414"/>
      <c r="K992" s="1111"/>
      <c r="L992" s="1106"/>
      <c r="M992" s="1117"/>
    </row>
    <row r="993" spans="1:17" s="952" customFormat="1">
      <c r="A993" s="946"/>
      <c r="B993" s="1172" t="s">
        <v>1668</v>
      </c>
      <c r="C993" s="1120"/>
      <c r="D993" s="670"/>
      <c r="E993" s="945"/>
      <c r="F993" s="949"/>
      <c r="G993" s="949"/>
      <c r="H993" s="949"/>
      <c r="I993" s="949"/>
      <c r="J993" s="949"/>
      <c r="K993" s="949"/>
      <c r="L993" s="950"/>
      <c r="M993" s="1121"/>
    </row>
    <row r="994" spans="1:17" s="1134" customFormat="1">
      <c r="A994" s="893"/>
      <c r="B994" s="892" t="s">
        <v>139</v>
      </c>
      <c r="C994" s="1115" t="s">
        <v>1524</v>
      </c>
      <c r="D994" s="404">
        <v>1230</v>
      </c>
      <c r="E994" s="936" t="s">
        <v>84</v>
      </c>
      <c r="F994" s="414">
        <v>44.33</v>
      </c>
      <c r="G994" s="414">
        <v>22</v>
      </c>
      <c r="H994" s="414">
        <f>F994*D994</f>
        <v>54525.9</v>
      </c>
      <c r="I994" s="414">
        <f>D994*G994</f>
        <v>27060</v>
      </c>
      <c r="J994" s="414">
        <f>H994+I994</f>
        <v>81585.899999999994</v>
      </c>
      <c r="K994" s="1111"/>
      <c r="L994" s="1106"/>
      <c r="M994" s="939" t="s">
        <v>642</v>
      </c>
    </row>
    <row r="995" spans="1:17" s="952" customFormat="1">
      <c r="A995" s="946"/>
      <c r="B995" s="1172" t="s">
        <v>1669</v>
      </c>
      <c r="C995" s="1120"/>
      <c r="D995" s="670"/>
      <c r="E995" s="945"/>
      <c r="F995" s="949"/>
      <c r="G995" s="949"/>
      <c r="H995" s="949"/>
      <c r="I995" s="949"/>
      <c r="J995" s="949"/>
      <c r="K995" s="949"/>
      <c r="L995" s="950"/>
      <c r="M995" s="1121"/>
    </row>
    <row r="996" spans="1:17" s="952" customFormat="1">
      <c r="A996" s="946"/>
      <c r="B996" s="1119" t="s">
        <v>139</v>
      </c>
      <c r="C996" s="1120" t="s">
        <v>1843</v>
      </c>
      <c r="D996" s="670">
        <v>1</v>
      </c>
      <c r="E996" s="945" t="s">
        <v>105</v>
      </c>
      <c r="F996" s="949">
        <f>SUM(H993:H994)*0.15</f>
        <v>8178.8850000000002</v>
      </c>
      <c r="G996" s="949">
        <v>0</v>
      </c>
      <c r="H996" s="949">
        <f>F996*D996</f>
        <v>8178.8850000000002</v>
      </c>
      <c r="I996" s="949">
        <f>D996*G996</f>
        <v>0</v>
      </c>
      <c r="J996" s="949">
        <f>H996+I996</f>
        <v>8178.8850000000002</v>
      </c>
      <c r="K996" s="949"/>
      <c r="L996" s="950"/>
      <c r="M996" s="1121" t="s">
        <v>282</v>
      </c>
    </row>
    <row r="997" spans="1:17" s="952" customFormat="1">
      <c r="A997" s="946"/>
      <c r="B997" s="1172" t="s">
        <v>1670</v>
      </c>
      <c r="C997" s="1120"/>
      <c r="D997" s="670"/>
      <c r="E997" s="945"/>
      <c r="F997" s="949"/>
      <c r="G997" s="949"/>
      <c r="H997" s="949"/>
      <c r="I997" s="949"/>
      <c r="J997" s="949"/>
      <c r="K997" s="949"/>
      <c r="L997" s="950"/>
      <c r="M997" s="1121"/>
    </row>
    <row r="998" spans="1:17" s="952" customFormat="1">
      <c r="A998" s="946"/>
      <c r="B998" s="1119" t="s">
        <v>139</v>
      </c>
      <c r="C998" s="1120" t="s">
        <v>520</v>
      </c>
      <c r="D998" s="670">
        <f>915+610</f>
        <v>1525</v>
      </c>
      <c r="E998" s="945" t="s">
        <v>84</v>
      </c>
      <c r="F998" s="949">
        <v>18</v>
      </c>
      <c r="G998" s="949">
        <v>8</v>
      </c>
      <c r="H998" s="949">
        <f>F998*D998</f>
        <v>27450</v>
      </c>
      <c r="I998" s="949">
        <f>D998*G998</f>
        <v>12200</v>
      </c>
      <c r="J998" s="949">
        <f>H998+I998</f>
        <v>39650</v>
      </c>
      <c r="K998" s="949"/>
      <c r="L998" s="950"/>
      <c r="M998" s="1121" t="s">
        <v>642</v>
      </c>
    </row>
    <row r="999" spans="1:17" s="952" customFormat="1">
      <c r="A999" s="946"/>
      <c r="B999" s="1172" t="s">
        <v>1669</v>
      </c>
      <c r="C999" s="1120"/>
      <c r="D999" s="670"/>
      <c r="E999" s="945"/>
      <c r="F999" s="949"/>
      <c r="G999" s="949"/>
      <c r="H999" s="949"/>
      <c r="I999" s="949"/>
      <c r="J999" s="949"/>
      <c r="K999" s="949"/>
      <c r="L999" s="950"/>
      <c r="M999" s="1121"/>
    </row>
    <row r="1000" spans="1:17" s="952" customFormat="1">
      <c r="A1000" s="946"/>
      <c r="B1000" s="947" t="s">
        <v>139</v>
      </c>
      <c r="C1000" s="1120" t="s">
        <v>1842</v>
      </c>
      <c r="D1000" s="670">
        <v>1</v>
      </c>
      <c r="E1000" s="945" t="s">
        <v>105</v>
      </c>
      <c r="F1000" s="949">
        <f>SUM(H998)*0.05</f>
        <v>1372.5</v>
      </c>
      <c r="G1000" s="949">
        <v>0</v>
      </c>
      <c r="H1000" s="949">
        <f>F1000*D1000</f>
        <v>1372.5</v>
      </c>
      <c r="I1000" s="949">
        <f>D1000*G1000</f>
        <v>0</v>
      </c>
      <c r="J1000" s="949">
        <f>H1000+I1000</f>
        <v>1372.5</v>
      </c>
      <c r="K1000" s="949"/>
      <c r="L1000" s="950"/>
      <c r="M1000" s="1121" t="s">
        <v>282</v>
      </c>
    </row>
    <row r="1001" spans="1:17" s="1134" customFormat="1">
      <c r="A1001" s="893"/>
      <c r="B1001" s="892"/>
      <c r="C1001" s="1085"/>
      <c r="D1001" s="404"/>
      <c r="E1001" s="936"/>
      <c r="F1001" s="1116"/>
      <c r="G1001" s="414"/>
      <c r="H1001" s="414"/>
      <c r="I1001" s="414"/>
      <c r="J1001" s="414"/>
      <c r="K1001" s="1111"/>
      <c r="L1001" s="1106"/>
      <c r="M1001" s="1117"/>
    </row>
    <row r="1002" spans="1:17" s="968" customFormat="1" ht="24.75" thickBot="1">
      <c r="A1002" s="962"/>
      <c r="B1002" s="1146"/>
      <c r="C1002" s="1147" t="str">
        <f>"รวมราคา "&amp;B965</f>
        <v>รวมราคา งานระบบควบคุมปิด-เปิดแสงสว่าง อัตโนมัติ</v>
      </c>
      <c r="D1002" s="1094"/>
      <c r="E1002" s="1148"/>
      <c r="F1002" s="966"/>
      <c r="G1002" s="966"/>
      <c r="H1002" s="966">
        <f>SUM(H966:H1001)</f>
        <v>868127.28500000003</v>
      </c>
      <c r="I1002" s="966">
        <f>SUM(I966:I1001)</f>
        <v>84260</v>
      </c>
      <c r="J1002" s="966">
        <f>SUM(J966:J1001)</f>
        <v>952387.28500000003</v>
      </c>
      <c r="K1002" s="966"/>
      <c r="L1002" s="967"/>
      <c r="M1002" s="1095"/>
    </row>
    <row r="1003" spans="1:17" s="1133" customFormat="1" ht="24.75" thickTop="1">
      <c r="A1003" s="994">
        <v>4.1500000000000004</v>
      </c>
      <c r="B1003" s="2453" t="s">
        <v>1671</v>
      </c>
      <c r="C1003" s="2454"/>
      <c r="D1003" s="985"/>
      <c r="E1003" s="986"/>
      <c r="F1003" s="987"/>
      <c r="G1003" s="988"/>
      <c r="H1003" s="989"/>
      <c r="I1003" s="988"/>
      <c r="J1003" s="988"/>
      <c r="K1003" s="990"/>
      <c r="L1003" s="976"/>
      <c r="M1003" s="976"/>
    </row>
    <row r="1004" spans="1:17" s="1134" customFormat="1">
      <c r="A1004" s="897" t="s">
        <v>353</v>
      </c>
      <c r="B1004" s="896" t="s">
        <v>139</v>
      </c>
      <c r="C1004" s="998" t="s">
        <v>1672</v>
      </c>
      <c r="D1004" s="406">
        <v>15</v>
      </c>
      <c r="E1004" s="1081" t="s">
        <v>86</v>
      </c>
      <c r="F1004" s="449">
        <v>36000</v>
      </c>
      <c r="G1004" s="449">
        <v>0</v>
      </c>
      <c r="H1004" s="449">
        <f>F1004*D1004</f>
        <v>540000</v>
      </c>
      <c r="I1004" s="449">
        <f>D1004*G1004</f>
        <v>0</v>
      </c>
      <c r="J1004" s="449">
        <f>H1004+I1004</f>
        <v>540000</v>
      </c>
      <c r="K1004" s="1105"/>
      <c r="L1004" s="1106"/>
      <c r="M1004" s="407" t="s">
        <v>622</v>
      </c>
    </row>
    <row r="1005" spans="1:17" s="1134" customFormat="1">
      <c r="A1005" s="893"/>
      <c r="B1005" s="892"/>
      <c r="C1005" s="1137"/>
      <c r="D1005" s="404"/>
      <c r="E1005" s="414"/>
      <c r="F1005" s="414"/>
      <c r="G1005" s="414"/>
      <c r="H1005" s="1111"/>
      <c r="I1005" s="1111"/>
      <c r="J1005" s="1111"/>
      <c r="K1005" s="1111"/>
      <c r="L1005" s="1106"/>
      <c r="M1005" s="1107"/>
      <c r="P1005" s="1134">
        <v>15500</v>
      </c>
      <c r="Q1005" s="1134">
        <v>1500</v>
      </c>
    </row>
    <row r="1006" spans="1:17" s="968" customFormat="1" ht="24.75" thickBot="1">
      <c r="A1006" s="962"/>
      <c r="B1006" s="1146"/>
      <c r="C1006" s="1147" t="str">
        <f>"รวมราคา "&amp;B1003</f>
        <v>รวมราคา งานกั้นผนังและพื้นทนควันไฟ (Fire Barrier)</v>
      </c>
      <c r="D1006" s="1094"/>
      <c r="E1006" s="1148"/>
      <c r="F1006" s="966"/>
      <c r="G1006" s="966"/>
      <c r="H1006" s="966">
        <f>SUM(H1004:H1005)</f>
        <v>540000</v>
      </c>
      <c r="I1006" s="966">
        <f>SUM(I1004:I1005)</f>
        <v>0</v>
      </c>
      <c r="J1006" s="966">
        <f>SUM(J1004:J1005)</f>
        <v>540000</v>
      </c>
      <c r="K1006" s="966"/>
      <c r="L1006" s="967"/>
    </row>
    <row r="1007" spans="1:17" s="968" customFormat="1" ht="25.5" thickTop="1" thickBot="1">
      <c r="A1007" s="1004"/>
      <c r="B1007" s="1005"/>
      <c r="C1007" s="1173" t="str">
        <f>"รวมราคา "&amp;B12</f>
        <v>รวมราคา งานระบบไฟฟ้า และสื่อสาร</v>
      </c>
      <c r="D1007" s="1007"/>
      <c r="E1007" s="1008"/>
      <c r="F1007" s="1008"/>
      <c r="G1007" s="1008"/>
      <c r="H1007" s="1008">
        <f>SUM(H1006,H1002,H964,H811,H779,H734,H677,H658,H604,H563,H542,H505,H331,H90,H24)</f>
        <v>34828057.8345</v>
      </c>
      <c r="I1007" s="1008">
        <f>SUM(I1006,I1002,I964,I811,I779,I734,I677,I658,I604,I563,I542,I505,I331,I90,I24)</f>
        <v>5180811</v>
      </c>
      <c r="J1007" s="1008">
        <f>SUM(J1006,J1002,J964,J811,J779,J734,J677,J658,J604,J563,J542,J505,J331,J90,J24)</f>
        <v>40008868.8345</v>
      </c>
      <c r="K1007" s="1008"/>
      <c r="L1007" s="967"/>
    </row>
    <row r="1008" spans="1:17" s="910" customFormat="1" ht="24.75" thickTop="1">
      <c r="A1008" s="878"/>
      <c r="B1008" s="878"/>
      <c r="C1008" s="878"/>
      <c r="D1008" s="1009"/>
      <c r="E1008" s="1010"/>
      <c r="F1008" s="1010"/>
      <c r="G1008" s="1010"/>
      <c r="H1008" s="1010"/>
      <c r="I1008" s="1010"/>
      <c r="J1008" s="1010"/>
      <c r="K1008" s="1010"/>
      <c r="L1008" s="1010"/>
      <c r="M1008" s="1174"/>
    </row>
    <row r="1009" spans="1:12" s="866" customFormat="1" ht="24.6" customHeight="1">
      <c r="A1009" s="1013"/>
      <c r="B1009" s="879"/>
      <c r="C1009" s="1013" t="s">
        <v>133</v>
      </c>
      <c r="E1009" s="418"/>
      <c r="F1009" s="1014"/>
      <c r="G1009" s="1014"/>
      <c r="H1009" s="868"/>
      <c r="I1009" s="868"/>
    </row>
    <row r="1010" spans="1:12" s="866" customFormat="1">
      <c r="A1010" s="1016"/>
      <c r="B1010" s="1017"/>
      <c r="C1010" s="2407" t="s">
        <v>1769</v>
      </c>
      <c r="D1010" s="2407"/>
      <c r="E1010" s="1017"/>
      <c r="F1010" s="1017"/>
      <c r="G1010" s="1017"/>
      <c r="H1010" s="1017" t="s">
        <v>134</v>
      </c>
      <c r="I1010" s="1017"/>
      <c r="J1010" s="1017"/>
      <c r="K1010" s="1017"/>
      <c r="L1010" s="1017"/>
    </row>
    <row r="1011" spans="1:12" s="866" customFormat="1">
      <c r="A1011" s="1018"/>
      <c r="B1011" s="419"/>
      <c r="C1011" s="2408" t="s">
        <v>1970</v>
      </c>
      <c r="D1011" s="2408"/>
      <c r="E1011" s="419"/>
      <c r="F1011" s="419"/>
      <c r="G1011" s="419"/>
      <c r="H1011" s="1019" t="s">
        <v>1971</v>
      </c>
      <c r="I1011" s="419"/>
      <c r="J1011" s="419"/>
      <c r="K1011" s="419"/>
      <c r="L1011" s="1018"/>
    </row>
    <row r="1012" spans="1:12" s="866" customFormat="1">
      <c r="B1012" s="1017"/>
      <c r="C1012" s="1017" t="s">
        <v>2031</v>
      </c>
      <c r="E1012" s="419"/>
      <c r="F1012" s="419"/>
      <c r="G1012" s="419"/>
      <c r="H1012" s="1017" t="s">
        <v>134</v>
      </c>
      <c r="I1012" s="419"/>
      <c r="J1012" s="419"/>
      <c r="K1012" s="419"/>
      <c r="L1012" s="1020"/>
    </row>
    <row r="1013" spans="1:12" s="866" customFormat="1">
      <c r="A1013" s="1017"/>
      <c r="B1013" s="419"/>
      <c r="C1013" s="419" t="s">
        <v>1984</v>
      </c>
      <c r="E1013" s="1017"/>
      <c r="F1013" s="1017"/>
      <c r="G1013" s="1017"/>
      <c r="H1013" s="419" t="s">
        <v>1985</v>
      </c>
      <c r="I1013" s="1017"/>
      <c r="J1013" s="1017"/>
      <c r="K1013" s="1017"/>
      <c r="L1013" s="1017"/>
    </row>
    <row r="1014" spans="1:12">
      <c r="A1014" s="1175"/>
      <c r="B1014" s="1175"/>
      <c r="C1014" s="1017" t="s">
        <v>670</v>
      </c>
      <c r="D1014" s="407"/>
      <c r="E1014" s="1021"/>
      <c r="F1014" s="869"/>
      <c r="G1014" s="401"/>
      <c r="H1014" s="401"/>
      <c r="I1014" s="401"/>
      <c r="J1014" s="401"/>
      <c r="K1014" s="401"/>
      <c r="L1014" s="1175"/>
    </row>
    <row r="1015" spans="1:12">
      <c r="A1015" s="1175"/>
      <c r="B1015" s="1175"/>
      <c r="C1015" s="419" t="s">
        <v>1972</v>
      </c>
      <c r="D1015" s="407"/>
      <c r="E1015" s="1023"/>
      <c r="F1015" s="1022"/>
      <c r="G1015" s="1024"/>
      <c r="H1015" s="1024"/>
      <c r="I1015" s="1024"/>
      <c r="J1015" s="1024"/>
      <c r="K1015" s="1024"/>
      <c r="L1015" s="1175"/>
    </row>
  </sheetData>
  <autoFilter ref="C1:C1015" xr:uid="{00000000-0009-0000-0000-00000B000000}"/>
  <mergeCells count="197">
    <mergeCell ref="B1003:C1003"/>
    <mergeCell ref="B955:C955"/>
    <mergeCell ref="B965:C965"/>
    <mergeCell ref="B966:C966"/>
    <mergeCell ref="B992:C992"/>
    <mergeCell ref="B961:C961"/>
    <mergeCell ref="C1010:D1010"/>
    <mergeCell ref="C1011:D1011"/>
    <mergeCell ref="B506:C506"/>
    <mergeCell ref="B543:C543"/>
    <mergeCell ref="B544:C544"/>
    <mergeCell ref="B633:C633"/>
    <mergeCell ref="B635:C635"/>
    <mergeCell ref="B606:C606"/>
    <mergeCell ref="B636:C636"/>
    <mergeCell ref="B641:C641"/>
    <mergeCell ref="B643:C643"/>
    <mergeCell ref="B655:C655"/>
    <mergeCell ref="B659:C659"/>
    <mergeCell ref="B660:C660"/>
    <mergeCell ref="B666:C666"/>
    <mergeCell ref="B735:C735"/>
    <mergeCell ref="B736:C736"/>
    <mergeCell ref="B671:C671"/>
    <mergeCell ref="B107:C107"/>
    <mergeCell ref="C63:D63"/>
    <mergeCell ref="C64:D64"/>
    <mergeCell ref="C34:D34"/>
    <mergeCell ref="C35:D35"/>
    <mergeCell ref="B475:C475"/>
    <mergeCell ref="B564:C564"/>
    <mergeCell ref="B605:C605"/>
    <mergeCell ref="B546:C546"/>
    <mergeCell ref="B565:C565"/>
    <mergeCell ref="B571:C571"/>
    <mergeCell ref="B573:C573"/>
    <mergeCell ref="B574:C574"/>
    <mergeCell ref="B581:C581"/>
    <mergeCell ref="B583:C583"/>
    <mergeCell ref="B596:C596"/>
    <mergeCell ref="C588:D588"/>
    <mergeCell ref="C589:D589"/>
    <mergeCell ref="C557:D557"/>
    <mergeCell ref="C558:D558"/>
    <mergeCell ref="C527:D527"/>
    <mergeCell ref="C528:D528"/>
    <mergeCell ref="C496:D496"/>
    <mergeCell ref="C497:D497"/>
    <mergeCell ref="B325:C325"/>
    <mergeCell ref="B332:C332"/>
    <mergeCell ref="B357:C357"/>
    <mergeCell ref="B139:C139"/>
    <mergeCell ref="B142:C142"/>
    <mergeCell ref="B151:C151"/>
    <mergeCell ref="B165:C165"/>
    <mergeCell ref="B168:C168"/>
    <mergeCell ref="B174:C174"/>
    <mergeCell ref="B177:C177"/>
    <mergeCell ref="B148:C148"/>
    <mergeCell ref="B183:C183"/>
    <mergeCell ref="B199:C199"/>
    <mergeCell ref="B213:C213"/>
    <mergeCell ref="B208:C208"/>
    <mergeCell ref="B226:C226"/>
    <mergeCell ref="B236:C236"/>
    <mergeCell ref="B270:C270"/>
    <mergeCell ref="C219:D219"/>
    <mergeCell ref="C220:D220"/>
    <mergeCell ref="C188:D188"/>
    <mergeCell ref="C189:D189"/>
    <mergeCell ref="C158:D158"/>
    <mergeCell ref="B320:C320"/>
    <mergeCell ref="B12:C12"/>
    <mergeCell ref="B11:C11"/>
    <mergeCell ref="B13:C13"/>
    <mergeCell ref="B25:C25"/>
    <mergeCell ref="A2:A8"/>
    <mergeCell ref="A1:K1"/>
    <mergeCell ref="F9:G9"/>
    <mergeCell ref="H9:I9"/>
    <mergeCell ref="K9:K10"/>
    <mergeCell ref="A9:A10"/>
    <mergeCell ref="D9:D10"/>
    <mergeCell ref="E9:E10"/>
    <mergeCell ref="B9:C10"/>
    <mergeCell ref="J9:J10"/>
    <mergeCell ref="B275:C275"/>
    <mergeCell ref="B26:C26"/>
    <mergeCell ref="B48:C48"/>
    <mergeCell ref="B58:C58"/>
    <mergeCell ref="B72:C72"/>
    <mergeCell ref="B74:C74"/>
    <mergeCell ref="B82:C82"/>
    <mergeCell ref="B99:C99"/>
    <mergeCell ref="B100:C100"/>
    <mergeCell ref="B758:C758"/>
    <mergeCell ref="B759:C759"/>
    <mergeCell ref="B761:C761"/>
    <mergeCell ref="B763:C763"/>
    <mergeCell ref="B776:C776"/>
    <mergeCell ref="B780:C780"/>
    <mergeCell ref="B781:C781"/>
    <mergeCell ref="B791:C791"/>
    <mergeCell ref="B792:C792"/>
    <mergeCell ref="C770:D770"/>
    <mergeCell ref="C771:D771"/>
    <mergeCell ref="B795:C795"/>
    <mergeCell ref="B813:C813"/>
    <mergeCell ref="B814:C814"/>
    <mergeCell ref="B837:C837"/>
    <mergeCell ref="B838:C838"/>
    <mergeCell ref="B953:C953"/>
    <mergeCell ref="B900:C900"/>
    <mergeCell ref="B933:C933"/>
    <mergeCell ref="B948:C948"/>
    <mergeCell ref="B949:C949"/>
    <mergeCell ref="B797:C797"/>
    <mergeCell ref="B808:C808"/>
    <mergeCell ref="B812:C812"/>
    <mergeCell ref="B842:C842"/>
    <mergeCell ref="B847:C847"/>
    <mergeCell ref="B850:C850"/>
    <mergeCell ref="B891:C891"/>
    <mergeCell ref="B892:C892"/>
    <mergeCell ref="C831:D831"/>
    <mergeCell ref="C832:D832"/>
    <mergeCell ref="C800:D800"/>
    <mergeCell ref="C801:D801"/>
    <mergeCell ref="C972:D972"/>
    <mergeCell ref="C973:D973"/>
    <mergeCell ref="C942:D942"/>
    <mergeCell ref="C943:D943"/>
    <mergeCell ref="C908:D908"/>
    <mergeCell ref="C909:D909"/>
    <mergeCell ref="C885:D885"/>
    <mergeCell ref="C886:D886"/>
    <mergeCell ref="C857:D857"/>
    <mergeCell ref="C858:D858"/>
    <mergeCell ref="C741:D741"/>
    <mergeCell ref="C742:D742"/>
    <mergeCell ref="C710:D710"/>
    <mergeCell ref="C711:D711"/>
    <mergeCell ref="C680:D680"/>
    <mergeCell ref="C681:D681"/>
    <mergeCell ref="C649:D649"/>
    <mergeCell ref="C650:D650"/>
    <mergeCell ref="C619:D619"/>
    <mergeCell ref="C620:D620"/>
    <mergeCell ref="B718:C718"/>
    <mergeCell ref="B725:C725"/>
    <mergeCell ref="B667:C667"/>
    <mergeCell ref="B669:C669"/>
    <mergeCell ref="B676:C676"/>
    <mergeCell ref="B686:C686"/>
    <mergeCell ref="B687:C687"/>
    <mergeCell ref="B700:C700"/>
    <mergeCell ref="B717:C717"/>
    <mergeCell ref="B723:C723"/>
    <mergeCell ref="C467:D467"/>
    <mergeCell ref="C435:D435"/>
    <mergeCell ref="C436:D436"/>
    <mergeCell ref="C404:D404"/>
    <mergeCell ref="C405:D405"/>
    <mergeCell ref="C374:D374"/>
    <mergeCell ref="C375:D375"/>
    <mergeCell ref="C343:D343"/>
    <mergeCell ref="C344:D344"/>
    <mergeCell ref="B447:C447"/>
    <mergeCell ref="B358:C358"/>
    <mergeCell ref="B390:C390"/>
    <mergeCell ref="B416:C416"/>
    <mergeCell ref="B368:C368"/>
    <mergeCell ref="B367:C367"/>
    <mergeCell ref="C159:D159"/>
    <mergeCell ref="C127:D127"/>
    <mergeCell ref="C128:D128"/>
    <mergeCell ref="C93:D93"/>
    <mergeCell ref="C94:D94"/>
    <mergeCell ref="B113:C113"/>
    <mergeCell ref="B116:C116"/>
    <mergeCell ref="B122:C122"/>
    <mergeCell ref="C466:D466"/>
    <mergeCell ref="B231:C231"/>
    <mergeCell ref="B241:C241"/>
    <mergeCell ref="B246:C246"/>
    <mergeCell ref="B259:C259"/>
    <mergeCell ref="B264:C264"/>
    <mergeCell ref="B333:C333"/>
    <mergeCell ref="C312:D312"/>
    <mergeCell ref="C313:D313"/>
    <mergeCell ref="C281:D281"/>
    <mergeCell ref="C282:D282"/>
    <mergeCell ref="C250:D250"/>
    <mergeCell ref="C251:D251"/>
    <mergeCell ref="B294:C294"/>
    <mergeCell ref="B300:C300"/>
    <mergeCell ref="B306:C306"/>
  </mergeCells>
  <phoneticPr fontId="17" type="noConversion"/>
  <printOptions horizontalCentered="1"/>
  <pageMargins left="0.23622047244094499" right="0.23622047244094499" top="0.51100000000000001" bottom="0.26100000000000001" header="0.5" footer="0.31496062992126"/>
  <pageSetup paperSize="9" scale="46" fitToHeight="0" orientation="landscape" r:id="rId1"/>
  <headerFooter alignWithMargins="0">
    <oddHeader>&amp;R&amp;"TH Sarabun New,ตัวหนา"&amp;16แบบ ปร.4 หน้าที่ &amp;P จาก &amp;N</oddHeader>
  </headerFooter>
  <rowBreaks count="32" manualBreakCount="32">
    <brk id="39" max="10" man="1"/>
    <brk id="68" max="10" man="1"/>
    <brk id="98" max="10" man="1"/>
    <brk id="132" max="10" man="1"/>
    <brk id="163" max="10" man="1"/>
    <brk id="193" max="10" man="1"/>
    <brk id="224" max="10" man="1"/>
    <brk id="255" max="10" man="1"/>
    <brk id="286" max="10" man="1"/>
    <brk id="317" max="10" man="1"/>
    <brk id="348" max="10" man="1"/>
    <brk id="379" max="10" man="1"/>
    <brk id="409" max="10" man="1"/>
    <brk id="440" max="10" man="1"/>
    <brk id="471" max="10" man="1"/>
    <brk id="501" max="10" man="1"/>
    <brk id="532" max="10" man="1"/>
    <brk id="562" max="10" man="1"/>
    <brk id="593" max="10" man="1"/>
    <brk id="624" max="10" man="1"/>
    <brk id="654" max="10" man="1"/>
    <brk id="685" max="10" man="1"/>
    <brk id="715" max="10" man="1"/>
    <brk id="746" max="10" man="1"/>
    <brk id="775" max="10" man="1"/>
    <brk id="805" max="10" man="1"/>
    <brk id="836" max="10" man="1"/>
    <brk id="862" max="10" man="1"/>
    <brk id="890" max="10" man="1"/>
    <brk id="913" max="10" man="1"/>
    <brk id="947" max="10" man="1"/>
    <brk id="977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tabColor rgb="FF7030A0"/>
  </sheetPr>
  <dimension ref="A1:M251"/>
  <sheetViews>
    <sheetView showGridLines="0" showWhiteSpace="0" view="pageBreakPreview" topLeftCell="A52" zoomScaleNormal="85" zoomScaleSheetLayoutView="100" zoomScalePageLayoutView="40" workbookViewId="0">
      <selection activeCell="A34" sqref="A34:K41"/>
    </sheetView>
  </sheetViews>
  <sheetFormatPr defaultColWidth="9.42578125" defaultRowHeight="24" customHeight="1"/>
  <cols>
    <col min="1" max="1" width="14.28515625" style="421" customWidth="1"/>
    <col min="2" max="2" width="7.140625" style="421" customWidth="1"/>
    <col min="3" max="3" width="64.140625" style="422" customWidth="1"/>
    <col min="4" max="4" width="10" style="297" bestFit="1" customWidth="1"/>
    <col min="5" max="5" width="10.42578125" style="421" customWidth="1"/>
    <col min="6" max="9" width="15.85546875" style="298" customWidth="1"/>
    <col min="10" max="10" width="15.85546875" style="299" customWidth="1"/>
    <col min="11" max="11" width="14" style="420" customWidth="1"/>
    <col min="12" max="12" width="13.28515625" style="420" customWidth="1"/>
    <col min="13" max="13" width="39.7109375" style="420" customWidth="1"/>
    <col min="14" max="14" width="15.7109375" style="420" customWidth="1"/>
    <col min="15" max="15" width="25.85546875" style="420" customWidth="1"/>
    <col min="16" max="16384" width="9.42578125" style="420"/>
  </cols>
  <sheetData>
    <row r="1" spans="1:13" s="210" customFormat="1" ht="24" customHeight="1">
      <c r="A1" s="2527" t="str">
        <f>'[2]กลุ่มงานที่1 '!A1:F1</f>
        <v xml:space="preserve">แบบแสดงรายการ ปริมาณงาน และราคา  </v>
      </c>
      <c r="B1" s="2527"/>
      <c r="C1" s="2527"/>
      <c r="D1" s="2527"/>
      <c r="E1" s="2527"/>
      <c r="F1" s="2527"/>
      <c r="G1" s="2527"/>
      <c r="H1" s="2527"/>
      <c r="I1" s="2527"/>
      <c r="J1" s="2527"/>
      <c r="K1" s="2527"/>
      <c r="L1" s="155"/>
      <c r="M1" s="659"/>
    </row>
    <row r="2" spans="1:13" s="211" customFormat="1" ht="24" customHeight="1">
      <c r="A2" s="2343"/>
      <c r="B2" s="162"/>
      <c r="C2" s="138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D2" s="473"/>
      <c r="F2" s="473"/>
      <c r="G2" s="464"/>
      <c r="I2" s="187"/>
      <c r="K2" s="169"/>
      <c r="L2" s="169"/>
      <c r="M2" s="162"/>
    </row>
    <row r="3" spans="1:13" s="211" customFormat="1" ht="24" customHeight="1">
      <c r="A3" s="2343"/>
      <c r="B3" s="162"/>
      <c r="C3" s="143" t="str">
        <f>[2]ปร6!B3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D3" s="473"/>
      <c r="F3" s="473"/>
      <c r="G3" s="473"/>
      <c r="I3" s="187"/>
      <c r="K3" s="162"/>
      <c r="L3" s="162"/>
      <c r="M3" s="162"/>
    </row>
    <row r="4" spans="1:13" s="211" customFormat="1" ht="24" customHeight="1">
      <c r="A4" s="2343"/>
      <c r="B4" s="162"/>
      <c r="C4" s="143" t="str">
        <f>[2]ปร6!B4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4" s="473"/>
      <c r="F4" s="473"/>
      <c r="G4" s="473"/>
      <c r="I4" s="187"/>
      <c r="K4" s="162"/>
      <c r="L4" s="162"/>
      <c r="M4" s="162"/>
    </row>
    <row r="5" spans="1:13" s="211" customFormat="1" ht="24" customHeight="1">
      <c r="A5" s="2343"/>
      <c r="B5" s="162"/>
      <c r="C5" s="137" t="str">
        <f>[2]ปร6!B5</f>
        <v>แบบเลขที่  RMUTP-DOA-63-4-PL001.</v>
      </c>
      <c r="D5" s="473"/>
      <c r="F5" s="473"/>
      <c r="G5" s="473"/>
      <c r="I5" s="187"/>
      <c r="K5" s="162"/>
      <c r="L5" s="162"/>
      <c r="M5" s="162"/>
    </row>
    <row r="6" spans="1:13" s="213" customFormat="1" ht="24" customHeight="1">
      <c r="A6" s="2343"/>
      <c r="B6" s="162"/>
      <c r="C6" s="144" t="str">
        <f>[2]ปร6!B6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660"/>
      <c r="E6" s="212"/>
      <c r="F6" s="660"/>
      <c r="G6" s="647"/>
      <c r="I6" s="661"/>
      <c r="K6" s="162"/>
      <c r="L6" s="162"/>
      <c r="M6" s="162"/>
    </row>
    <row r="7" spans="1:13" s="213" customFormat="1" ht="24" customHeight="1">
      <c r="A7" s="2343"/>
      <c r="B7" s="162"/>
      <c r="C7" s="144" t="str">
        <f>ปร6!B7</f>
        <v>คำนวณราคากลาง   เมื่อวันที่ 16  เดือน สิงหาคม พ.ศ. 2567</v>
      </c>
      <c r="D7" s="660"/>
      <c r="E7" s="212"/>
      <c r="F7" s="662"/>
      <c r="G7" s="647"/>
      <c r="I7" s="661"/>
      <c r="K7" s="219" t="s">
        <v>146</v>
      </c>
      <c r="L7" s="219"/>
      <c r="M7" s="663"/>
    </row>
    <row r="8" spans="1:13" s="485" customFormat="1" ht="24" customHeight="1">
      <c r="A8" s="2343"/>
      <c r="B8" s="162"/>
      <c r="C8" s="473"/>
      <c r="E8" s="212"/>
      <c r="F8" s="190"/>
      <c r="H8" s="646"/>
      <c r="I8" s="646"/>
      <c r="J8" s="646"/>
      <c r="K8" s="647"/>
      <c r="L8" s="647"/>
      <c r="M8" s="647"/>
    </row>
    <row r="9" spans="1:13" s="480" customFormat="1" ht="24" customHeight="1">
      <c r="A9" s="2528" t="s">
        <v>52</v>
      </c>
      <c r="B9" s="2529" t="s">
        <v>53</v>
      </c>
      <c r="C9" s="2530"/>
      <c r="D9" s="2533" t="s">
        <v>54</v>
      </c>
      <c r="E9" s="2528" t="s">
        <v>55</v>
      </c>
      <c r="F9" s="2534" t="s">
        <v>1772</v>
      </c>
      <c r="G9" s="2534"/>
      <c r="H9" s="2534" t="s">
        <v>1772</v>
      </c>
      <c r="I9" s="2534"/>
      <c r="J9" s="2535" t="s">
        <v>64</v>
      </c>
      <c r="K9" s="2528" t="s">
        <v>58</v>
      </c>
      <c r="L9" s="674"/>
      <c r="M9" s="648"/>
    </row>
    <row r="10" spans="1:13" s="480" customFormat="1" ht="24" customHeight="1">
      <c r="A10" s="2528"/>
      <c r="B10" s="2531"/>
      <c r="C10" s="2532"/>
      <c r="D10" s="2533"/>
      <c r="E10" s="2528"/>
      <c r="F10" s="490" t="s">
        <v>59</v>
      </c>
      <c r="G10" s="490" t="s">
        <v>60</v>
      </c>
      <c r="H10" s="490" t="s">
        <v>62</v>
      </c>
      <c r="I10" s="490" t="s">
        <v>63</v>
      </c>
      <c r="J10" s="2536"/>
      <c r="K10" s="2528"/>
      <c r="L10" s="674"/>
      <c r="M10" s="648"/>
    </row>
    <row r="11" spans="1:13" s="480" customFormat="1" ht="24" customHeight="1">
      <c r="A11" s="649"/>
      <c r="B11" s="2537" t="s">
        <v>81</v>
      </c>
      <c r="C11" s="2538"/>
      <c r="D11" s="491"/>
      <c r="E11" s="650"/>
      <c r="F11" s="651"/>
      <c r="G11" s="651"/>
      <c r="H11" s="651"/>
      <c r="I11" s="651"/>
      <c r="J11" s="652"/>
      <c r="K11" s="653"/>
      <c r="L11" s="676"/>
      <c r="M11" s="426"/>
    </row>
    <row r="12" spans="1:13" s="480" customFormat="1" ht="24" customHeight="1">
      <c r="A12" s="468">
        <v>5</v>
      </c>
      <c r="B12" s="2539" t="s">
        <v>309</v>
      </c>
      <c r="C12" s="2539"/>
      <c r="D12" s="438"/>
      <c r="E12" s="654"/>
      <c r="F12" s="655"/>
      <c r="G12" s="656"/>
      <c r="H12" s="656"/>
      <c r="I12" s="656"/>
      <c r="J12" s="656"/>
      <c r="K12" s="466"/>
      <c r="L12" s="673"/>
      <c r="M12" s="426"/>
    </row>
    <row r="13" spans="1:13" s="480" customFormat="1" ht="24" customHeight="1">
      <c r="A13" s="657">
        <v>5.0999999999999996</v>
      </c>
      <c r="B13" s="2540" t="s">
        <v>1282</v>
      </c>
      <c r="C13" s="2540"/>
      <c r="D13" s="438"/>
      <c r="E13" s="654"/>
      <c r="F13" s="655"/>
      <c r="G13" s="656"/>
      <c r="H13" s="656"/>
      <c r="I13" s="656"/>
      <c r="J13" s="656"/>
      <c r="K13" s="466"/>
      <c r="L13" s="673"/>
      <c r="M13" s="426"/>
    </row>
    <row r="14" spans="1:13" s="1474" customFormat="1" ht="24" customHeight="1">
      <c r="A14" s="573" t="s">
        <v>94</v>
      </c>
      <c r="B14" s="2541" t="s">
        <v>283</v>
      </c>
      <c r="C14" s="2542"/>
      <c r="D14" s="488"/>
      <c r="E14" s="495"/>
      <c r="F14" s="576"/>
      <c r="G14" s="577"/>
      <c r="H14" s="577"/>
      <c r="I14" s="577"/>
      <c r="J14" s="577"/>
      <c r="K14" s="498"/>
      <c r="L14" s="1472"/>
      <c r="M14" s="1473"/>
    </row>
    <row r="15" spans="1:13" s="1476" customFormat="1" ht="24" customHeight="1">
      <c r="A15" s="214"/>
      <c r="B15" s="500" t="s">
        <v>107</v>
      </c>
      <c r="C15" s="1598" t="s">
        <v>1815</v>
      </c>
      <c r="D15" s="269">
        <v>4</v>
      </c>
      <c r="E15" s="525" t="s">
        <v>5</v>
      </c>
      <c r="F15" s="526"/>
      <c r="G15" s="526">
        <v>1500</v>
      </c>
      <c r="H15" s="456">
        <f t="shared" ref="H15:H33" si="0">D15*F15</f>
        <v>0</v>
      </c>
      <c r="I15" s="456">
        <f t="shared" ref="I15:I33" si="1">D15*G15</f>
        <v>6000</v>
      </c>
      <c r="J15" s="456">
        <f t="shared" ref="J15:J33" si="2">H15+I15</f>
        <v>6000</v>
      </c>
      <c r="K15" s="1599" t="s">
        <v>1993</v>
      </c>
      <c r="L15" s="1475" t="s">
        <v>1959</v>
      </c>
      <c r="M15" s="1473" t="s">
        <v>1960</v>
      </c>
    </row>
    <row r="16" spans="1:13" s="658" customFormat="1" ht="24" customHeight="1">
      <c r="A16" s="214"/>
      <c r="B16" s="500" t="s">
        <v>107</v>
      </c>
      <c r="C16" s="1598" t="s">
        <v>1817</v>
      </c>
      <c r="D16" s="269">
        <v>13</v>
      </c>
      <c r="E16" s="525" t="s">
        <v>5</v>
      </c>
      <c r="F16" s="526"/>
      <c r="G16" s="526">
        <v>1500</v>
      </c>
      <c r="H16" s="456">
        <f t="shared" si="0"/>
        <v>0</v>
      </c>
      <c r="I16" s="456">
        <f t="shared" si="1"/>
        <v>19500</v>
      </c>
      <c r="J16" s="456">
        <f t="shared" si="2"/>
        <v>19500</v>
      </c>
      <c r="K16" s="1599" t="s">
        <v>1993</v>
      </c>
      <c r="L16" s="1475" t="s">
        <v>1959</v>
      </c>
      <c r="M16" s="1473" t="s">
        <v>1960</v>
      </c>
    </row>
    <row r="17" spans="1:13" s="1477" customFormat="1" ht="24" customHeight="1">
      <c r="A17" s="214"/>
      <c r="B17" s="500" t="s">
        <v>107</v>
      </c>
      <c r="C17" s="1598" t="s">
        <v>1818</v>
      </c>
      <c r="D17" s="269">
        <v>10</v>
      </c>
      <c r="E17" s="525" t="s">
        <v>5</v>
      </c>
      <c r="F17" s="526"/>
      <c r="G17" s="526">
        <v>1500</v>
      </c>
      <c r="H17" s="456">
        <f t="shared" si="0"/>
        <v>0</v>
      </c>
      <c r="I17" s="456">
        <f t="shared" si="1"/>
        <v>15000</v>
      </c>
      <c r="J17" s="456">
        <f t="shared" si="2"/>
        <v>15000</v>
      </c>
      <c r="K17" s="1599" t="s">
        <v>1993</v>
      </c>
      <c r="L17" s="1475" t="s">
        <v>1959</v>
      </c>
      <c r="M17" s="1473" t="s">
        <v>1960</v>
      </c>
    </row>
    <row r="18" spans="1:13" s="658" customFormat="1" ht="24" customHeight="1">
      <c r="A18" s="214"/>
      <c r="B18" s="500" t="s">
        <v>107</v>
      </c>
      <c r="C18" s="1598" t="s">
        <v>1819</v>
      </c>
      <c r="D18" s="269">
        <v>18</v>
      </c>
      <c r="E18" s="525" t="s">
        <v>5</v>
      </c>
      <c r="F18" s="526"/>
      <c r="G18" s="526">
        <v>1500</v>
      </c>
      <c r="H18" s="456">
        <f t="shared" si="0"/>
        <v>0</v>
      </c>
      <c r="I18" s="456">
        <f t="shared" si="1"/>
        <v>27000</v>
      </c>
      <c r="J18" s="456">
        <f t="shared" si="2"/>
        <v>27000</v>
      </c>
      <c r="K18" s="1599" t="s">
        <v>1993</v>
      </c>
      <c r="L18" s="1475" t="s">
        <v>1959</v>
      </c>
      <c r="M18" s="1473" t="s">
        <v>1960</v>
      </c>
    </row>
    <row r="19" spans="1:13" s="1477" customFormat="1" ht="24" customHeight="1">
      <c r="A19" s="214"/>
      <c r="B19" s="500" t="s">
        <v>107</v>
      </c>
      <c r="C19" s="1598" t="s">
        <v>1820</v>
      </c>
      <c r="D19" s="269">
        <v>30</v>
      </c>
      <c r="E19" s="525" t="s">
        <v>5</v>
      </c>
      <c r="F19" s="526"/>
      <c r="G19" s="526">
        <v>1500</v>
      </c>
      <c r="H19" s="456">
        <f t="shared" si="0"/>
        <v>0</v>
      </c>
      <c r="I19" s="456">
        <f t="shared" si="1"/>
        <v>45000</v>
      </c>
      <c r="J19" s="456">
        <f t="shared" si="2"/>
        <v>45000</v>
      </c>
      <c r="K19" s="1599" t="s">
        <v>1993</v>
      </c>
      <c r="L19" s="1475" t="s">
        <v>1959</v>
      </c>
      <c r="M19" s="1473" t="s">
        <v>1960</v>
      </c>
    </row>
    <row r="20" spans="1:13" s="658" customFormat="1" ht="24" customHeight="1">
      <c r="A20" s="214"/>
      <c r="B20" s="500" t="s">
        <v>107</v>
      </c>
      <c r="C20" s="1598" t="s">
        <v>1821</v>
      </c>
      <c r="D20" s="269">
        <v>39</v>
      </c>
      <c r="E20" s="525" t="s">
        <v>5</v>
      </c>
      <c r="F20" s="526"/>
      <c r="G20" s="526">
        <v>2000</v>
      </c>
      <c r="H20" s="456">
        <f t="shared" si="0"/>
        <v>0</v>
      </c>
      <c r="I20" s="456">
        <f t="shared" si="1"/>
        <v>78000</v>
      </c>
      <c r="J20" s="456">
        <f t="shared" si="2"/>
        <v>78000</v>
      </c>
      <c r="K20" s="1599" t="s">
        <v>1993</v>
      </c>
      <c r="L20" s="1475" t="s">
        <v>1959</v>
      </c>
      <c r="M20" s="1473" t="s">
        <v>1960</v>
      </c>
    </row>
    <row r="21" spans="1:13" s="658" customFormat="1" ht="24" customHeight="1">
      <c r="A21" s="214"/>
      <c r="B21" s="500" t="s">
        <v>107</v>
      </c>
      <c r="C21" s="1598" t="s">
        <v>1822</v>
      </c>
      <c r="D21" s="269">
        <v>8</v>
      </c>
      <c r="E21" s="525" t="s">
        <v>5</v>
      </c>
      <c r="F21" s="526"/>
      <c r="G21" s="526">
        <v>2400</v>
      </c>
      <c r="H21" s="456">
        <f t="shared" si="0"/>
        <v>0</v>
      </c>
      <c r="I21" s="456">
        <f t="shared" si="1"/>
        <v>19200</v>
      </c>
      <c r="J21" s="456">
        <f t="shared" si="2"/>
        <v>19200</v>
      </c>
      <c r="K21" s="1599" t="s">
        <v>1993</v>
      </c>
      <c r="L21" s="1475" t="s">
        <v>1959</v>
      </c>
      <c r="M21" s="1473" t="s">
        <v>1960</v>
      </c>
    </row>
    <row r="22" spans="1:13" s="1478" customFormat="1" ht="24" customHeight="1">
      <c r="A22" s="1600"/>
      <c r="B22" s="546" t="s">
        <v>107</v>
      </c>
      <c r="C22" s="1598" t="s">
        <v>1823</v>
      </c>
      <c r="D22" s="270">
        <v>2</v>
      </c>
      <c r="E22" s="548" t="s">
        <v>5</v>
      </c>
      <c r="F22" s="550"/>
      <c r="G22" s="550">
        <v>7500</v>
      </c>
      <c r="H22" s="376">
        <f t="shared" si="0"/>
        <v>0</v>
      </c>
      <c r="I22" s="376">
        <f t="shared" si="1"/>
        <v>15000</v>
      </c>
      <c r="J22" s="376">
        <f t="shared" si="2"/>
        <v>15000</v>
      </c>
      <c r="K22" s="1599" t="s">
        <v>1993</v>
      </c>
      <c r="L22" s="1475" t="s">
        <v>1959</v>
      </c>
      <c r="M22" s="1473" t="s">
        <v>1960</v>
      </c>
    </row>
    <row r="23" spans="1:13" s="658" customFormat="1" ht="24" customHeight="1">
      <c r="A23" s="214"/>
      <c r="B23" s="500" t="s">
        <v>107</v>
      </c>
      <c r="C23" s="1598" t="s">
        <v>1824</v>
      </c>
      <c r="D23" s="269">
        <v>2</v>
      </c>
      <c r="E23" s="525" t="s">
        <v>5</v>
      </c>
      <c r="F23" s="526"/>
      <c r="G23" s="526">
        <v>15000</v>
      </c>
      <c r="H23" s="456">
        <f t="shared" si="0"/>
        <v>0</v>
      </c>
      <c r="I23" s="456">
        <f t="shared" si="1"/>
        <v>30000</v>
      </c>
      <c r="J23" s="456">
        <f t="shared" si="2"/>
        <v>30000</v>
      </c>
      <c r="K23" s="1599" t="s">
        <v>1993</v>
      </c>
      <c r="L23" s="1475" t="s">
        <v>1959</v>
      </c>
      <c r="M23" s="1473" t="s">
        <v>1960</v>
      </c>
    </row>
    <row r="24" spans="1:13" s="658" customFormat="1" ht="24" customHeight="1">
      <c r="A24" s="499"/>
      <c r="B24" s="500" t="s">
        <v>107</v>
      </c>
      <c r="C24" s="506" t="s">
        <v>1825</v>
      </c>
      <c r="D24" s="269">
        <v>1</v>
      </c>
      <c r="E24" s="525" t="s">
        <v>5</v>
      </c>
      <c r="F24" s="559"/>
      <c r="G24" s="526">
        <v>45000</v>
      </c>
      <c r="H24" s="456">
        <f t="shared" si="0"/>
        <v>0</v>
      </c>
      <c r="I24" s="456">
        <f t="shared" si="1"/>
        <v>45000</v>
      </c>
      <c r="J24" s="456">
        <f t="shared" si="2"/>
        <v>45000</v>
      </c>
      <c r="K24" s="1599" t="s">
        <v>1993</v>
      </c>
      <c r="L24" s="1475" t="s">
        <v>1959</v>
      </c>
      <c r="M24" s="1473" t="s">
        <v>1960</v>
      </c>
    </row>
    <row r="25" spans="1:13" s="658" customFormat="1" ht="24" customHeight="1">
      <c r="A25" s="499"/>
      <c r="B25" s="500" t="s">
        <v>107</v>
      </c>
      <c r="C25" s="506" t="s">
        <v>1826</v>
      </c>
      <c r="D25" s="269">
        <v>1</v>
      </c>
      <c r="E25" s="525" t="s">
        <v>5</v>
      </c>
      <c r="F25" s="559"/>
      <c r="G25" s="526">
        <v>20000</v>
      </c>
      <c r="H25" s="456">
        <f t="shared" si="0"/>
        <v>0</v>
      </c>
      <c r="I25" s="456">
        <f t="shared" si="1"/>
        <v>20000</v>
      </c>
      <c r="J25" s="456">
        <f t="shared" si="2"/>
        <v>20000</v>
      </c>
      <c r="K25" s="1599" t="s">
        <v>1993</v>
      </c>
      <c r="L25" s="1475" t="s">
        <v>1959</v>
      </c>
      <c r="M25" s="1473" t="s">
        <v>1960</v>
      </c>
    </row>
    <row r="26" spans="1:13" s="658" customFormat="1" ht="24" customHeight="1">
      <c r="A26" s="499"/>
      <c r="B26" s="500" t="s">
        <v>107</v>
      </c>
      <c r="C26" s="506" t="s">
        <v>1827</v>
      </c>
      <c r="D26" s="269">
        <v>1</v>
      </c>
      <c r="E26" s="525" t="s">
        <v>5</v>
      </c>
      <c r="F26" s="559"/>
      <c r="G26" s="526">
        <v>40000</v>
      </c>
      <c r="H26" s="456">
        <f t="shared" si="0"/>
        <v>0</v>
      </c>
      <c r="I26" s="456">
        <f t="shared" si="1"/>
        <v>40000</v>
      </c>
      <c r="J26" s="456">
        <f t="shared" si="2"/>
        <v>40000</v>
      </c>
      <c r="K26" s="1599" t="s">
        <v>1993</v>
      </c>
      <c r="L26" s="1475" t="s">
        <v>1959</v>
      </c>
      <c r="M26" s="1473" t="s">
        <v>1960</v>
      </c>
    </row>
    <row r="27" spans="1:13" s="658" customFormat="1" ht="24" customHeight="1">
      <c r="A27" s="499"/>
      <c r="B27" s="500" t="s">
        <v>107</v>
      </c>
      <c r="C27" s="506" t="s">
        <v>1828</v>
      </c>
      <c r="D27" s="269">
        <v>1</v>
      </c>
      <c r="E27" s="525" t="s">
        <v>5</v>
      </c>
      <c r="F27" s="526"/>
      <c r="G27" s="526">
        <v>45000</v>
      </c>
      <c r="H27" s="456">
        <f t="shared" si="0"/>
        <v>0</v>
      </c>
      <c r="I27" s="456">
        <f t="shared" si="1"/>
        <v>45000</v>
      </c>
      <c r="J27" s="456">
        <f t="shared" si="2"/>
        <v>45000</v>
      </c>
      <c r="K27" s="1599" t="s">
        <v>1993</v>
      </c>
      <c r="L27" s="1475" t="s">
        <v>1959</v>
      </c>
      <c r="M27" s="1473" t="s">
        <v>1960</v>
      </c>
    </row>
    <row r="28" spans="1:13" s="658" customFormat="1" ht="24" customHeight="1">
      <c r="A28" s="499"/>
      <c r="B28" s="500" t="s">
        <v>107</v>
      </c>
      <c r="C28" s="506" t="s">
        <v>1829</v>
      </c>
      <c r="D28" s="269">
        <v>1</v>
      </c>
      <c r="E28" s="525" t="s">
        <v>5</v>
      </c>
      <c r="F28" s="526"/>
      <c r="G28" s="526">
        <v>45000</v>
      </c>
      <c r="H28" s="456">
        <f t="shared" si="0"/>
        <v>0</v>
      </c>
      <c r="I28" s="456">
        <f t="shared" si="1"/>
        <v>45000</v>
      </c>
      <c r="J28" s="456">
        <f t="shared" si="2"/>
        <v>45000</v>
      </c>
      <c r="K28" s="1599" t="s">
        <v>1993</v>
      </c>
      <c r="L28" s="1475" t="s">
        <v>1959</v>
      </c>
      <c r="M28" s="1473" t="s">
        <v>1960</v>
      </c>
    </row>
    <row r="29" spans="1:13" s="658" customFormat="1" ht="24" customHeight="1">
      <c r="A29" s="499"/>
      <c r="B29" s="500" t="s">
        <v>107</v>
      </c>
      <c r="C29" s="506" t="s">
        <v>1830</v>
      </c>
      <c r="D29" s="269">
        <v>1</v>
      </c>
      <c r="E29" s="525" t="s">
        <v>5</v>
      </c>
      <c r="F29" s="526"/>
      <c r="G29" s="526">
        <v>45000</v>
      </c>
      <c r="H29" s="456">
        <f t="shared" si="0"/>
        <v>0</v>
      </c>
      <c r="I29" s="456">
        <f t="shared" si="1"/>
        <v>45000</v>
      </c>
      <c r="J29" s="456">
        <f t="shared" si="2"/>
        <v>45000</v>
      </c>
      <c r="K29" s="1599" t="s">
        <v>1993</v>
      </c>
      <c r="L29" s="1475" t="s">
        <v>1959</v>
      </c>
      <c r="M29" s="1473" t="s">
        <v>1960</v>
      </c>
    </row>
    <row r="30" spans="1:13" s="658" customFormat="1" ht="24" customHeight="1">
      <c r="A30" s="499"/>
      <c r="B30" s="500" t="s">
        <v>107</v>
      </c>
      <c r="C30" s="506" t="s">
        <v>1831</v>
      </c>
      <c r="D30" s="269">
        <v>1</v>
      </c>
      <c r="E30" s="525" t="s">
        <v>5</v>
      </c>
      <c r="F30" s="559"/>
      <c r="G30" s="526">
        <v>40000</v>
      </c>
      <c r="H30" s="456">
        <f t="shared" si="0"/>
        <v>0</v>
      </c>
      <c r="I30" s="456">
        <f t="shared" si="1"/>
        <v>40000</v>
      </c>
      <c r="J30" s="456">
        <f t="shared" si="2"/>
        <v>40000</v>
      </c>
      <c r="K30" s="1599" t="s">
        <v>1993</v>
      </c>
      <c r="L30" s="1475" t="s">
        <v>1959</v>
      </c>
      <c r="M30" s="1473" t="s">
        <v>1960</v>
      </c>
    </row>
    <row r="31" spans="1:13" s="658" customFormat="1" ht="24" customHeight="1">
      <c r="A31" s="499"/>
      <c r="B31" s="500" t="s">
        <v>107</v>
      </c>
      <c r="C31" s="506" t="s">
        <v>1832</v>
      </c>
      <c r="D31" s="269">
        <v>1</v>
      </c>
      <c r="E31" s="525" t="s">
        <v>5</v>
      </c>
      <c r="F31" s="559"/>
      <c r="G31" s="526">
        <v>40000</v>
      </c>
      <c r="H31" s="456">
        <f t="shared" si="0"/>
        <v>0</v>
      </c>
      <c r="I31" s="456">
        <f t="shared" si="1"/>
        <v>40000</v>
      </c>
      <c r="J31" s="456">
        <f t="shared" si="2"/>
        <v>40000</v>
      </c>
      <c r="K31" s="1599" t="s">
        <v>1993</v>
      </c>
      <c r="L31" s="1475" t="s">
        <v>1959</v>
      </c>
      <c r="M31" s="1473" t="s">
        <v>1960</v>
      </c>
    </row>
    <row r="32" spans="1:13" s="658" customFormat="1" ht="24" customHeight="1">
      <c r="A32" s="499"/>
      <c r="B32" s="500" t="s">
        <v>107</v>
      </c>
      <c r="C32" s="506" t="s">
        <v>1833</v>
      </c>
      <c r="D32" s="269">
        <v>1</v>
      </c>
      <c r="E32" s="525" t="s">
        <v>5</v>
      </c>
      <c r="F32" s="559"/>
      <c r="G32" s="526">
        <v>30000</v>
      </c>
      <c r="H32" s="456">
        <f t="shared" si="0"/>
        <v>0</v>
      </c>
      <c r="I32" s="456">
        <f t="shared" si="1"/>
        <v>30000</v>
      </c>
      <c r="J32" s="456">
        <f t="shared" si="2"/>
        <v>30000</v>
      </c>
      <c r="K32" s="1599" t="s">
        <v>1993</v>
      </c>
      <c r="L32" s="1475" t="s">
        <v>1959</v>
      </c>
      <c r="M32" s="1473" t="s">
        <v>1960</v>
      </c>
    </row>
    <row r="33" spans="1:13" s="658" customFormat="1" ht="24" customHeight="1">
      <c r="A33" s="1601"/>
      <c r="B33" s="1602" t="s">
        <v>107</v>
      </c>
      <c r="C33" s="1603" t="s">
        <v>1834</v>
      </c>
      <c r="D33" s="1604">
        <v>1</v>
      </c>
      <c r="E33" s="1605" t="s">
        <v>5</v>
      </c>
      <c r="F33" s="1606"/>
      <c r="G33" s="1607">
        <v>15000</v>
      </c>
      <c r="H33" s="459">
        <f t="shared" si="0"/>
        <v>0</v>
      </c>
      <c r="I33" s="459">
        <f t="shared" si="1"/>
        <v>15000</v>
      </c>
      <c r="J33" s="459">
        <f t="shared" si="2"/>
        <v>15000</v>
      </c>
      <c r="K33" s="1599" t="s">
        <v>1993</v>
      </c>
      <c r="L33" s="1479" t="s">
        <v>1959</v>
      </c>
      <c r="M33" s="1473" t="s">
        <v>1960</v>
      </c>
    </row>
    <row r="34" spans="1:13" s="658" customFormat="1" ht="24" customHeight="1">
      <c r="A34" s="139"/>
      <c r="B34" s="139"/>
      <c r="C34" s="152"/>
      <c r="D34" s="152"/>
      <c r="E34" s="205"/>
      <c r="F34" s="205"/>
      <c r="G34" s="205"/>
      <c r="H34" s="205"/>
      <c r="I34" s="205"/>
      <c r="J34" s="205"/>
      <c r="K34" s="205"/>
      <c r="L34" s="2201"/>
      <c r="M34" s="1473"/>
    </row>
    <row r="35" spans="1:13" s="658" customFormat="1" ht="24" customHeight="1">
      <c r="A35" s="139"/>
      <c r="B35" s="869"/>
      <c r="C35" s="1013" t="s">
        <v>133</v>
      </c>
      <c r="D35" s="418"/>
      <c r="E35" s="1014"/>
      <c r="F35" s="1014"/>
      <c r="G35" s="868"/>
      <c r="H35" s="868"/>
      <c r="I35" s="866"/>
      <c r="J35" s="866"/>
      <c r="K35" s="492"/>
      <c r="L35" s="2201"/>
      <c r="M35" s="1473"/>
    </row>
    <row r="36" spans="1:13" s="658" customFormat="1" ht="24" customHeight="1">
      <c r="A36" s="139"/>
      <c r="B36" s="2407" t="s">
        <v>1769</v>
      </c>
      <c r="C36" s="2407"/>
      <c r="D36" s="1017"/>
      <c r="E36" s="1017"/>
      <c r="F36" s="1017"/>
      <c r="G36" s="1017" t="s">
        <v>134</v>
      </c>
      <c r="H36" s="1017"/>
      <c r="I36" s="1017"/>
      <c r="J36" s="1017"/>
      <c r="K36" s="205"/>
      <c r="L36" s="2201"/>
      <c r="M36" s="1473"/>
    </row>
    <row r="37" spans="1:13" s="658" customFormat="1" ht="24" customHeight="1">
      <c r="A37" s="139"/>
      <c r="B37" s="2408" t="s">
        <v>1970</v>
      </c>
      <c r="C37" s="2408"/>
      <c r="D37" s="419"/>
      <c r="E37" s="419"/>
      <c r="F37" s="419"/>
      <c r="G37" s="1019" t="s">
        <v>1971</v>
      </c>
      <c r="H37" s="419"/>
      <c r="I37" s="419"/>
      <c r="J37" s="419"/>
      <c r="K37" s="174"/>
      <c r="L37" s="2201"/>
      <c r="M37" s="1473"/>
    </row>
    <row r="38" spans="1:13" s="658" customFormat="1" ht="24" customHeight="1">
      <c r="A38" s="139"/>
      <c r="B38" s="1017" t="s">
        <v>2031</v>
      </c>
      <c r="C38" s="866"/>
      <c r="D38" s="419"/>
      <c r="E38" s="419"/>
      <c r="F38" s="419"/>
      <c r="G38" s="1017" t="s">
        <v>2031</v>
      </c>
      <c r="H38" s="419"/>
      <c r="I38" s="419"/>
      <c r="J38" s="419"/>
      <c r="K38" s="1639"/>
      <c r="L38" s="2201"/>
      <c r="M38" s="1473"/>
    </row>
    <row r="39" spans="1:13" s="658" customFormat="1" ht="24" customHeight="1">
      <c r="A39" s="139"/>
      <c r="B39" s="419" t="s">
        <v>1984</v>
      </c>
      <c r="C39" s="866"/>
      <c r="D39" s="1017"/>
      <c r="E39" s="1017"/>
      <c r="F39" s="1017"/>
      <c r="G39" s="419" t="s">
        <v>1985</v>
      </c>
      <c r="H39" s="1017"/>
      <c r="I39" s="1017"/>
      <c r="J39" s="1017"/>
      <c r="K39" s="1638"/>
      <c r="L39" s="2201"/>
      <c r="M39" s="1473"/>
    </row>
    <row r="40" spans="1:13" s="658" customFormat="1" ht="24" customHeight="1">
      <c r="A40" s="139"/>
      <c r="B40" s="1017" t="s">
        <v>670</v>
      </c>
      <c r="C40" s="407"/>
      <c r="D40" s="1021"/>
      <c r="E40" s="869"/>
      <c r="F40" s="401"/>
      <c r="G40" s="401"/>
      <c r="H40" s="401"/>
      <c r="I40" s="401"/>
      <c r="J40" s="401"/>
      <c r="K40" s="174"/>
      <c r="L40" s="2201"/>
      <c r="M40" s="1473"/>
    </row>
    <row r="41" spans="1:13" s="658" customFormat="1" ht="24" customHeight="1">
      <c r="A41" s="139"/>
      <c r="B41" s="419" t="s">
        <v>1972</v>
      </c>
      <c r="C41" s="407"/>
      <c r="D41" s="1023"/>
      <c r="E41" s="1022"/>
      <c r="F41" s="1024"/>
      <c r="G41" s="1024"/>
      <c r="H41" s="1024"/>
      <c r="I41" s="1024"/>
      <c r="J41" s="1024"/>
      <c r="K41" s="1639"/>
      <c r="L41" s="2201"/>
      <c r="M41" s="1473"/>
    </row>
    <row r="42" spans="1:13" s="210" customFormat="1" ht="24" customHeight="1">
      <c r="A42" s="597" t="s">
        <v>95</v>
      </c>
      <c r="B42" s="598" t="s">
        <v>308</v>
      </c>
      <c r="C42" s="593"/>
      <c r="D42" s="599"/>
      <c r="E42" s="600"/>
      <c r="F42" s="594"/>
      <c r="G42" s="595"/>
      <c r="H42" s="595"/>
      <c r="I42" s="443"/>
      <c r="J42" s="443"/>
      <c r="K42" s="609"/>
      <c r="L42" s="673"/>
      <c r="M42" s="426"/>
    </row>
    <row r="43" spans="1:13" s="210" customFormat="1" ht="24" customHeight="1">
      <c r="A43" s="602"/>
      <c r="B43" s="603" t="s">
        <v>107</v>
      </c>
      <c r="C43" s="604" t="s">
        <v>1283</v>
      </c>
      <c r="D43" s="605">
        <v>62</v>
      </c>
      <c r="E43" s="606" t="s">
        <v>5</v>
      </c>
      <c r="F43" s="607">
        <v>3600</v>
      </c>
      <c r="G43" s="608">
        <v>500</v>
      </c>
      <c r="H43" s="441">
        <f>D43*F43</f>
        <v>223200</v>
      </c>
      <c r="I43" s="441">
        <f>D43*G43</f>
        <v>31000</v>
      </c>
      <c r="J43" s="441">
        <f>H43+I43</f>
        <v>254200</v>
      </c>
      <c r="K43" s="609"/>
      <c r="L43" s="673"/>
      <c r="M43" s="426" t="s">
        <v>1816</v>
      </c>
    </row>
    <row r="44" spans="1:13" s="210" customFormat="1" ht="24" customHeight="1">
      <c r="A44" s="602"/>
      <c r="B44" s="603" t="s">
        <v>107</v>
      </c>
      <c r="C44" s="604" t="s">
        <v>1284</v>
      </c>
      <c r="D44" s="605">
        <v>16</v>
      </c>
      <c r="E44" s="606" t="s">
        <v>5</v>
      </c>
      <c r="F44" s="607">
        <v>1200</v>
      </c>
      <c r="G44" s="608">
        <v>150</v>
      </c>
      <c r="H44" s="441">
        <f>D44*F44</f>
        <v>19200</v>
      </c>
      <c r="I44" s="441">
        <f>D44*G44</f>
        <v>2400</v>
      </c>
      <c r="J44" s="441">
        <f>H44+I44</f>
        <v>21600</v>
      </c>
      <c r="K44" s="609"/>
      <c r="L44" s="673"/>
      <c r="M44" s="426" t="s">
        <v>1816</v>
      </c>
    </row>
    <row r="45" spans="1:13" s="210" customFormat="1" ht="24" customHeight="1">
      <c r="A45" s="602"/>
      <c r="B45" s="603" t="s">
        <v>107</v>
      </c>
      <c r="C45" s="604" t="s">
        <v>558</v>
      </c>
      <c r="D45" s="605">
        <v>1</v>
      </c>
      <c r="E45" s="606" t="s">
        <v>5</v>
      </c>
      <c r="F45" s="607">
        <v>60000</v>
      </c>
      <c r="G45" s="608">
        <v>10000</v>
      </c>
      <c r="H45" s="441">
        <f>D45*F45</f>
        <v>60000</v>
      </c>
      <c r="I45" s="441">
        <f>D45*G45</f>
        <v>10000</v>
      </c>
      <c r="J45" s="441">
        <f>H45+I45</f>
        <v>70000</v>
      </c>
      <c r="K45" s="609"/>
      <c r="L45" s="673"/>
      <c r="M45" s="426" t="s">
        <v>1816</v>
      </c>
    </row>
    <row r="46" spans="1:13" s="210" customFormat="1" ht="24" customHeight="1">
      <c r="A46" s="610" t="s">
        <v>96</v>
      </c>
      <c r="B46" s="611" t="s">
        <v>281</v>
      </c>
      <c r="C46" s="612"/>
      <c r="D46" s="605"/>
      <c r="E46" s="606"/>
      <c r="F46" s="607"/>
      <c r="G46" s="608"/>
      <c r="H46" s="608"/>
      <c r="I46" s="442"/>
      <c r="J46" s="442"/>
      <c r="K46" s="609"/>
      <c r="L46" s="673"/>
      <c r="M46" s="426"/>
    </row>
    <row r="47" spans="1:13" s="210" customFormat="1" ht="24" customHeight="1">
      <c r="A47" s="602"/>
      <c r="B47" s="603" t="s">
        <v>107</v>
      </c>
      <c r="C47" s="604" t="s">
        <v>1285</v>
      </c>
      <c r="D47" s="440">
        <v>116</v>
      </c>
      <c r="E47" s="613" t="s">
        <v>5</v>
      </c>
      <c r="F47" s="614">
        <v>5800</v>
      </c>
      <c r="G47" s="608">
        <v>500</v>
      </c>
      <c r="H47" s="608">
        <f t="shared" ref="H47:H55" si="3">D47*F47</f>
        <v>672800</v>
      </c>
      <c r="I47" s="442">
        <f t="shared" ref="I47:I55" si="4">D47*G47</f>
        <v>58000</v>
      </c>
      <c r="J47" s="442">
        <f t="shared" ref="J47:J55" si="5">H47+I47</f>
        <v>730800</v>
      </c>
      <c r="K47" s="609"/>
      <c r="L47" s="673"/>
      <c r="M47" s="426" t="s">
        <v>1816</v>
      </c>
    </row>
    <row r="48" spans="1:13" s="210" customFormat="1" ht="24" customHeight="1">
      <c r="A48" s="602"/>
      <c r="B48" s="603" t="s">
        <v>107</v>
      </c>
      <c r="C48" s="604" t="s">
        <v>1286</v>
      </c>
      <c r="D48" s="440">
        <v>13</v>
      </c>
      <c r="E48" s="613" t="s">
        <v>5</v>
      </c>
      <c r="F48" s="614">
        <v>8400</v>
      </c>
      <c r="G48" s="608">
        <v>1000</v>
      </c>
      <c r="H48" s="608">
        <f t="shared" si="3"/>
        <v>109200</v>
      </c>
      <c r="I48" s="442">
        <f t="shared" si="4"/>
        <v>13000</v>
      </c>
      <c r="J48" s="442">
        <f t="shared" si="5"/>
        <v>122200</v>
      </c>
      <c r="K48" s="609"/>
      <c r="L48" s="673"/>
      <c r="M48" s="426" t="s">
        <v>1816</v>
      </c>
    </row>
    <row r="49" spans="1:13" s="210" customFormat="1" ht="24" customHeight="1">
      <c r="A49" s="591"/>
      <c r="B49" s="592" t="s">
        <v>107</v>
      </c>
      <c r="C49" s="593" t="s">
        <v>1287</v>
      </c>
      <c r="D49" s="439">
        <v>10</v>
      </c>
      <c r="E49" s="615" t="s">
        <v>5</v>
      </c>
      <c r="F49" s="616">
        <v>10000</v>
      </c>
      <c r="G49" s="595">
        <v>5000</v>
      </c>
      <c r="H49" s="595">
        <f t="shared" si="3"/>
        <v>100000</v>
      </c>
      <c r="I49" s="443">
        <f t="shared" si="4"/>
        <v>50000</v>
      </c>
      <c r="J49" s="443">
        <f t="shared" si="5"/>
        <v>150000</v>
      </c>
      <c r="K49" s="601"/>
      <c r="L49" s="673"/>
      <c r="M49" s="426" t="s">
        <v>1816</v>
      </c>
    </row>
    <row r="50" spans="1:13" s="210" customFormat="1" ht="24" customHeight="1">
      <c r="A50" s="602"/>
      <c r="B50" s="603" t="s">
        <v>107</v>
      </c>
      <c r="C50" s="604" t="s">
        <v>1288</v>
      </c>
      <c r="D50" s="440">
        <v>120</v>
      </c>
      <c r="E50" s="613" t="s">
        <v>5</v>
      </c>
      <c r="F50" s="614">
        <v>750</v>
      </c>
      <c r="G50" s="608">
        <v>250</v>
      </c>
      <c r="H50" s="608">
        <f t="shared" si="3"/>
        <v>90000</v>
      </c>
      <c r="I50" s="442">
        <f t="shared" si="4"/>
        <v>30000</v>
      </c>
      <c r="J50" s="442">
        <f t="shared" si="5"/>
        <v>120000</v>
      </c>
      <c r="K50" s="609"/>
      <c r="L50" s="673"/>
      <c r="M50" s="426" t="s">
        <v>1816</v>
      </c>
    </row>
    <row r="51" spans="1:13" s="210" customFormat="1" ht="24" customHeight="1">
      <c r="A51" s="602"/>
      <c r="B51" s="603" t="s">
        <v>107</v>
      </c>
      <c r="C51" s="604" t="s">
        <v>1289</v>
      </c>
      <c r="D51" s="440">
        <v>4</v>
      </c>
      <c r="E51" s="613" t="s">
        <v>5</v>
      </c>
      <c r="F51" s="614">
        <v>5000</v>
      </c>
      <c r="G51" s="608">
        <v>2500</v>
      </c>
      <c r="H51" s="608">
        <f t="shared" si="3"/>
        <v>20000</v>
      </c>
      <c r="I51" s="442">
        <f t="shared" si="4"/>
        <v>10000</v>
      </c>
      <c r="J51" s="442">
        <f t="shared" si="5"/>
        <v>30000</v>
      </c>
      <c r="K51" s="609"/>
      <c r="L51" s="673"/>
      <c r="M51" s="426" t="s">
        <v>1816</v>
      </c>
    </row>
    <row r="52" spans="1:13" s="210" customFormat="1" ht="24" customHeight="1">
      <c r="A52" s="602"/>
      <c r="B52" s="603" t="s">
        <v>107</v>
      </c>
      <c r="C52" s="617" t="s">
        <v>1290</v>
      </c>
      <c r="D52" s="440">
        <v>4</v>
      </c>
      <c r="E52" s="613" t="s">
        <v>5</v>
      </c>
      <c r="F52" s="614">
        <v>20000</v>
      </c>
      <c r="G52" s="608">
        <v>5000</v>
      </c>
      <c r="H52" s="608">
        <f t="shared" si="3"/>
        <v>80000</v>
      </c>
      <c r="I52" s="442">
        <f t="shared" si="4"/>
        <v>20000</v>
      </c>
      <c r="J52" s="442">
        <f t="shared" si="5"/>
        <v>100000</v>
      </c>
      <c r="K52" s="609"/>
      <c r="L52" s="673"/>
      <c r="M52" s="426" t="s">
        <v>1816</v>
      </c>
    </row>
    <row r="53" spans="1:13" s="210" customFormat="1" ht="24" customHeight="1">
      <c r="A53" s="602"/>
      <c r="B53" s="603" t="s">
        <v>107</v>
      </c>
      <c r="C53" s="604" t="s">
        <v>1291</v>
      </c>
      <c r="D53" s="440">
        <v>300</v>
      </c>
      <c r="E53" s="613" t="s">
        <v>87</v>
      </c>
      <c r="F53" s="614">
        <v>250</v>
      </c>
      <c r="G53" s="608">
        <v>100</v>
      </c>
      <c r="H53" s="608">
        <f t="shared" si="3"/>
        <v>75000</v>
      </c>
      <c r="I53" s="442">
        <f t="shared" si="4"/>
        <v>30000</v>
      </c>
      <c r="J53" s="442">
        <f t="shared" si="5"/>
        <v>105000</v>
      </c>
      <c r="K53" s="609"/>
      <c r="L53" s="673"/>
      <c r="M53" s="426" t="s">
        <v>1816</v>
      </c>
    </row>
    <row r="54" spans="1:13" s="210" customFormat="1" ht="24" customHeight="1">
      <c r="A54" s="602"/>
      <c r="B54" s="603" t="s">
        <v>107</v>
      </c>
      <c r="C54" s="617" t="s">
        <v>1292</v>
      </c>
      <c r="D54" s="440">
        <v>120</v>
      </c>
      <c r="E54" s="613" t="s">
        <v>5</v>
      </c>
      <c r="F54" s="607">
        <v>300</v>
      </c>
      <c r="G54" s="608">
        <v>150</v>
      </c>
      <c r="H54" s="608">
        <f t="shared" si="3"/>
        <v>36000</v>
      </c>
      <c r="I54" s="442">
        <f t="shared" si="4"/>
        <v>18000</v>
      </c>
      <c r="J54" s="442">
        <f t="shared" si="5"/>
        <v>54000</v>
      </c>
      <c r="K54" s="609"/>
      <c r="L54" s="673"/>
      <c r="M54" s="426" t="s">
        <v>1816</v>
      </c>
    </row>
    <row r="55" spans="1:13" s="213" customFormat="1" ht="48">
      <c r="A55" s="618"/>
      <c r="B55" s="619" t="s">
        <v>107</v>
      </c>
      <c r="C55" s="620" t="s">
        <v>1293</v>
      </c>
      <c r="D55" s="621">
        <v>4</v>
      </c>
      <c r="E55" s="622" t="s">
        <v>5</v>
      </c>
      <c r="F55" s="623">
        <v>1000</v>
      </c>
      <c r="G55" s="624">
        <v>500</v>
      </c>
      <c r="H55" s="624">
        <f t="shared" si="3"/>
        <v>4000</v>
      </c>
      <c r="I55" s="624">
        <f t="shared" si="4"/>
        <v>2000</v>
      </c>
      <c r="J55" s="624">
        <f t="shared" si="5"/>
        <v>6000</v>
      </c>
      <c r="K55" s="625"/>
      <c r="L55" s="677"/>
      <c r="M55" s="426" t="s">
        <v>1816</v>
      </c>
    </row>
    <row r="56" spans="1:13" s="213" customFormat="1" ht="24" customHeight="1">
      <c r="A56" s="626"/>
      <c r="B56" s="553"/>
      <c r="C56" s="627"/>
      <c r="D56" s="486"/>
      <c r="E56" s="555"/>
      <c r="F56" s="572"/>
      <c r="G56" s="556"/>
      <c r="H56" s="556"/>
      <c r="I56" s="556"/>
      <c r="J56" s="556"/>
      <c r="K56" s="557"/>
      <c r="L56" s="678"/>
      <c r="M56" s="484"/>
    </row>
    <row r="57" spans="1:13" s="210" customFormat="1" ht="24" customHeight="1" thickBot="1">
      <c r="A57" s="465"/>
      <c r="B57" s="628"/>
      <c r="C57" s="629" t="str">
        <f>"รวมราคา "&amp;B13</f>
        <v>รวมราคา งานเครื่องปรับอากาศ แบบรวมศูนย์</v>
      </c>
      <c r="D57" s="451"/>
      <c r="E57" s="630"/>
      <c r="F57" s="631"/>
      <c r="G57" s="632"/>
      <c r="H57" s="632">
        <f>+SUM(H14:H55)</f>
        <v>1489400</v>
      </c>
      <c r="I57" s="632">
        <f>+SUM(I14:I55)</f>
        <v>894100</v>
      </c>
      <c r="J57" s="632">
        <f>+SUM(J14:J55)</f>
        <v>2383500</v>
      </c>
      <c r="K57" s="515"/>
      <c r="L57" s="679"/>
      <c r="M57" s="177"/>
    </row>
    <row r="58" spans="1:13" s="180" customFormat="1" ht="24" customHeight="1" thickTop="1">
      <c r="A58" s="633">
        <v>5.2</v>
      </c>
      <c r="B58" s="469" t="s">
        <v>315</v>
      </c>
      <c r="C58" s="470"/>
      <c r="D58" s="634"/>
      <c r="E58" s="635"/>
      <c r="F58" s="636"/>
      <c r="G58" s="637"/>
      <c r="H58" s="638"/>
      <c r="I58" s="637"/>
      <c r="J58" s="637"/>
      <c r="K58" s="639"/>
      <c r="L58" s="479"/>
    </row>
    <row r="59" spans="1:13" s="1473" customFormat="1" ht="24" customHeight="1">
      <c r="A59" s="258" t="s">
        <v>260</v>
      </c>
      <c r="B59" s="1545" t="s">
        <v>283</v>
      </c>
      <c r="C59" s="1608"/>
      <c r="D59" s="161"/>
      <c r="E59" s="563"/>
      <c r="F59" s="496"/>
      <c r="G59" s="522"/>
      <c r="H59" s="522"/>
      <c r="I59" s="497"/>
      <c r="J59" s="497"/>
      <c r="K59" s="498"/>
      <c r="L59" s="1472"/>
    </row>
    <row r="60" spans="1:13" s="1473" customFormat="1" ht="24" customHeight="1">
      <c r="A60" s="214"/>
      <c r="B60" s="500" t="s">
        <v>107</v>
      </c>
      <c r="C60" s="506" t="s">
        <v>1835</v>
      </c>
      <c r="D60" s="160">
        <v>2</v>
      </c>
      <c r="E60" s="501" t="s">
        <v>5</v>
      </c>
      <c r="F60" s="505"/>
      <c r="G60" s="526">
        <v>1500</v>
      </c>
      <c r="H60" s="526">
        <f>D60*F60</f>
        <v>0</v>
      </c>
      <c r="I60" s="165">
        <f>D60*G60</f>
        <v>3000</v>
      </c>
      <c r="J60" s="165">
        <f>H60+I60</f>
        <v>3000</v>
      </c>
      <c r="K60" s="1599" t="s">
        <v>1993</v>
      </c>
      <c r="L60" s="1472"/>
      <c r="M60" s="1473" t="s">
        <v>1816</v>
      </c>
    </row>
    <row r="61" spans="1:13" s="162" customFormat="1" ht="24" customHeight="1">
      <c r="A61" s="467" t="s">
        <v>261</v>
      </c>
      <c r="B61" s="641" t="s">
        <v>284</v>
      </c>
      <c r="C61" s="604"/>
      <c r="D61" s="440"/>
      <c r="E61" s="640"/>
      <c r="F61" s="614"/>
      <c r="G61" s="608"/>
      <c r="H61" s="608"/>
      <c r="I61" s="442"/>
      <c r="J61" s="442"/>
      <c r="K61" s="539"/>
      <c r="L61" s="479"/>
    </row>
    <row r="62" spans="1:13" s="162" customFormat="1" ht="24" customHeight="1">
      <c r="A62" s="602"/>
      <c r="B62" s="603" t="s">
        <v>107</v>
      </c>
      <c r="C62" s="604" t="s">
        <v>1294</v>
      </c>
      <c r="D62" s="440">
        <v>2</v>
      </c>
      <c r="E62" s="640" t="s">
        <v>5</v>
      </c>
      <c r="F62" s="607">
        <v>3600</v>
      </c>
      <c r="G62" s="608">
        <v>500</v>
      </c>
      <c r="H62" s="608">
        <f>D62*F62</f>
        <v>7200</v>
      </c>
      <c r="I62" s="442">
        <f>D62*G62</f>
        <v>1000</v>
      </c>
      <c r="J62" s="442">
        <f>H62+I62</f>
        <v>8200</v>
      </c>
      <c r="K62" s="539"/>
      <c r="L62" s="479"/>
      <c r="M62" s="162" t="s">
        <v>1816</v>
      </c>
    </row>
    <row r="63" spans="1:13" s="162" customFormat="1" ht="24" customHeight="1">
      <c r="A63" s="610" t="s">
        <v>1295</v>
      </c>
      <c r="B63" s="611" t="s">
        <v>281</v>
      </c>
      <c r="C63" s="612"/>
      <c r="D63" s="445"/>
      <c r="E63" s="642"/>
      <c r="F63" s="643"/>
      <c r="G63" s="644"/>
      <c r="H63" s="644"/>
      <c r="I63" s="450"/>
      <c r="J63" s="450"/>
      <c r="K63" s="645"/>
      <c r="L63" s="479"/>
    </row>
    <row r="64" spans="1:13" s="162" customFormat="1" ht="24" customHeight="1">
      <c r="A64" s="602"/>
      <c r="B64" s="603" t="s">
        <v>107</v>
      </c>
      <c r="C64" s="604" t="s">
        <v>1296</v>
      </c>
      <c r="D64" s="440">
        <v>2</v>
      </c>
      <c r="E64" s="640" t="s">
        <v>5</v>
      </c>
      <c r="F64" s="607">
        <v>750</v>
      </c>
      <c r="G64" s="608">
        <v>250</v>
      </c>
      <c r="H64" s="608">
        <f>D64*F64</f>
        <v>1500</v>
      </c>
      <c r="I64" s="442">
        <f>D64*G64</f>
        <v>500</v>
      </c>
      <c r="J64" s="442">
        <f>H64+I64</f>
        <v>2000</v>
      </c>
      <c r="K64" s="539"/>
      <c r="L64" s="479"/>
      <c r="M64" s="162" t="s">
        <v>1816</v>
      </c>
    </row>
    <row r="65" spans="1:13" s="1640" customFormat="1" ht="24" customHeight="1">
      <c r="A65" s="139"/>
      <c r="B65" s="139"/>
      <c r="C65" s="152"/>
      <c r="D65" s="152"/>
      <c r="E65" s="205"/>
      <c r="F65" s="205"/>
      <c r="G65" s="205"/>
      <c r="H65" s="205"/>
      <c r="I65" s="205"/>
      <c r="J65" s="205"/>
      <c r="K65" s="205"/>
      <c r="L65" s="479"/>
    </row>
    <row r="66" spans="1:13" s="1640" customFormat="1" ht="24" customHeight="1">
      <c r="A66" s="139"/>
      <c r="B66" s="869"/>
      <c r="C66" s="1013" t="s">
        <v>133</v>
      </c>
      <c r="D66" s="418"/>
      <c r="E66" s="1014"/>
      <c r="F66" s="1014"/>
      <c r="G66" s="868"/>
      <c r="H66" s="868"/>
      <c r="I66" s="866"/>
      <c r="J66" s="866"/>
      <c r="K66" s="492"/>
      <c r="L66" s="479"/>
    </row>
    <row r="67" spans="1:13" s="1640" customFormat="1" ht="24" customHeight="1">
      <c r="A67" s="139"/>
      <c r="B67" s="2407" t="s">
        <v>1769</v>
      </c>
      <c r="C67" s="2407"/>
      <c r="D67" s="1017"/>
      <c r="E67" s="1017"/>
      <c r="F67" s="1017"/>
      <c r="G67" s="1017" t="s">
        <v>134</v>
      </c>
      <c r="H67" s="1017"/>
      <c r="I67" s="1017"/>
      <c r="J67" s="1017"/>
      <c r="K67" s="205"/>
      <c r="L67" s="479"/>
    </row>
    <row r="68" spans="1:13" s="1640" customFormat="1" ht="24" customHeight="1">
      <c r="A68" s="139"/>
      <c r="B68" s="2408" t="s">
        <v>1970</v>
      </c>
      <c r="C68" s="2408"/>
      <c r="D68" s="419"/>
      <c r="E68" s="419"/>
      <c r="F68" s="419"/>
      <c r="G68" s="1019" t="s">
        <v>1971</v>
      </c>
      <c r="H68" s="419"/>
      <c r="I68" s="419"/>
      <c r="J68" s="419"/>
      <c r="K68" s="174"/>
      <c r="L68" s="479"/>
    </row>
    <row r="69" spans="1:13" s="1640" customFormat="1" ht="24" customHeight="1">
      <c r="A69" s="139"/>
      <c r="B69" s="1017" t="s">
        <v>2031</v>
      </c>
      <c r="C69" s="866"/>
      <c r="D69" s="419"/>
      <c r="E69" s="419"/>
      <c r="F69" s="419"/>
      <c r="G69" s="1017" t="s">
        <v>2031</v>
      </c>
      <c r="H69" s="419"/>
      <c r="I69" s="419"/>
      <c r="J69" s="419"/>
      <c r="K69" s="1639"/>
      <c r="L69" s="479"/>
    </row>
    <row r="70" spans="1:13" s="1640" customFormat="1" ht="24" customHeight="1">
      <c r="A70" s="139"/>
      <c r="B70" s="419" t="s">
        <v>1984</v>
      </c>
      <c r="C70" s="866"/>
      <c r="D70" s="1017"/>
      <c r="E70" s="1017"/>
      <c r="F70" s="1017"/>
      <c r="G70" s="419" t="s">
        <v>1985</v>
      </c>
      <c r="H70" s="1017"/>
      <c r="I70" s="1017"/>
      <c r="J70" s="1017"/>
      <c r="K70" s="1638"/>
      <c r="L70" s="479"/>
    </row>
    <row r="71" spans="1:13" s="1640" customFormat="1" ht="24" customHeight="1">
      <c r="A71" s="139"/>
      <c r="B71" s="1017" t="s">
        <v>670</v>
      </c>
      <c r="C71" s="407"/>
      <c r="D71" s="1021"/>
      <c r="E71" s="869"/>
      <c r="F71" s="401"/>
      <c r="G71" s="401"/>
      <c r="H71" s="401"/>
      <c r="I71" s="401"/>
      <c r="J71" s="401"/>
      <c r="K71" s="174"/>
      <c r="L71" s="479"/>
    </row>
    <row r="72" spans="1:13" s="1640" customFormat="1" ht="24" customHeight="1">
      <c r="A72" s="139"/>
      <c r="B72" s="419" t="s">
        <v>1972</v>
      </c>
      <c r="C72" s="407"/>
      <c r="D72" s="1023"/>
      <c r="E72" s="1022"/>
      <c r="F72" s="1024"/>
      <c r="G72" s="1024"/>
      <c r="H72" s="1024"/>
      <c r="I72" s="1024"/>
      <c r="J72" s="1024"/>
      <c r="K72" s="1639"/>
      <c r="L72" s="479"/>
    </row>
    <row r="73" spans="1:13" s="162" customFormat="1" ht="24" customHeight="1">
      <c r="A73" s="602"/>
      <c r="B73" s="603" t="s">
        <v>107</v>
      </c>
      <c r="C73" s="604" t="s">
        <v>1297</v>
      </c>
      <c r="D73" s="440">
        <v>2</v>
      </c>
      <c r="E73" s="640" t="s">
        <v>5</v>
      </c>
      <c r="F73" s="607">
        <v>1000</v>
      </c>
      <c r="G73" s="608">
        <v>500</v>
      </c>
      <c r="H73" s="608">
        <f>D73*F73</f>
        <v>2000</v>
      </c>
      <c r="I73" s="442">
        <f>D73*G73</f>
        <v>1000</v>
      </c>
      <c r="J73" s="442">
        <f>H73+I73</f>
        <v>3000</v>
      </c>
      <c r="K73" s="539"/>
      <c r="L73" s="479"/>
      <c r="M73" s="162" t="s">
        <v>1816</v>
      </c>
    </row>
    <row r="74" spans="1:13" s="162" customFormat="1" ht="24" customHeight="1">
      <c r="A74" s="214"/>
      <c r="B74" s="500"/>
      <c r="C74" s="506"/>
      <c r="D74" s="160"/>
      <c r="E74" s="501"/>
      <c r="F74" s="559"/>
      <c r="G74" s="526"/>
      <c r="H74" s="526"/>
      <c r="I74" s="165"/>
      <c r="J74" s="165"/>
      <c r="K74" s="539"/>
      <c r="L74" s="479"/>
    </row>
    <row r="75" spans="1:13" s="210" customFormat="1" ht="24" customHeight="1" thickBot="1">
      <c r="A75" s="472"/>
      <c r="B75" s="511"/>
      <c r="C75" s="512" t="str">
        <f>"รวมราคา "&amp;B58</f>
        <v>รวมราคา งานเครื่องปรับอากาศแบบแยกส่วน</v>
      </c>
      <c r="D75" s="349"/>
      <c r="E75" s="513"/>
      <c r="F75" s="514"/>
      <c r="G75" s="515"/>
      <c r="H75" s="515">
        <f>SUBTOTAL(9,H59:H74)</f>
        <v>10700</v>
      </c>
      <c r="I75" s="515">
        <f>SUBTOTAL(9,I59:I74)</f>
        <v>5500</v>
      </c>
      <c r="J75" s="515">
        <f>SUBTOTAL(9,J59:J74)</f>
        <v>16200</v>
      </c>
      <c r="K75" s="515"/>
      <c r="L75" s="679"/>
      <c r="M75" s="162"/>
    </row>
    <row r="76" spans="1:13" s="162" customFormat="1" ht="24" customHeight="1" thickTop="1">
      <c r="A76" s="493">
        <v>5.3</v>
      </c>
      <c r="B76" s="2523" t="s">
        <v>311</v>
      </c>
      <c r="C76" s="2524"/>
      <c r="D76" s="199"/>
      <c r="E76" s="392"/>
      <c r="F76" s="393"/>
      <c r="G76" s="394"/>
      <c r="H76" s="395"/>
      <c r="I76" s="394"/>
      <c r="J76" s="394"/>
      <c r="K76" s="478"/>
      <c r="L76" s="479"/>
    </row>
    <row r="77" spans="1:13" s="210" customFormat="1" ht="24" customHeight="1">
      <c r="A77" s="258" t="s">
        <v>1298</v>
      </c>
      <c r="B77" s="574" t="s">
        <v>1299</v>
      </c>
      <c r="C77" s="596"/>
      <c r="D77" s="161"/>
      <c r="E77" s="495"/>
      <c r="F77" s="496"/>
      <c r="G77" s="497"/>
      <c r="H77" s="522"/>
      <c r="I77" s="497"/>
      <c r="J77" s="497"/>
      <c r="K77" s="498"/>
      <c r="L77" s="479"/>
      <c r="M77" s="162"/>
    </row>
    <row r="78" spans="1:13" s="210" customFormat="1" ht="24" customHeight="1">
      <c r="A78" s="214"/>
      <c r="B78" s="566" t="s">
        <v>107</v>
      </c>
      <c r="C78" s="535" t="s">
        <v>1300</v>
      </c>
      <c r="D78" s="164">
        <v>10</v>
      </c>
      <c r="E78" s="501" t="s">
        <v>5</v>
      </c>
      <c r="F78" s="567">
        <v>2560</v>
      </c>
      <c r="G78" s="526">
        <v>450</v>
      </c>
      <c r="H78" s="526">
        <f t="shared" ref="H78:H91" si="6">D78*F78</f>
        <v>25600</v>
      </c>
      <c r="I78" s="165">
        <f t="shared" ref="I78:I91" si="7">D78*G78</f>
        <v>4500</v>
      </c>
      <c r="J78" s="165">
        <f t="shared" ref="J78:J91" si="8">H78+I78</f>
        <v>30100</v>
      </c>
      <c r="K78" s="498"/>
      <c r="L78" s="479"/>
      <c r="M78" s="162" t="s">
        <v>1816</v>
      </c>
    </row>
    <row r="79" spans="1:13" s="210" customFormat="1" ht="24" customHeight="1">
      <c r="A79" s="215"/>
      <c r="B79" s="566" t="s">
        <v>107</v>
      </c>
      <c r="C79" s="535" t="s">
        <v>285</v>
      </c>
      <c r="D79" s="164">
        <v>3</v>
      </c>
      <c r="E79" s="501" t="s">
        <v>5</v>
      </c>
      <c r="F79" s="567">
        <v>2560</v>
      </c>
      <c r="G79" s="526">
        <v>450</v>
      </c>
      <c r="H79" s="526">
        <f t="shared" si="6"/>
        <v>7680</v>
      </c>
      <c r="I79" s="165">
        <f t="shared" si="7"/>
        <v>1350</v>
      </c>
      <c r="J79" s="165">
        <f t="shared" si="8"/>
        <v>9030</v>
      </c>
      <c r="K79" s="568"/>
      <c r="L79" s="680"/>
      <c r="M79" s="162" t="s">
        <v>1816</v>
      </c>
    </row>
    <row r="80" spans="1:13" s="210" customFormat="1" ht="24" customHeight="1">
      <c r="A80" s="215"/>
      <c r="B80" s="566" t="s">
        <v>107</v>
      </c>
      <c r="C80" s="535" t="s">
        <v>286</v>
      </c>
      <c r="D80" s="164">
        <v>13</v>
      </c>
      <c r="E80" s="501" t="s">
        <v>5</v>
      </c>
      <c r="F80" s="567">
        <v>2560</v>
      </c>
      <c r="G80" s="526">
        <v>450</v>
      </c>
      <c r="H80" s="526">
        <f t="shared" si="6"/>
        <v>33280</v>
      </c>
      <c r="I80" s="165">
        <f t="shared" si="7"/>
        <v>5850</v>
      </c>
      <c r="J80" s="165">
        <f t="shared" si="8"/>
        <v>39130</v>
      </c>
      <c r="K80" s="568"/>
      <c r="L80" s="680"/>
      <c r="M80" s="162" t="s">
        <v>1816</v>
      </c>
    </row>
    <row r="81" spans="1:13" s="210" customFormat="1" ht="24" customHeight="1">
      <c r="A81" s="215"/>
      <c r="B81" s="566" t="s">
        <v>107</v>
      </c>
      <c r="C81" s="535" t="s">
        <v>1301</v>
      </c>
      <c r="D81" s="164">
        <v>33</v>
      </c>
      <c r="E81" s="501" t="s">
        <v>5</v>
      </c>
      <c r="F81" s="567">
        <v>3980</v>
      </c>
      <c r="G81" s="526">
        <v>750</v>
      </c>
      <c r="H81" s="526">
        <f t="shared" si="6"/>
        <v>131340</v>
      </c>
      <c r="I81" s="165">
        <f t="shared" si="7"/>
        <v>24750</v>
      </c>
      <c r="J81" s="165">
        <f t="shared" si="8"/>
        <v>156090</v>
      </c>
      <c r="K81" s="568"/>
      <c r="L81" s="680"/>
      <c r="M81" s="162" t="s">
        <v>1816</v>
      </c>
    </row>
    <row r="82" spans="1:13" s="210" customFormat="1" ht="24" customHeight="1">
      <c r="A82" s="215"/>
      <c r="B82" s="566" t="s">
        <v>107</v>
      </c>
      <c r="C82" s="535" t="s">
        <v>1302</v>
      </c>
      <c r="D82" s="164">
        <v>9</v>
      </c>
      <c r="E82" s="501" t="s">
        <v>5</v>
      </c>
      <c r="F82" s="567">
        <v>4500</v>
      </c>
      <c r="G82" s="526">
        <v>750</v>
      </c>
      <c r="H82" s="526">
        <f t="shared" si="6"/>
        <v>40500</v>
      </c>
      <c r="I82" s="165">
        <f t="shared" si="7"/>
        <v>6750</v>
      </c>
      <c r="J82" s="165">
        <f t="shared" si="8"/>
        <v>47250</v>
      </c>
      <c r="K82" s="568"/>
      <c r="L82" s="680"/>
      <c r="M82" s="162" t="s">
        <v>1816</v>
      </c>
    </row>
    <row r="83" spans="1:13" s="210" customFormat="1" ht="24" customHeight="1">
      <c r="A83" s="215"/>
      <c r="B83" s="566" t="s">
        <v>107</v>
      </c>
      <c r="C83" s="535" t="s">
        <v>1303</v>
      </c>
      <c r="D83" s="164">
        <v>1</v>
      </c>
      <c r="E83" s="501" t="s">
        <v>5</v>
      </c>
      <c r="F83" s="567">
        <v>3400</v>
      </c>
      <c r="G83" s="526">
        <v>500</v>
      </c>
      <c r="H83" s="526">
        <f t="shared" si="6"/>
        <v>3400</v>
      </c>
      <c r="I83" s="165">
        <f t="shared" si="7"/>
        <v>500</v>
      </c>
      <c r="J83" s="165">
        <f t="shared" si="8"/>
        <v>3900</v>
      </c>
      <c r="K83" s="568"/>
      <c r="L83" s="680"/>
      <c r="M83" s="162" t="s">
        <v>1816</v>
      </c>
    </row>
    <row r="84" spans="1:13" s="210" customFormat="1" ht="24" customHeight="1">
      <c r="A84" s="215"/>
      <c r="B84" s="566" t="s">
        <v>107</v>
      </c>
      <c r="C84" s="535" t="s">
        <v>1304</v>
      </c>
      <c r="D84" s="164">
        <v>8</v>
      </c>
      <c r="E84" s="501" t="s">
        <v>5</v>
      </c>
      <c r="F84" s="567">
        <v>8500</v>
      </c>
      <c r="G84" s="526">
        <v>1500</v>
      </c>
      <c r="H84" s="526">
        <f t="shared" si="6"/>
        <v>68000</v>
      </c>
      <c r="I84" s="165">
        <f t="shared" si="7"/>
        <v>12000</v>
      </c>
      <c r="J84" s="165">
        <f t="shared" si="8"/>
        <v>80000</v>
      </c>
      <c r="K84" s="568"/>
      <c r="L84" s="680"/>
      <c r="M84" s="162" t="s">
        <v>1816</v>
      </c>
    </row>
    <row r="85" spans="1:13" s="210" customFormat="1" ht="24" customHeight="1">
      <c r="A85" s="215"/>
      <c r="B85" s="566" t="s">
        <v>107</v>
      </c>
      <c r="C85" s="535" t="s">
        <v>1305</v>
      </c>
      <c r="D85" s="164">
        <v>8</v>
      </c>
      <c r="E85" s="501" t="s">
        <v>5</v>
      </c>
      <c r="F85" s="567">
        <v>10800</v>
      </c>
      <c r="G85" s="526">
        <v>2000</v>
      </c>
      <c r="H85" s="526">
        <f t="shared" si="6"/>
        <v>86400</v>
      </c>
      <c r="I85" s="165">
        <f t="shared" si="7"/>
        <v>16000</v>
      </c>
      <c r="J85" s="165">
        <f t="shared" si="8"/>
        <v>102400</v>
      </c>
      <c r="K85" s="568"/>
      <c r="L85" s="680"/>
      <c r="M85" s="162" t="s">
        <v>1816</v>
      </c>
    </row>
    <row r="86" spans="1:13" s="210" customFormat="1" ht="24" customHeight="1">
      <c r="A86" s="215"/>
      <c r="B86" s="566" t="s">
        <v>107</v>
      </c>
      <c r="C86" s="535" t="s">
        <v>1306</v>
      </c>
      <c r="D86" s="164">
        <v>1</v>
      </c>
      <c r="E86" s="501" t="s">
        <v>5</v>
      </c>
      <c r="F86" s="567">
        <v>8400</v>
      </c>
      <c r="G86" s="526">
        <v>750</v>
      </c>
      <c r="H86" s="526">
        <f t="shared" si="6"/>
        <v>8400</v>
      </c>
      <c r="I86" s="165">
        <f t="shared" si="7"/>
        <v>750</v>
      </c>
      <c r="J86" s="165">
        <f t="shared" si="8"/>
        <v>9150</v>
      </c>
      <c r="K86" s="568"/>
      <c r="L86" s="680"/>
      <c r="M86" s="162" t="s">
        <v>1816</v>
      </c>
    </row>
    <row r="87" spans="1:13" s="210" customFormat="1" ht="24" customHeight="1">
      <c r="A87" s="215"/>
      <c r="B87" s="566" t="s">
        <v>107</v>
      </c>
      <c r="C87" s="535" t="s">
        <v>1307</v>
      </c>
      <c r="D87" s="164">
        <v>3</v>
      </c>
      <c r="E87" s="501" t="s">
        <v>5</v>
      </c>
      <c r="F87" s="567">
        <v>8400</v>
      </c>
      <c r="G87" s="526">
        <v>750</v>
      </c>
      <c r="H87" s="526">
        <f t="shared" si="6"/>
        <v>25200</v>
      </c>
      <c r="I87" s="165">
        <f t="shared" si="7"/>
        <v>2250</v>
      </c>
      <c r="J87" s="165">
        <f t="shared" si="8"/>
        <v>27450</v>
      </c>
      <c r="K87" s="568"/>
      <c r="L87" s="680"/>
      <c r="M87" s="162" t="s">
        <v>1816</v>
      </c>
    </row>
    <row r="88" spans="1:13" s="210" customFormat="1" ht="24" customHeight="1">
      <c r="A88" s="215"/>
      <c r="B88" s="566" t="s">
        <v>107</v>
      </c>
      <c r="C88" s="535" t="s">
        <v>1308</v>
      </c>
      <c r="D88" s="164">
        <v>2</v>
      </c>
      <c r="E88" s="501" t="s">
        <v>5</v>
      </c>
      <c r="F88" s="567">
        <v>8400</v>
      </c>
      <c r="G88" s="526">
        <v>750</v>
      </c>
      <c r="H88" s="526">
        <f t="shared" si="6"/>
        <v>16800</v>
      </c>
      <c r="I88" s="165">
        <f t="shared" si="7"/>
        <v>1500</v>
      </c>
      <c r="J88" s="165">
        <f t="shared" si="8"/>
        <v>18300</v>
      </c>
      <c r="K88" s="568"/>
      <c r="L88" s="680"/>
      <c r="M88" s="162" t="s">
        <v>1816</v>
      </c>
    </row>
    <row r="89" spans="1:13" s="210" customFormat="1" ht="24" customHeight="1">
      <c r="A89" s="258"/>
      <c r="B89" s="532" t="s">
        <v>107</v>
      </c>
      <c r="C89" s="533" t="s">
        <v>1309</v>
      </c>
      <c r="D89" s="256">
        <v>1</v>
      </c>
      <c r="E89" s="563" t="s">
        <v>5</v>
      </c>
      <c r="F89" s="564">
        <v>14600</v>
      </c>
      <c r="G89" s="522">
        <v>1200</v>
      </c>
      <c r="H89" s="522">
        <f t="shared" si="6"/>
        <v>14600</v>
      </c>
      <c r="I89" s="497">
        <f t="shared" si="7"/>
        <v>1200</v>
      </c>
      <c r="J89" s="497">
        <f t="shared" si="8"/>
        <v>15800</v>
      </c>
      <c r="K89" s="565"/>
      <c r="L89" s="680"/>
      <c r="M89" s="162" t="s">
        <v>1816</v>
      </c>
    </row>
    <row r="90" spans="1:13" s="210" customFormat="1" ht="24" customHeight="1">
      <c r="A90" s="215"/>
      <c r="B90" s="566" t="s">
        <v>107</v>
      </c>
      <c r="C90" s="535" t="s">
        <v>1310</v>
      </c>
      <c r="D90" s="164">
        <v>1</v>
      </c>
      <c r="E90" s="501" t="s">
        <v>5</v>
      </c>
      <c r="F90" s="567">
        <v>14600</v>
      </c>
      <c r="G90" s="526">
        <v>1200</v>
      </c>
      <c r="H90" s="526">
        <f t="shared" si="6"/>
        <v>14600</v>
      </c>
      <c r="I90" s="165">
        <f t="shared" si="7"/>
        <v>1200</v>
      </c>
      <c r="J90" s="165">
        <f t="shared" si="8"/>
        <v>15800</v>
      </c>
      <c r="K90" s="568"/>
      <c r="L90" s="680"/>
      <c r="M90" s="162" t="s">
        <v>1816</v>
      </c>
    </row>
    <row r="91" spans="1:13" s="210" customFormat="1" ht="24" customHeight="1">
      <c r="A91" s="215"/>
      <c r="B91" s="566" t="s">
        <v>107</v>
      </c>
      <c r="C91" s="535" t="s">
        <v>1311</v>
      </c>
      <c r="D91" s="164">
        <v>1</v>
      </c>
      <c r="E91" s="501" t="s">
        <v>5</v>
      </c>
      <c r="F91" s="567">
        <v>185000</v>
      </c>
      <c r="G91" s="526">
        <v>15000</v>
      </c>
      <c r="H91" s="526">
        <f t="shared" si="6"/>
        <v>185000</v>
      </c>
      <c r="I91" s="165">
        <f t="shared" si="7"/>
        <v>15000</v>
      </c>
      <c r="J91" s="165">
        <f t="shared" si="8"/>
        <v>200000</v>
      </c>
      <c r="K91" s="568"/>
      <c r="L91" s="680"/>
      <c r="M91" s="484" t="s">
        <v>1836</v>
      </c>
    </row>
    <row r="92" spans="1:13" s="210" customFormat="1" ht="24" customHeight="1">
      <c r="A92" s="215" t="s">
        <v>1312</v>
      </c>
      <c r="B92" s="574" t="s">
        <v>1299</v>
      </c>
      <c r="C92" s="535"/>
      <c r="D92" s="164"/>
      <c r="E92" s="501"/>
      <c r="F92" s="567"/>
      <c r="G92" s="526"/>
      <c r="H92" s="526"/>
      <c r="I92" s="165"/>
      <c r="J92" s="165"/>
      <c r="K92" s="568"/>
      <c r="L92" s="680"/>
      <c r="M92" s="162"/>
    </row>
    <row r="93" spans="1:13" s="210" customFormat="1" ht="24" customHeight="1">
      <c r="A93" s="215"/>
      <c r="B93" s="566" t="s">
        <v>107</v>
      </c>
      <c r="C93" s="535" t="s">
        <v>1313</v>
      </c>
      <c r="D93" s="164">
        <v>1</v>
      </c>
      <c r="E93" s="501" t="s">
        <v>5</v>
      </c>
      <c r="F93" s="567">
        <v>245000</v>
      </c>
      <c r="G93" s="526">
        <v>20000</v>
      </c>
      <c r="H93" s="526">
        <f>D93*F93</f>
        <v>245000</v>
      </c>
      <c r="I93" s="165">
        <f>D93*G93</f>
        <v>20000</v>
      </c>
      <c r="J93" s="165">
        <f>H93+I93</f>
        <v>265000</v>
      </c>
      <c r="K93" s="568"/>
      <c r="L93" s="680"/>
      <c r="M93" s="484" t="s">
        <v>1836</v>
      </c>
    </row>
    <row r="94" spans="1:13" s="210" customFormat="1" ht="24" customHeight="1">
      <c r="A94" s="139"/>
      <c r="B94" s="139"/>
      <c r="C94" s="152"/>
      <c r="D94" s="152"/>
      <c r="E94" s="205"/>
      <c r="F94" s="205"/>
      <c r="G94" s="205"/>
      <c r="H94" s="205"/>
      <c r="I94" s="205"/>
      <c r="J94" s="205"/>
      <c r="K94" s="205"/>
      <c r="L94" s="680"/>
      <c r="M94" s="484"/>
    </row>
    <row r="95" spans="1:13" s="210" customFormat="1" ht="24" customHeight="1">
      <c r="A95" s="139"/>
      <c r="B95" s="869"/>
      <c r="C95" s="1013" t="s">
        <v>133</v>
      </c>
      <c r="D95" s="418"/>
      <c r="E95" s="1014"/>
      <c r="F95" s="1014"/>
      <c r="G95" s="868"/>
      <c r="H95" s="868"/>
      <c r="I95" s="866"/>
      <c r="J95" s="866"/>
      <c r="K95" s="492"/>
      <c r="L95" s="680"/>
      <c r="M95" s="484"/>
    </row>
    <row r="96" spans="1:13" s="210" customFormat="1" ht="24" customHeight="1">
      <c r="A96" s="139"/>
      <c r="B96" s="2407" t="s">
        <v>1769</v>
      </c>
      <c r="C96" s="2407"/>
      <c r="D96" s="1017"/>
      <c r="E96" s="1017"/>
      <c r="F96" s="1017"/>
      <c r="G96" s="1017" t="s">
        <v>134</v>
      </c>
      <c r="H96" s="1017"/>
      <c r="I96" s="1017"/>
      <c r="J96" s="1017"/>
      <c r="K96" s="205"/>
      <c r="L96" s="680"/>
      <c r="M96" s="484"/>
    </row>
    <row r="97" spans="1:13" s="210" customFormat="1" ht="24" customHeight="1">
      <c r="A97" s="139"/>
      <c r="B97" s="2408" t="s">
        <v>1970</v>
      </c>
      <c r="C97" s="2408"/>
      <c r="D97" s="419"/>
      <c r="E97" s="419"/>
      <c r="F97" s="419"/>
      <c r="G97" s="1019" t="s">
        <v>1971</v>
      </c>
      <c r="H97" s="419"/>
      <c r="I97" s="419"/>
      <c r="J97" s="419"/>
      <c r="K97" s="174"/>
      <c r="L97" s="680"/>
      <c r="M97" s="484"/>
    </row>
    <row r="98" spans="1:13" s="210" customFormat="1" ht="24" customHeight="1">
      <c r="A98" s="139"/>
      <c r="B98" s="1017" t="s">
        <v>2031</v>
      </c>
      <c r="C98" s="866"/>
      <c r="D98" s="419"/>
      <c r="E98" s="419"/>
      <c r="F98" s="419"/>
      <c r="G98" s="1017" t="s">
        <v>2031</v>
      </c>
      <c r="H98" s="419"/>
      <c r="I98" s="419"/>
      <c r="J98" s="419"/>
      <c r="K98" s="1639"/>
      <c r="L98" s="680"/>
      <c r="M98" s="484"/>
    </row>
    <row r="99" spans="1:13" s="210" customFormat="1" ht="24" customHeight="1">
      <c r="A99" s="139"/>
      <c r="B99" s="419" t="s">
        <v>1984</v>
      </c>
      <c r="C99" s="866"/>
      <c r="D99" s="1017"/>
      <c r="E99" s="1017"/>
      <c r="F99" s="1017"/>
      <c r="G99" s="419" t="s">
        <v>1985</v>
      </c>
      <c r="H99" s="1017"/>
      <c r="I99" s="1017"/>
      <c r="J99" s="1017"/>
      <c r="K99" s="1638"/>
      <c r="L99" s="680"/>
      <c r="M99" s="484"/>
    </row>
    <row r="100" spans="1:13" s="210" customFormat="1" ht="24" customHeight="1">
      <c r="A100" s="139"/>
      <c r="B100" s="1017" t="s">
        <v>670</v>
      </c>
      <c r="C100" s="407"/>
      <c r="D100" s="1021"/>
      <c r="E100" s="869"/>
      <c r="F100" s="401"/>
      <c r="G100" s="401"/>
      <c r="H100" s="401"/>
      <c r="I100" s="401"/>
      <c r="J100" s="401"/>
      <c r="K100" s="174"/>
      <c r="L100" s="680"/>
      <c r="M100" s="484"/>
    </row>
    <row r="101" spans="1:13" s="210" customFormat="1" ht="24" customHeight="1">
      <c r="A101" s="139"/>
      <c r="B101" s="419" t="s">
        <v>1972</v>
      </c>
      <c r="C101" s="407"/>
      <c r="D101" s="1023"/>
      <c r="E101" s="1022"/>
      <c r="F101" s="1024"/>
      <c r="G101" s="1024"/>
      <c r="H101" s="1024"/>
      <c r="I101" s="1024"/>
      <c r="J101" s="1024"/>
      <c r="K101" s="1639"/>
      <c r="L101" s="680"/>
      <c r="M101" s="484"/>
    </row>
    <row r="102" spans="1:13" s="210" customFormat="1" ht="24" customHeight="1">
      <c r="A102" s="215" t="s">
        <v>1314</v>
      </c>
      <c r="B102" s="541" t="s">
        <v>281</v>
      </c>
      <c r="C102" s="542"/>
      <c r="D102" s="183"/>
      <c r="E102" s="501"/>
      <c r="F102" s="543"/>
      <c r="G102" s="543"/>
      <c r="H102" s="526"/>
      <c r="I102" s="165"/>
      <c r="J102" s="165"/>
      <c r="K102" s="544"/>
      <c r="L102" s="681"/>
      <c r="M102" s="162"/>
    </row>
    <row r="103" spans="1:13" s="210" customFormat="1" ht="24" customHeight="1">
      <c r="A103" s="215"/>
      <c r="B103" s="566" t="s">
        <v>107</v>
      </c>
      <c r="C103" s="535" t="s">
        <v>1315</v>
      </c>
      <c r="D103" s="164">
        <v>68</v>
      </c>
      <c r="E103" s="501" t="s">
        <v>5</v>
      </c>
      <c r="F103" s="567">
        <v>550</v>
      </c>
      <c r="G103" s="526">
        <v>300</v>
      </c>
      <c r="H103" s="526">
        <f>D103*F103</f>
        <v>37400</v>
      </c>
      <c r="I103" s="165">
        <f>D103*G103</f>
        <v>20400</v>
      </c>
      <c r="J103" s="165">
        <f>H103+I103</f>
        <v>57800</v>
      </c>
      <c r="K103" s="568"/>
      <c r="L103" s="680"/>
      <c r="M103" s="484" t="s">
        <v>1836</v>
      </c>
    </row>
    <row r="104" spans="1:13" s="210" customFormat="1" ht="24" customHeight="1">
      <c r="A104" s="215"/>
      <c r="B104" s="566" t="s">
        <v>107</v>
      </c>
      <c r="C104" s="535" t="s">
        <v>1316</v>
      </c>
      <c r="D104" s="164">
        <v>8</v>
      </c>
      <c r="E104" s="501" t="s">
        <v>5</v>
      </c>
      <c r="F104" s="567">
        <v>1000</v>
      </c>
      <c r="G104" s="526">
        <v>500</v>
      </c>
      <c r="H104" s="526">
        <f>D104*F104</f>
        <v>8000</v>
      </c>
      <c r="I104" s="165">
        <f>D104*G104</f>
        <v>4000</v>
      </c>
      <c r="J104" s="165">
        <f>H104+I104</f>
        <v>12000</v>
      </c>
      <c r="K104" s="568"/>
      <c r="L104" s="680"/>
      <c r="M104" s="484" t="s">
        <v>1836</v>
      </c>
    </row>
    <row r="105" spans="1:13" s="210" customFormat="1" ht="24" customHeight="1">
      <c r="A105" s="214"/>
      <c r="B105" s="566" t="s">
        <v>107</v>
      </c>
      <c r="C105" s="535" t="s">
        <v>1317</v>
      </c>
      <c r="D105" s="164">
        <v>1</v>
      </c>
      <c r="E105" s="501" t="s">
        <v>5</v>
      </c>
      <c r="F105" s="567">
        <v>18000</v>
      </c>
      <c r="G105" s="526">
        <v>1500</v>
      </c>
      <c r="H105" s="526">
        <f>D105*F105</f>
        <v>18000</v>
      </c>
      <c r="I105" s="165">
        <f>D105*G105</f>
        <v>1500</v>
      </c>
      <c r="J105" s="165">
        <f>H105+I105</f>
        <v>19500</v>
      </c>
      <c r="K105" s="544"/>
      <c r="L105" s="681"/>
      <c r="M105" s="484" t="s">
        <v>1836</v>
      </c>
    </row>
    <row r="106" spans="1:13" s="213" customFormat="1" ht="24" customHeight="1">
      <c r="A106" s="214"/>
      <c r="B106" s="500" t="s">
        <v>107</v>
      </c>
      <c r="C106" s="506" t="s">
        <v>1318</v>
      </c>
      <c r="D106" s="160">
        <v>2</v>
      </c>
      <c r="E106" s="504" t="s">
        <v>5</v>
      </c>
      <c r="F106" s="505">
        <v>5000</v>
      </c>
      <c r="G106" s="526">
        <v>2500</v>
      </c>
      <c r="H106" s="526">
        <f>D106*F106</f>
        <v>10000</v>
      </c>
      <c r="I106" s="165">
        <f>D106*G106</f>
        <v>5000</v>
      </c>
      <c r="J106" s="165">
        <f>H106+I106</f>
        <v>15000</v>
      </c>
      <c r="K106" s="544"/>
      <c r="L106" s="681"/>
      <c r="M106" s="484" t="s">
        <v>1836</v>
      </c>
    </row>
    <row r="107" spans="1:13" s="213" customFormat="1" ht="24" customHeight="1">
      <c r="A107" s="214"/>
      <c r="B107" s="500" t="s">
        <v>107</v>
      </c>
      <c r="C107" s="524" t="s">
        <v>1319</v>
      </c>
      <c r="D107" s="160">
        <v>2</v>
      </c>
      <c r="E107" s="504" t="s">
        <v>5</v>
      </c>
      <c r="F107" s="505">
        <v>28000</v>
      </c>
      <c r="G107" s="526">
        <v>5000</v>
      </c>
      <c r="H107" s="526">
        <f>D107*F107</f>
        <v>56000</v>
      </c>
      <c r="I107" s="165">
        <f>D107*G107</f>
        <v>10000</v>
      </c>
      <c r="J107" s="165">
        <f>H107+I107</f>
        <v>66000</v>
      </c>
      <c r="K107" s="544"/>
      <c r="L107" s="681"/>
      <c r="M107" s="484" t="s">
        <v>1836</v>
      </c>
    </row>
    <row r="108" spans="1:13" s="213" customFormat="1" ht="24" customHeight="1">
      <c r="A108" s="583"/>
      <c r="B108" s="529"/>
      <c r="C108" s="584"/>
      <c r="D108" s="201"/>
      <c r="E108" s="531"/>
      <c r="F108" s="585"/>
      <c r="G108" s="586"/>
      <c r="H108" s="586"/>
      <c r="I108" s="448"/>
      <c r="J108" s="448"/>
      <c r="K108" s="587"/>
      <c r="L108" s="681"/>
      <c r="M108" s="162"/>
    </row>
    <row r="109" spans="1:13" s="210" customFormat="1" ht="24" customHeight="1" thickBot="1">
      <c r="A109" s="472"/>
      <c r="B109" s="511"/>
      <c r="C109" s="512" t="str">
        <f>"รวมราคา "&amp;B76</f>
        <v>รวมราคา งานพัดลมระบายอากาศ</v>
      </c>
      <c r="D109" s="349"/>
      <c r="E109" s="513"/>
      <c r="F109" s="514"/>
      <c r="G109" s="515"/>
      <c r="H109" s="515">
        <f>SUBTOTAL(9,H77:H108)</f>
        <v>1035200</v>
      </c>
      <c r="I109" s="515">
        <f>SUBTOTAL(9,I77:I108)</f>
        <v>154500</v>
      </c>
      <c r="J109" s="515">
        <f>SUBTOTAL(9,J77:J108)</f>
        <v>1189700</v>
      </c>
      <c r="K109" s="515"/>
      <c r="L109" s="679"/>
      <c r="M109" s="162"/>
    </row>
    <row r="110" spans="1:13" s="213" customFormat="1" ht="24" customHeight="1" thickTop="1">
      <c r="A110" s="493">
        <v>5.4</v>
      </c>
      <c r="B110" s="2523" t="s">
        <v>1320</v>
      </c>
      <c r="C110" s="2524"/>
      <c r="D110" s="474"/>
      <c r="E110" s="392"/>
      <c r="F110" s="475"/>
      <c r="G110" s="476"/>
      <c r="H110" s="477"/>
      <c r="I110" s="476"/>
      <c r="J110" s="476"/>
      <c r="K110" s="478"/>
      <c r="L110" s="479"/>
      <c r="M110" s="162"/>
    </row>
    <row r="111" spans="1:13" s="213" customFormat="1" ht="24" customHeight="1">
      <c r="A111" s="573" t="s">
        <v>312</v>
      </c>
      <c r="B111" s="2541" t="s">
        <v>287</v>
      </c>
      <c r="C111" s="2542"/>
      <c r="D111" s="488"/>
      <c r="E111" s="495"/>
      <c r="F111" s="576"/>
      <c r="G111" s="577"/>
      <c r="H111" s="578"/>
      <c r="I111" s="577"/>
      <c r="J111" s="577"/>
      <c r="K111" s="498"/>
      <c r="L111" s="479"/>
      <c r="M111" s="162"/>
    </row>
    <row r="112" spans="1:13" s="210" customFormat="1" ht="24" customHeight="1">
      <c r="A112" s="215"/>
      <c r="B112" s="566" t="s">
        <v>107</v>
      </c>
      <c r="C112" s="535" t="s">
        <v>288</v>
      </c>
      <c r="D112" s="164">
        <v>180</v>
      </c>
      <c r="E112" s="501" t="s">
        <v>84</v>
      </c>
      <c r="F112" s="567">
        <v>58</v>
      </c>
      <c r="G112" s="526">
        <v>30</v>
      </c>
      <c r="H112" s="526">
        <f t="shared" ref="H112:H120" si="9">D112*F112</f>
        <v>10440</v>
      </c>
      <c r="I112" s="165">
        <f t="shared" ref="I112:I120" si="10">D112*G112</f>
        <v>5400</v>
      </c>
      <c r="J112" s="165">
        <f t="shared" ref="J112:J120" si="11">H112+I112</f>
        <v>15840</v>
      </c>
      <c r="K112" s="568"/>
      <c r="L112" s="680"/>
      <c r="M112" s="484" t="s">
        <v>1836</v>
      </c>
    </row>
    <row r="113" spans="1:13" s="210" customFormat="1" ht="24" customHeight="1">
      <c r="A113" s="215"/>
      <c r="B113" s="566" t="s">
        <v>107</v>
      </c>
      <c r="C113" s="535" t="s">
        <v>290</v>
      </c>
      <c r="D113" s="164">
        <v>480</v>
      </c>
      <c r="E113" s="501" t="s">
        <v>84</v>
      </c>
      <c r="F113" s="567">
        <v>94</v>
      </c>
      <c r="G113" s="526">
        <v>30</v>
      </c>
      <c r="H113" s="526">
        <f t="shared" si="9"/>
        <v>45120</v>
      </c>
      <c r="I113" s="165">
        <f t="shared" si="10"/>
        <v>14400</v>
      </c>
      <c r="J113" s="165">
        <f t="shared" si="11"/>
        <v>59520</v>
      </c>
      <c r="K113" s="568"/>
      <c r="L113" s="680"/>
      <c r="M113" s="503" t="s">
        <v>642</v>
      </c>
    </row>
    <row r="114" spans="1:13" s="210" customFormat="1" ht="24" customHeight="1">
      <c r="A114" s="215"/>
      <c r="B114" s="566" t="s">
        <v>107</v>
      </c>
      <c r="C114" s="535" t="s">
        <v>291</v>
      </c>
      <c r="D114" s="164">
        <v>360</v>
      </c>
      <c r="E114" s="501" t="s">
        <v>84</v>
      </c>
      <c r="F114" s="567">
        <v>150</v>
      </c>
      <c r="G114" s="526">
        <v>50</v>
      </c>
      <c r="H114" s="526">
        <f t="shared" si="9"/>
        <v>54000</v>
      </c>
      <c r="I114" s="165">
        <f t="shared" si="10"/>
        <v>18000</v>
      </c>
      <c r="J114" s="165">
        <f t="shared" si="11"/>
        <v>72000</v>
      </c>
      <c r="K114" s="568"/>
      <c r="L114" s="680"/>
      <c r="M114" s="503" t="s">
        <v>642</v>
      </c>
    </row>
    <row r="115" spans="1:13" s="210" customFormat="1" ht="24" customHeight="1">
      <c r="A115" s="215"/>
      <c r="B115" s="566" t="s">
        <v>107</v>
      </c>
      <c r="C115" s="535" t="s">
        <v>292</v>
      </c>
      <c r="D115" s="164">
        <v>540</v>
      </c>
      <c r="E115" s="501" t="s">
        <v>84</v>
      </c>
      <c r="F115" s="567">
        <v>215</v>
      </c>
      <c r="G115" s="526">
        <v>65</v>
      </c>
      <c r="H115" s="526">
        <f t="shared" si="9"/>
        <v>116100</v>
      </c>
      <c r="I115" s="165">
        <f t="shared" si="10"/>
        <v>35100</v>
      </c>
      <c r="J115" s="165">
        <f t="shared" si="11"/>
        <v>151200</v>
      </c>
      <c r="K115" s="568"/>
      <c r="L115" s="680"/>
      <c r="M115" s="503" t="s">
        <v>642</v>
      </c>
    </row>
    <row r="116" spans="1:13" s="480" customFormat="1" ht="24" customHeight="1">
      <c r="A116" s="215"/>
      <c r="B116" s="566" t="s">
        <v>107</v>
      </c>
      <c r="C116" s="535" t="s">
        <v>293</v>
      </c>
      <c r="D116" s="164">
        <v>480</v>
      </c>
      <c r="E116" s="501" t="s">
        <v>84</v>
      </c>
      <c r="F116" s="567">
        <v>265</v>
      </c>
      <c r="G116" s="526">
        <v>80</v>
      </c>
      <c r="H116" s="526">
        <f t="shared" si="9"/>
        <v>127200</v>
      </c>
      <c r="I116" s="165">
        <f t="shared" si="10"/>
        <v>38400</v>
      </c>
      <c r="J116" s="165">
        <f t="shared" si="11"/>
        <v>165600</v>
      </c>
      <c r="K116" s="568"/>
      <c r="L116" s="680"/>
      <c r="M116" s="503" t="s">
        <v>642</v>
      </c>
    </row>
    <row r="117" spans="1:13" s="561" customFormat="1" ht="24" customHeight="1">
      <c r="A117" s="215"/>
      <c r="B117" s="566" t="s">
        <v>107</v>
      </c>
      <c r="C117" s="535" t="s">
        <v>294</v>
      </c>
      <c r="D117" s="164">
        <v>90</v>
      </c>
      <c r="E117" s="501" t="s">
        <v>84</v>
      </c>
      <c r="F117" s="567">
        <v>347</v>
      </c>
      <c r="G117" s="526">
        <v>110</v>
      </c>
      <c r="H117" s="526">
        <f t="shared" si="9"/>
        <v>31230</v>
      </c>
      <c r="I117" s="165">
        <f t="shared" si="10"/>
        <v>9900</v>
      </c>
      <c r="J117" s="165">
        <f t="shared" si="11"/>
        <v>41130</v>
      </c>
      <c r="K117" s="568"/>
      <c r="L117" s="680"/>
      <c r="M117" s="503" t="s">
        <v>642</v>
      </c>
    </row>
    <row r="118" spans="1:13" s="561" customFormat="1" ht="24" customHeight="1">
      <c r="A118" s="215"/>
      <c r="B118" s="566" t="s">
        <v>107</v>
      </c>
      <c r="C118" s="535" t="s">
        <v>295</v>
      </c>
      <c r="D118" s="164">
        <v>240</v>
      </c>
      <c r="E118" s="501" t="s">
        <v>84</v>
      </c>
      <c r="F118" s="567">
        <v>480</v>
      </c>
      <c r="G118" s="526">
        <v>150</v>
      </c>
      <c r="H118" s="526">
        <f t="shared" si="9"/>
        <v>115200</v>
      </c>
      <c r="I118" s="165">
        <f t="shared" si="10"/>
        <v>36000</v>
      </c>
      <c r="J118" s="165">
        <f t="shared" si="11"/>
        <v>151200</v>
      </c>
      <c r="K118" s="568"/>
      <c r="L118" s="680"/>
      <c r="M118" s="503" t="s">
        <v>642</v>
      </c>
    </row>
    <row r="119" spans="1:13" s="561" customFormat="1" ht="24" customHeight="1">
      <c r="A119" s="215"/>
      <c r="B119" s="566" t="s">
        <v>107</v>
      </c>
      <c r="C119" s="535" t="s">
        <v>559</v>
      </c>
      <c r="D119" s="164">
        <v>270</v>
      </c>
      <c r="E119" s="501" t="s">
        <v>84</v>
      </c>
      <c r="F119" s="567">
        <v>677</v>
      </c>
      <c r="G119" s="526">
        <v>200</v>
      </c>
      <c r="H119" s="526">
        <f t="shared" si="9"/>
        <v>182790</v>
      </c>
      <c r="I119" s="165">
        <f t="shared" si="10"/>
        <v>54000</v>
      </c>
      <c r="J119" s="165">
        <f t="shared" si="11"/>
        <v>236790</v>
      </c>
      <c r="K119" s="568"/>
      <c r="L119" s="680"/>
      <c r="M119" s="503" t="s">
        <v>642</v>
      </c>
    </row>
    <row r="120" spans="1:13" s="561" customFormat="1" ht="24" customHeight="1">
      <c r="A120" s="215"/>
      <c r="B120" s="566" t="s">
        <v>107</v>
      </c>
      <c r="C120" s="535" t="s">
        <v>560</v>
      </c>
      <c r="D120" s="164">
        <v>240</v>
      </c>
      <c r="E120" s="501" t="s">
        <v>84</v>
      </c>
      <c r="F120" s="567">
        <v>865</v>
      </c>
      <c r="G120" s="526">
        <v>255</v>
      </c>
      <c r="H120" s="526">
        <f t="shared" si="9"/>
        <v>207600</v>
      </c>
      <c r="I120" s="165">
        <f t="shared" si="10"/>
        <v>61200</v>
      </c>
      <c r="J120" s="165">
        <f t="shared" si="11"/>
        <v>268800</v>
      </c>
      <c r="K120" s="568"/>
      <c r="L120" s="680"/>
      <c r="M120" s="503" t="s">
        <v>642</v>
      </c>
    </row>
    <row r="121" spans="1:13" s="213" customFormat="1" ht="24" customHeight="1">
      <c r="A121" s="588" t="s">
        <v>313</v>
      </c>
      <c r="B121" s="2515" t="s">
        <v>296</v>
      </c>
      <c r="C121" s="2516"/>
      <c r="D121" s="185"/>
      <c r="E121" s="504"/>
      <c r="F121" s="589"/>
      <c r="G121" s="590"/>
      <c r="H121" s="526"/>
      <c r="I121" s="165"/>
      <c r="J121" s="165"/>
      <c r="K121" s="539"/>
      <c r="L121" s="479"/>
      <c r="M121" s="162"/>
    </row>
    <row r="122" spans="1:13" s="210" customFormat="1" ht="24" customHeight="1">
      <c r="A122" s="215"/>
      <c r="B122" s="566" t="s">
        <v>107</v>
      </c>
      <c r="C122" s="535" t="s">
        <v>297</v>
      </c>
      <c r="D122" s="164">
        <v>180</v>
      </c>
      <c r="E122" s="501" t="s">
        <v>84</v>
      </c>
      <c r="F122" s="567">
        <v>43</v>
      </c>
      <c r="G122" s="526">
        <v>15</v>
      </c>
      <c r="H122" s="526">
        <f t="shared" ref="H122:H138" si="12">D122*F122</f>
        <v>7740</v>
      </c>
      <c r="I122" s="165">
        <f t="shared" ref="I122:I138" si="13">D122*G122</f>
        <v>2700</v>
      </c>
      <c r="J122" s="165">
        <f t="shared" ref="J122:J138" si="14">H122+I122</f>
        <v>10440</v>
      </c>
      <c r="K122" s="568"/>
      <c r="L122" s="680"/>
      <c r="M122" s="503" t="s">
        <v>642</v>
      </c>
    </row>
    <row r="123" spans="1:13" s="213" customFormat="1" ht="24" customHeight="1">
      <c r="A123" s="215"/>
      <c r="B123" s="566" t="s">
        <v>107</v>
      </c>
      <c r="C123" s="535" t="s">
        <v>298</v>
      </c>
      <c r="D123" s="164">
        <v>480</v>
      </c>
      <c r="E123" s="501" t="s">
        <v>84</v>
      </c>
      <c r="F123" s="567">
        <v>46</v>
      </c>
      <c r="G123" s="526">
        <v>15</v>
      </c>
      <c r="H123" s="526">
        <f t="shared" si="12"/>
        <v>22080</v>
      </c>
      <c r="I123" s="165">
        <f t="shared" si="13"/>
        <v>7200</v>
      </c>
      <c r="J123" s="165">
        <f t="shared" si="14"/>
        <v>29280</v>
      </c>
      <c r="K123" s="568"/>
      <c r="L123" s="680"/>
      <c r="M123" s="503" t="s">
        <v>642</v>
      </c>
    </row>
    <row r="124" spans="1:13" s="213" customFormat="1" ht="24" customHeight="1">
      <c r="A124" s="215"/>
      <c r="B124" s="566" t="s">
        <v>107</v>
      </c>
      <c r="C124" s="535" t="s">
        <v>299</v>
      </c>
      <c r="D124" s="164">
        <v>360</v>
      </c>
      <c r="E124" s="501" t="s">
        <v>84</v>
      </c>
      <c r="F124" s="567">
        <v>50</v>
      </c>
      <c r="G124" s="526">
        <v>15</v>
      </c>
      <c r="H124" s="526">
        <f t="shared" si="12"/>
        <v>18000</v>
      </c>
      <c r="I124" s="165">
        <f t="shared" si="13"/>
        <v>5400</v>
      </c>
      <c r="J124" s="165">
        <f t="shared" si="14"/>
        <v>23400</v>
      </c>
      <c r="K124" s="568"/>
      <c r="L124" s="680"/>
      <c r="M124" s="503" t="s">
        <v>642</v>
      </c>
    </row>
    <row r="125" spans="1:13" s="213" customFormat="1" ht="24" customHeight="1">
      <c r="A125" s="215"/>
      <c r="B125" s="566" t="s">
        <v>107</v>
      </c>
      <c r="C125" s="535" t="s">
        <v>300</v>
      </c>
      <c r="D125" s="164">
        <v>540</v>
      </c>
      <c r="E125" s="501" t="s">
        <v>84</v>
      </c>
      <c r="F125" s="567">
        <v>54</v>
      </c>
      <c r="G125" s="526">
        <v>16</v>
      </c>
      <c r="H125" s="526">
        <f t="shared" si="12"/>
        <v>29160</v>
      </c>
      <c r="I125" s="165">
        <f t="shared" si="13"/>
        <v>8640</v>
      </c>
      <c r="J125" s="165">
        <f t="shared" si="14"/>
        <v>37800</v>
      </c>
      <c r="K125" s="568"/>
      <c r="L125" s="680"/>
      <c r="M125" s="503" t="s">
        <v>642</v>
      </c>
    </row>
    <row r="126" spans="1:13" s="213" customFormat="1" ht="24" customHeight="1">
      <c r="A126" s="139"/>
      <c r="B126" s="139"/>
      <c r="C126" s="152"/>
      <c r="D126" s="152"/>
      <c r="E126" s="205"/>
      <c r="F126" s="205"/>
      <c r="G126" s="205"/>
      <c r="H126" s="205"/>
      <c r="I126" s="205"/>
      <c r="J126" s="205"/>
      <c r="K126" s="205"/>
      <c r="L126" s="680"/>
      <c r="M126" s="503"/>
    </row>
    <row r="127" spans="1:13" s="213" customFormat="1" ht="24" customHeight="1">
      <c r="A127" s="139"/>
      <c r="B127" s="869"/>
      <c r="C127" s="1013" t="s">
        <v>133</v>
      </c>
      <c r="D127" s="418"/>
      <c r="E127" s="1014"/>
      <c r="F127" s="1014"/>
      <c r="G127" s="868"/>
      <c r="H127" s="868"/>
      <c r="I127" s="866"/>
      <c r="J127" s="866"/>
      <c r="K127" s="492"/>
      <c r="L127" s="680"/>
      <c r="M127" s="503"/>
    </row>
    <row r="128" spans="1:13" s="213" customFormat="1" ht="24" customHeight="1">
      <c r="A128" s="139"/>
      <c r="B128" s="2407" t="s">
        <v>1769</v>
      </c>
      <c r="C128" s="2407"/>
      <c r="D128" s="1017"/>
      <c r="E128" s="1017"/>
      <c r="F128" s="1017"/>
      <c r="G128" s="1017" t="s">
        <v>134</v>
      </c>
      <c r="H128" s="1017"/>
      <c r="I128" s="1017"/>
      <c r="J128" s="1017"/>
      <c r="K128" s="205"/>
      <c r="L128" s="680"/>
      <c r="M128" s="503"/>
    </row>
    <row r="129" spans="1:13" s="213" customFormat="1" ht="24" customHeight="1">
      <c r="A129" s="139"/>
      <c r="B129" s="2408" t="s">
        <v>1970</v>
      </c>
      <c r="C129" s="2408"/>
      <c r="D129" s="419"/>
      <c r="E129" s="419"/>
      <c r="F129" s="419"/>
      <c r="G129" s="1019" t="s">
        <v>1971</v>
      </c>
      <c r="H129" s="419"/>
      <c r="I129" s="419"/>
      <c r="J129" s="419"/>
      <c r="K129" s="174"/>
      <c r="L129" s="680"/>
      <c r="M129" s="503"/>
    </row>
    <row r="130" spans="1:13" s="213" customFormat="1" ht="24" customHeight="1">
      <c r="A130" s="139"/>
      <c r="B130" s="1017" t="s">
        <v>2031</v>
      </c>
      <c r="C130" s="866"/>
      <c r="D130" s="419"/>
      <c r="E130" s="419"/>
      <c r="F130" s="419"/>
      <c r="G130" s="1017" t="s">
        <v>2031</v>
      </c>
      <c r="H130" s="419"/>
      <c r="I130" s="419"/>
      <c r="J130" s="419"/>
      <c r="K130" s="1639"/>
      <c r="L130" s="680"/>
      <c r="M130" s="503"/>
    </row>
    <row r="131" spans="1:13" s="213" customFormat="1" ht="24" customHeight="1">
      <c r="A131" s="139"/>
      <c r="B131" s="419" t="s">
        <v>1984</v>
      </c>
      <c r="C131" s="866"/>
      <c r="D131" s="1017"/>
      <c r="E131" s="1017"/>
      <c r="F131" s="1017"/>
      <c r="G131" s="419" t="s">
        <v>1985</v>
      </c>
      <c r="H131" s="1017"/>
      <c r="I131" s="1017"/>
      <c r="J131" s="1017"/>
      <c r="K131" s="1638"/>
      <c r="L131" s="680"/>
      <c r="M131" s="503"/>
    </row>
    <row r="132" spans="1:13" s="213" customFormat="1" ht="24" customHeight="1">
      <c r="A132" s="139"/>
      <c r="B132" s="1017" t="s">
        <v>670</v>
      </c>
      <c r="C132" s="407"/>
      <c r="D132" s="1021"/>
      <c r="E132" s="869"/>
      <c r="F132" s="401"/>
      <c r="G132" s="401"/>
      <c r="H132" s="401"/>
      <c r="I132" s="401"/>
      <c r="J132" s="401"/>
      <c r="K132" s="174"/>
      <c r="L132" s="680"/>
      <c r="M132" s="503"/>
    </row>
    <row r="133" spans="1:13" s="213" customFormat="1" ht="24" customHeight="1">
      <c r="A133" s="139"/>
      <c r="B133" s="419" t="s">
        <v>1972</v>
      </c>
      <c r="C133" s="407"/>
      <c r="D133" s="1023"/>
      <c r="E133" s="1022"/>
      <c r="F133" s="1024"/>
      <c r="G133" s="1024"/>
      <c r="H133" s="1024"/>
      <c r="I133" s="1024"/>
      <c r="J133" s="1024"/>
      <c r="K133" s="1639"/>
      <c r="L133" s="680"/>
      <c r="M133" s="503"/>
    </row>
    <row r="134" spans="1:13" s="213" customFormat="1" ht="24" customHeight="1">
      <c r="A134" s="215"/>
      <c r="B134" s="566" t="s">
        <v>107</v>
      </c>
      <c r="C134" s="535" t="s">
        <v>301</v>
      </c>
      <c r="D134" s="164">
        <v>480</v>
      </c>
      <c r="E134" s="501" t="s">
        <v>84</v>
      </c>
      <c r="F134" s="567">
        <v>58</v>
      </c>
      <c r="G134" s="526">
        <v>18</v>
      </c>
      <c r="H134" s="526">
        <f t="shared" si="12"/>
        <v>27840</v>
      </c>
      <c r="I134" s="165">
        <f t="shared" si="13"/>
        <v>8640</v>
      </c>
      <c r="J134" s="165">
        <f t="shared" si="14"/>
        <v>36480</v>
      </c>
      <c r="K134" s="568"/>
      <c r="L134" s="680"/>
      <c r="M134" s="503" t="s">
        <v>642</v>
      </c>
    </row>
    <row r="135" spans="1:13" s="213" customFormat="1" ht="24" customHeight="1">
      <c r="A135" s="215"/>
      <c r="B135" s="566" t="s">
        <v>107</v>
      </c>
      <c r="C135" s="535" t="s">
        <v>302</v>
      </c>
      <c r="D135" s="164">
        <v>90</v>
      </c>
      <c r="E135" s="501" t="s">
        <v>84</v>
      </c>
      <c r="F135" s="567">
        <v>62</v>
      </c>
      <c r="G135" s="526">
        <v>20</v>
      </c>
      <c r="H135" s="526">
        <f t="shared" si="12"/>
        <v>5580</v>
      </c>
      <c r="I135" s="165">
        <f t="shared" si="13"/>
        <v>1800</v>
      </c>
      <c r="J135" s="165">
        <f t="shared" si="14"/>
        <v>7380</v>
      </c>
      <c r="K135" s="568"/>
      <c r="L135" s="680"/>
      <c r="M135" s="503" t="s">
        <v>642</v>
      </c>
    </row>
    <row r="136" spans="1:13" s="213" customFormat="1" ht="24" customHeight="1">
      <c r="A136" s="215"/>
      <c r="B136" s="566" t="s">
        <v>107</v>
      </c>
      <c r="C136" s="535" t="s">
        <v>303</v>
      </c>
      <c r="D136" s="164">
        <v>240</v>
      </c>
      <c r="E136" s="501" t="s">
        <v>84</v>
      </c>
      <c r="F136" s="567">
        <v>73</v>
      </c>
      <c r="G136" s="526">
        <v>25</v>
      </c>
      <c r="H136" s="526">
        <f t="shared" si="12"/>
        <v>17520</v>
      </c>
      <c r="I136" s="165">
        <f t="shared" si="13"/>
        <v>6000</v>
      </c>
      <c r="J136" s="165">
        <f t="shared" si="14"/>
        <v>23520</v>
      </c>
      <c r="K136" s="568"/>
      <c r="L136" s="680"/>
      <c r="M136" s="503" t="s">
        <v>642</v>
      </c>
    </row>
    <row r="137" spans="1:13" s="561" customFormat="1" ht="24" customHeight="1">
      <c r="A137" s="258"/>
      <c r="B137" s="532" t="s">
        <v>107</v>
      </c>
      <c r="C137" s="533" t="s">
        <v>561</v>
      </c>
      <c r="D137" s="256">
        <v>270</v>
      </c>
      <c r="E137" s="501" t="s">
        <v>84</v>
      </c>
      <c r="F137" s="564">
        <v>92</v>
      </c>
      <c r="G137" s="522">
        <v>25</v>
      </c>
      <c r="H137" s="522">
        <f t="shared" si="12"/>
        <v>24840</v>
      </c>
      <c r="I137" s="497">
        <f t="shared" si="13"/>
        <v>6750</v>
      </c>
      <c r="J137" s="497">
        <f t="shared" si="14"/>
        <v>31590</v>
      </c>
      <c r="K137" s="565"/>
      <c r="L137" s="680"/>
      <c r="M137" s="503" t="s">
        <v>642</v>
      </c>
    </row>
    <row r="138" spans="1:13" s="561" customFormat="1" ht="24" customHeight="1">
      <c r="A138" s="215"/>
      <c r="B138" s="566" t="s">
        <v>107</v>
      </c>
      <c r="C138" s="535" t="s">
        <v>562</v>
      </c>
      <c r="D138" s="164">
        <v>240</v>
      </c>
      <c r="E138" s="501" t="s">
        <v>84</v>
      </c>
      <c r="F138" s="567">
        <v>122</v>
      </c>
      <c r="G138" s="526">
        <v>35</v>
      </c>
      <c r="H138" s="526">
        <f t="shared" si="12"/>
        <v>29280</v>
      </c>
      <c r="I138" s="165">
        <f t="shared" si="13"/>
        <v>8400</v>
      </c>
      <c r="J138" s="165">
        <f t="shared" si="14"/>
        <v>37680</v>
      </c>
      <c r="K138" s="568"/>
      <c r="L138" s="680"/>
      <c r="M138" s="503" t="s">
        <v>642</v>
      </c>
    </row>
    <row r="139" spans="1:13" s="561" customFormat="1" ht="24" customHeight="1">
      <c r="A139" s="560" t="s">
        <v>314</v>
      </c>
      <c r="B139" s="541" t="s">
        <v>281</v>
      </c>
      <c r="C139" s="542"/>
      <c r="D139" s="269"/>
      <c r="E139" s="525"/>
      <c r="F139" s="559"/>
      <c r="G139" s="526"/>
      <c r="H139" s="526"/>
      <c r="I139" s="165"/>
      <c r="J139" s="165"/>
      <c r="K139" s="539"/>
      <c r="L139" s="479"/>
      <c r="M139" s="162"/>
    </row>
    <row r="140" spans="1:13" s="213" customFormat="1" ht="48">
      <c r="A140" s="545"/>
      <c r="B140" s="546" t="s">
        <v>107</v>
      </c>
      <c r="C140" s="569" t="s">
        <v>1837</v>
      </c>
      <c r="D140" s="270">
        <v>1</v>
      </c>
      <c r="E140" s="548" t="s">
        <v>105</v>
      </c>
      <c r="F140" s="549">
        <f>+SUM(H112:H120)*0.3</f>
        <v>266904</v>
      </c>
      <c r="G140" s="550">
        <f>+F140*0.3</f>
        <v>80071.199999999997</v>
      </c>
      <c r="H140" s="550">
        <f>D140*F140</f>
        <v>266904</v>
      </c>
      <c r="I140" s="550">
        <f>D140*G140</f>
        <v>80071.199999999997</v>
      </c>
      <c r="J140" s="550">
        <f>H140+I140</f>
        <v>346975.2</v>
      </c>
      <c r="K140" s="551"/>
      <c r="L140" s="678"/>
      <c r="M140" s="570" t="s">
        <v>642</v>
      </c>
    </row>
    <row r="141" spans="1:13" s="213" customFormat="1" ht="48">
      <c r="A141" s="545"/>
      <c r="B141" s="546" t="s">
        <v>107</v>
      </c>
      <c r="C141" s="547" t="s">
        <v>1838</v>
      </c>
      <c r="D141" s="270">
        <v>1</v>
      </c>
      <c r="E141" s="548" t="s">
        <v>105</v>
      </c>
      <c r="F141" s="549">
        <f>+SUM(H113:H121)*0.15</f>
        <v>131886</v>
      </c>
      <c r="G141" s="550">
        <f>+F141*0.3</f>
        <v>39565.799999999996</v>
      </c>
      <c r="H141" s="550">
        <f>D141*F141</f>
        <v>131886</v>
      </c>
      <c r="I141" s="550">
        <f>D141*G141</f>
        <v>39565.799999999996</v>
      </c>
      <c r="J141" s="550">
        <f>H141+I141</f>
        <v>171451.8</v>
      </c>
      <c r="K141" s="551"/>
      <c r="L141" s="678"/>
      <c r="M141" s="570" t="s">
        <v>642</v>
      </c>
    </row>
    <row r="142" spans="1:13" s="213" customFormat="1" ht="48">
      <c r="A142" s="545"/>
      <c r="B142" s="546" t="s">
        <v>107</v>
      </c>
      <c r="C142" s="571" t="s">
        <v>170</v>
      </c>
      <c r="D142" s="270">
        <v>1</v>
      </c>
      <c r="E142" s="548" t="s">
        <v>105</v>
      </c>
      <c r="F142" s="549">
        <f>+SUM(H112:H138)*0.05</f>
        <v>53586</v>
      </c>
      <c r="G142" s="550">
        <f>+F142*0.3</f>
        <v>16075.8</v>
      </c>
      <c r="H142" s="550">
        <f>D142*F142</f>
        <v>53586</v>
      </c>
      <c r="I142" s="550">
        <f>D142*G142</f>
        <v>16075.8</v>
      </c>
      <c r="J142" s="550">
        <f>H142+I142</f>
        <v>69661.8</v>
      </c>
      <c r="K142" s="551"/>
      <c r="L142" s="678"/>
      <c r="M142" s="570" t="s">
        <v>642</v>
      </c>
    </row>
    <row r="143" spans="1:13" s="213" customFormat="1">
      <c r="A143" s="552"/>
      <c r="B143" s="553"/>
      <c r="C143" s="554"/>
      <c r="D143" s="486"/>
      <c r="E143" s="555"/>
      <c r="F143" s="572"/>
      <c r="G143" s="556"/>
      <c r="H143" s="556"/>
      <c r="I143" s="556"/>
      <c r="J143" s="556"/>
      <c r="K143" s="557"/>
      <c r="L143" s="678"/>
      <c r="M143" s="570"/>
    </row>
    <row r="144" spans="1:13" s="210" customFormat="1" ht="24" customHeight="1" thickBot="1">
      <c r="A144" s="472"/>
      <c r="B144" s="511"/>
      <c r="C144" s="512" t="str">
        <f>"รวมราคา "&amp;B110</f>
        <v>รวมราคา งานท่อทองแดง และฉนวนหุ้มท่อ</v>
      </c>
      <c r="D144" s="349"/>
      <c r="E144" s="513"/>
      <c r="F144" s="514"/>
      <c r="G144" s="515"/>
      <c r="H144" s="515">
        <f>SUBTOTAL(9,H111:H142)</f>
        <v>1524096</v>
      </c>
      <c r="I144" s="515">
        <f>SUBTOTAL(9,I111:I142)</f>
        <v>463642.8</v>
      </c>
      <c r="J144" s="515">
        <f>SUBTOTAL(9,J111:J142)</f>
        <v>1987738.8</v>
      </c>
      <c r="K144" s="515"/>
      <c r="L144" s="679"/>
      <c r="M144" s="162"/>
    </row>
    <row r="145" spans="1:13" s="213" customFormat="1" ht="24.75" thickTop="1">
      <c r="A145" s="493">
        <v>5.5</v>
      </c>
      <c r="B145" s="2523" t="s">
        <v>1321</v>
      </c>
      <c r="C145" s="2524"/>
      <c r="D145" s="199"/>
      <c r="E145" s="392"/>
      <c r="F145" s="393"/>
      <c r="G145" s="394"/>
      <c r="H145" s="395"/>
      <c r="I145" s="394"/>
      <c r="J145" s="394"/>
      <c r="K145" s="478"/>
      <c r="L145" s="479"/>
      <c r="M145" s="162"/>
    </row>
    <row r="146" spans="1:13" s="480" customFormat="1" ht="24" customHeight="1">
      <c r="A146" s="573" t="s">
        <v>1322</v>
      </c>
      <c r="B146" s="2541" t="s">
        <v>1323</v>
      </c>
      <c r="C146" s="2542"/>
      <c r="D146" s="488"/>
      <c r="E146" s="575"/>
      <c r="F146" s="576"/>
      <c r="G146" s="577"/>
      <c r="H146" s="578"/>
      <c r="I146" s="577"/>
      <c r="J146" s="577"/>
      <c r="K146" s="498"/>
      <c r="L146" s="479"/>
      <c r="M146" s="180"/>
    </row>
    <row r="147" spans="1:13" s="480" customFormat="1" ht="24" customHeight="1">
      <c r="A147" s="579"/>
      <c r="B147" s="2513" t="s">
        <v>563</v>
      </c>
      <c r="C147" s="2514"/>
      <c r="D147" s="185"/>
      <c r="E147" s="580"/>
      <c r="F147" s="581"/>
      <c r="G147" s="581"/>
      <c r="H147" s="581"/>
      <c r="I147" s="581"/>
      <c r="J147" s="581"/>
      <c r="K147" s="539"/>
      <c r="L147" s="479"/>
      <c r="M147" s="180"/>
    </row>
    <row r="148" spans="1:13" s="210" customFormat="1" ht="24" customHeight="1">
      <c r="A148" s="579"/>
      <c r="B148" s="216" t="s">
        <v>139</v>
      </c>
      <c r="C148" s="540" t="s">
        <v>1324</v>
      </c>
      <c r="D148" s="160">
        <v>100</v>
      </c>
      <c r="E148" s="217" t="s">
        <v>84</v>
      </c>
      <c r="F148" s="456">
        <v>78</v>
      </c>
      <c r="G148" s="456">
        <v>40</v>
      </c>
      <c r="H148" s="526">
        <f>D148*F148</f>
        <v>7800</v>
      </c>
      <c r="I148" s="165">
        <f>D148*G148</f>
        <v>4000</v>
      </c>
      <c r="J148" s="165">
        <f>H148+I148</f>
        <v>11800</v>
      </c>
      <c r="K148" s="539"/>
      <c r="L148" s="479"/>
      <c r="M148" s="503" t="s">
        <v>642</v>
      </c>
    </row>
    <row r="149" spans="1:13" s="210" customFormat="1" ht="24" customHeight="1">
      <c r="A149" s="579"/>
      <c r="B149" s="2513" t="s">
        <v>1325</v>
      </c>
      <c r="C149" s="2514"/>
      <c r="D149" s="160"/>
      <c r="E149" s="504"/>
      <c r="F149" s="505"/>
      <c r="G149" s="165"/>
      <c r="H149" s="526"/>
      <c r="I149" s="165"/>
      <c r="J149" s="165"/>
      <c r="K149" s="539"/>
      <c r="L149" s="479"/>
      <c r="M149" s="162"/>
    </row>
    <row r="150" spans="1:13" s="210" customFormat="1" ht="24" customHeight="1">
      <c r="A150" s="499"/>
      <c r="B150" s="500" t="s">
        <v>107</v>
      </c>
      <c r="C150" s="540" t="s">
        <v>1326</v>
      </c>
      <c r="D150" s="160">
        <v>80</v>
      </c>
      <c r="E150" s="217" t="s">
        <v>84</v>
      </c>
      <c r="F150" s="505">
        <v>11.5</v>
      </c>
      <c r="G150" s="526">
        <v>30</v>
      </c>
      <c r="H150" s="526">
        <f>D150*F150</f>
        <v>920</v>
      </c>
      <c r="I150" s="165">
        <f>D150*G150</f>
        <v>2400</v>
      </c>
      <c r="J150" s="165">
        <f>H150+I150</f>
        <v>3320</v>
      </c>
      <c r="K150" s="502"/>
      <c r="L150" s="682"/>
      <c r="M150" s="503" t="s">
        <v>642</v>
      </c>
    </row>
    <row r="151" spans="1:13" s="480" customFormat="1" ht="24" customHeight="1">
      <c r="A151" s="499"/>
      <c r="B151" s="500" t="s">
        <v>107</v>
      </c>
      <c r="C151" s="540" t="s">
        <v>1327</v>
      </c>
      <c r="D151" s="160">
        <v>540</v>
      </c>
      <c r="E151" s="217" t="s">
        <v>84</v>
      </c>
      <c r="F151" s="505">
        <v>15</v>
      </c>
      <c r="G151" s="526">
        <v>30</v>
      </c>
      <c r="H151" s="526">
        <f>D151*F151</f>
        <v>8100</v>
      </c>
      <c r="I151" s="165">
        <f>D151*G151</f>
        <v>16200</v>
      </c>
      <c r="J151" s="165">
        <f>H151+I151</f>
        <v>24300</v>
      </c>
      <c r="K151" s="502"/>
      <c r="L151" s="682"/>
      <c r="M151" s="503" t="s">
        <v>642</v>
      </c>
    </row>
    <row r="152" spans="1:13" s="210" customFormat="1" ht="24" customHeight="1">
      <c r="A152" s="499"/>
      <c r="B152" s="500" t="s">
        <v>107</v>
      </c>
      <c r="C152" s="540" t="s">
        <v>1328</v>
      </c>
      <c r="D152" s="160">
        <v>240</v>
      </c>
      <c r="E152" s="217" t="s">
        <v>84</v>
      </c>
      <c r="F152" s="456">
        <v>18.75</v>
      </c>
      <c r="G152" s="456">
        <v>30</v>
      </c>
      <c r="H152" s="456">
        <f>D152*F152</f>
        <v>4500</v>
      </c>
      <c r="I152" s="456">
        <f>D152*G152</f>
        <v>7200</v>
      </c>
      <c r="J152" s="456">
        <f>H152+I152</f>
        <v>11700</v>
      </c>
      <c r="K152" s="502"/>
      <c r="L152" s="682"/>
      <c r="M152" s="503" t="s">
        <v>642</v>
      </c>
    </row>
    <row r="153" spans="1:13" s="210" customFormat="1" ht="24" customHeight="1">
      <c r="A153" s="499"/>
      <c r="B153" s="500" t="s">
        <v>107</v>
      </c>
      <c r="C153" s="540" t="s">
        <v>1329</v>
      </c>
      <c r="D153" s="160">
        <v>60</v>
      </c>
      <c r="E153" s="217" t="s">
        <v>84</v>
      </c>
      <c r="F153" s="456">
        <v>24.5</v>
      </c>
      <c r="G153" s="456">
        <v>30</v>
      </c>
      <c r="H153" s="456">
        <f>D153*F153</f>
        <v>1470</v>
      </c>
      <c r="I153" s="456">
        <f>D153*G153</f>
        <v>1800</v>
      </c>
      <c r="J153" s="456">
        <f>H153+I153</f>
        <v>3270</v>
      </c>
      <c r="K153" s="502"/>
      <c r="L153" s="682"/>
      <c r="M153" s="503" t="s">
        <v>642</v>
      </c>
    </row>
    <row r="154" spans="1:13" s="561" customFormat="1" ht="24" customHeight="1">
      <c r="A154" s="499"/>
      <c r="B154" s="582" t="s">
        <v>107</v>
      </c>
      <c r="C154" s="540" t="s">
        <v>1324</v>
      </c>
      <c r="D154" s="160">
        <v>160</v>
      </c>
      <c r="E154" s="217" t="s">
        <v>84</v>
      </c>
      <c r="F154" s="456">
        <v>38.75</v>
      </c>
      <c r="G154" s="456">
        <v>40</v>
      </c>
      <c r="H154" s="456">
        <f>D154*F154</f>
        <v>6200</v>
      </c>
      <c r="I154" s="456">
        <f>D154*G154</f>
        <v>6400</v>
      </c>
      <c r="J154" s="456">
        <f>H154+I154</f>
        <v>12600</v>
      </c>
      <c r="K154" s="502"/>
      <c r="L154" s="682"/>
      <c r="M154" s="503" t="s">
        <v>642</v>
      </c>
    </row>
    <row r="155" spans="1:13" s="561" customFormat="1" ht="24" customHeight="1">
      <c r="A155" s="139"/>
      <c r="B155" s="139"/>
      <c r="C155" s="152"/>
      <c r="D155" s="152"/>
      <c r="E155" s="205"/>
      <c r="F155" s="205"/>
      <c r="G155" s="205"/>
      <c r="H155" s="205"/>
      <c r="I155" s="205"/>
      <c r="J155" s="205"/>
      <c r="K155" s="205"/>
      <c r="L155" s="682"/>
      <c r="M155" s="503"/>
    </row>
    <row r="156" spans="1:13" s="561" customFormat="1" ht="24" customHeight="1">
      <c r="A156" s="139"/>
      <c r="B156" s="869"/>
      <c r="C156" s="1013" t="s">
        <v>133</v>
      </c>
      <c r="D156" s="418"/>
      <c r="E156" s="1014"/>
      <c r="F156" s="1014"/>
      <c r="G156" s="868"/>
      <c r="H156" s="868"/>
      <c r="I156" s="866"/>
      <c r="J156" s="866"/>
      <c r="K156" s="492"/>
      <c r="L156" s="682"/>
      <c r="M156" s="503"/>
    </row>
    <row r="157" spans="1:13" s="561" customFormat="1" ht="24" customHeight="1">
      <c r="A157" s="139"/>
      <c r="B157" s="2407" t="s">
        <v>1769</v>
      </c>
      <c r="C157" s="2407"/>
      <c r="D157" s="1017"/>
      <c r="E157" s="1017"/>
      <c r="F157" s="1017"/>
      <c r="G157" s="1017" t="s">
        <v>134</v>
      </c>
      <c r="H157" s="1017"/>
      <c r="I157" s="1017"/>
      <c r="J157" s="1017"/>
      <c r="K157" s="205"/>
      <c r="L157" s="682"/>
      <c r="M157" s="503"/>
    </row>
    <row r="158" spans="1:13" s="561" customFormat="1" ht="24" customHeight="1">
      <c r="A158" s="139"/>
      <c r="B158" s="2408" t="s">
        <v>1970</v>
      </c>
      <c r="C158" s="2408"/>
      <c r="D158" s="419"/>
      <c r="E158" s="419"/>
      <c r="F158" s="419"/>
      <c r="G158" s="1019" t="s">
        <v>1971</v>
      </c>
      <c r="H158" s="419"/>
      <c r="I158" s="419"/>
      <c r="J158" s="419"/>
      <c r="K158" s="174"/>
      <c r="L158" s="682"/>
      <c r="M158" s="503"/>
    </row>
    <row r="159" spans="1:13" s="561" customFormat="1" ht="24" customHeight="1">
      <c r="A159" s="139"/>
      <c r="B159" s="1017" t="s">
        <v>2031</v>
      </c>
      <c r="C159" s="866"/>
      <c r="D159" s="419"/>
      <c r="E159" s="419"/>
      <c r="F159" s="419"/>
      <c r="G159" s="1017" t="s">
        <v>2031</v>
      </c>
      <c r="H159" s="419"/>
      <c r="I159" s="419"/>
      <c r="J159" s="419"/>
      <c r="K159" s="1639"/>
      <c r="L159" s="682"/>
      <c r="M159" s="503"/>
    </row>
    <row r="160" spans="1:13" s="561" customFormat="1" ht="24" customHeight="1">
      <c r="A160" s="139"/>
      <c r="B160" s="419" t="s">
        <v>1984</v>
      </c>
      <c r="C160" s="866"/>
      <c r="D160" s="1017"/>
      <c r="E160" s="1017"/>
      <c r="F160" s="1017"/>
      <c r="G160" s="419" t="s">
        <v>1985</v>
      </c>
      <c r="H160" s="1017"/>
      <c r="I160" s="1017"/>
      <c r="J160" s="1017"/>
      <c r="K160" s="1638"/>
      <c r="L160" s="682"/>
      <c r="M160" s="503"/>
    </row>
    <row r="161" spans="1:13" s="561" customFormat="1" ht="24" customHeight="1">
      <c r="A161" s="139"/>
      <c r="B161" s="1017" t="s">
        <v>670</v>
      </c>
      <c r="C161" s="407"/>
      <c r="D161" s="1021"/>
      <c r="E161" s="869"/>
      <c r="F161" s="401"/>
      <c r="G161" s="401"/>
      <c r="H161" s="401"/>
      <c r="I161" s="401"/>
      <c r="J161" s="401"/>
      <c r="K161" s="174"/>
      <c r="L161" s="682"/>
      <c r="M161" s="503"/>
    </row>
    <row r="162" spans="1:13" s="561" customFormat="1" ht="24" customHeight="1">
      <c r="A162" s="139"/>
      <c r="B162" s="419" t="s">
        <v>1972</v>
      </c>
      <c r="C162" s="407"/>
      <c r="D162" s="1023"/>
      <c r="E162" s="1022"/>
      <c r="F162" s="1024"/>
      <c r="G162" s="1024"/>
      <c r="H162" s="1024"/>
      <c r="I162" s="1024"/>
      <c r="J162" s="1024"/>
      <c r="K162" s="1639"/>
      <c r="L162" s="682"/>
      <c r="M162" s="503"/>
    </row>
    <row r="163" spans="1:13" s="210" customFormat="1" ht="24" customHeight="1">
      <c r="A163" s="499"/>
      <c r="B163" s="2515" t="s">
        <v>1330</v>
      </c>
      <c r="C163" s="2516"/>
      <c r="D163" s="160"/>
      <c r="E163" s="504"/>
      <c r="F163" s="505"/>
      <c r="G163" s="526"/>
      <c r="H163" s="526"/>
      <c r="I163" s="165"/>
      <c r="J163" s="165"/>
      <c r="K163" s="502"/>
      <c r="L163" s="682"/>
      <c r="M163" s="503"/>
    </row>
    <row r="164" spans="1:13" s="210" customFormat="1" ht="24" customHeight="1">
      <c r="A164" s="499"/>
      <c r="B164" s="566" t="s">
        <v>107</v>
      </c>
      <c r="C164" s="535" t="s">
        <v>1331</v>
      </c>
      <c r="D164" s="160">
        <v>80</v>
      </c>
      <c r="E164" s="217" t="s">
        <v>84</v>
      </c>
      <c r="F164" s="505">
        <v>60</v>
      </c>
      <c r="G164" s="526">
        <v>16</v>
      </c>
      <c r="H164" s="526">
        <f>D164*F164</f>
        <v>4800</v>
      </c>
      <c r="I164" s="165">
        <f>D164*G164</f>
        <v>1280</v>
      </c>
      <c r="J164" s="165">
        <f>H164+I164</f>
        <v>6080</v>
      </c>
      <c r="K164" s="502"/>
      <c r="L164" s="682"/>
      <c r="M164" s="503" t="s">
        <v>642</v>
      </c>
    </row>
    <row r="165" spans="1:13" s="210" customFormat="1" ht="24" customHeight="1">
      <c r="A165" s="499"/>
      <c r="B165" s="566" t="s">
        <v>107</v>
      </c>
      <c r="C165" s="535" t="s">
        <v>1332</v>
      </c>
      <c r="D165" s="160">
        <v>540</v>
      </c>
      <c r="E165" s="217" t="s">
        <v>84</v>
      </c>
      <c r="F165" s="505">
        <v>115</v>
      </c>
      <c r="G165" s="526">
        <v>25</v>
      </c>
      <c r="H165" s="526">
        <f>D165*F165</f>
        <v>62100</v>
      </c>
      <c r="I165" s="165">
        <f>D165*G165</f>
        <v>13500</v>
      </c>
      <c r="J165" s="165">
        <f>H165+I165</f>
        <v>75600</v>
      </c>
      <c r="K165" s="502"/>
      <c r="L165" s="682"/>
      <c r="M165" s="503" t="s">
        <v>642</v>
      </c>
    </row>
    <row r="166" spans="1:13" s="210" customFormat="1" ht="24" customHeight="1">
      <c r="A166" s="499"/>
      <c r="B166" s="566" t="s">
        <v>107</v>
      </c>
      <c r="C166" s="535" t="s">
        <v>1333</v>
      </c>
      <c r="D166" s="160">
        <v>240</v>
      </c>
      <c r="E166" s="217" t="s">
        <v>84</v>
      </c>
      <c r="F166" s="505">
        <v>153</v>
      </c>
      <c r="G166" s="526">
        <v>30</v>
      </c>
      <c r="H166" s="526">
        <f>D166*F166</f>
        <v>36720</v>
      </c>
      <c r="I166" s="165">
        <f>D166*G166</f>
        <v>7200</v>
      </c>
      <c r="J166" s="165">
        <f>H166+I166</f>
        <v>43920</v>
      </c>
      <c r="K166" s="502"/>
      <c r="L166" s="682"/>
      <c r="M166" s="503" t="s">
        <v>642</v>
      </c>
    </row>
    <row r="167" spans="1:13" s="210" customFormat="1" ht="24" customHeight="1">
      <c r="A167" s="499"/>
      <c r="B167" s="534" t="s">
        <v>107</v>
      </c>
      <c r="C167" s="535" t="s">
        <v>1334</v>
      </c>
      <c r="D167" s="160">
        <v>60</v>
      </c>
      <c r="E167" s="217" t="s">
        <v>84</v>
      </c>
      <c r="F167" s="505">
        <v>175</v>
      </c>
      <c r="G167" s="526">
        <v>40</v>
      </c>
      <c r="H167" s="526">
        <f>D167*F167</f>
        <v>10500</v>
      </c>
      <c r="I167" s="165">
        <f>D167*G167</f>
        <v>2400</v>
      </c>
      <c r="J167" s="165">
        <f>H167+I167</f>
        <v>12900</v>
      </c>
      <c r="K167" s="502"/>
      <c r="L167" s="682"/>
      <c r="M167" s="503" t="s">
        <v>642</v>
      </c>
    </row>
    <row r="168" spans="1:13" s="210" customFormat="1" ht="24" customHeight="1">
      <c r="A168" s="499" t="s">
        <v>1335</v>
      </c>
      <c r="B168" s="2521" t="s">
        <v>479</v>
      </c>
      <c r="C168" s="2522"/>
      <c r="D168" s="536"/>
      <c r="E168" s="525"/>
      <c r="F168" s="537"/>
      <c r="G168" s="538"/>
      <c r="H168" s="526"/>
      <c r="I168" s="165"/>
      <c r="J168" s="165"/>
      <c r="K168" s="539"/>
      <c r="L168" s="479"/>
      <c r="M168" s="162"/>
    </row>
    <row r="169" spans="1:13" s="210" customFormat="1" ht="24" customHeight="1">
      <c r="A169" s="499"/>
      <c r="B169" s="500" t="s">
        <v>107</v>
      </c>
      <c r="C169" s="540" t="s">
        <v>453</v>
      </c>
      <c r="D169" s="160">
        <v>5</v>
      </c>
      <c r="E169" s="217" t="s">
        <v>5</v>
      </c>
      <c r="F169" s="456">
        <v>700</v>
      </c>
      <c r="G169" s="456">
        <v>200</v>
      </c>
      <c r="H169" s="526">
        <f>D169*F169</f>
        <v>3500</v>
      </c>
      <c r="I169" s="165">
        <f>D169*G169</f>
        <v>1000</v>
      </c>
      <c r="J169" s="165">
        <f>H169+I169</f>
        <v>4500</v>
      </c>
      <c r="K169" s="502"/>
      <c r="L169" s="682"/>
      <c r="M169" s="503" t="s">
        <v>642</v>
      </c>
    </row>
    <row r="170" spans="1:13" s="210" customFormat="1" ht="24" customHeight="1">
      <c r="A170" s="499" t="s">
        <v>1336</v>
      </c>
      <c r="B170" s="541" t="s">
        <v>281</v>
      </c>
      <c r="C170" s="542"/>
      <c r="D170" s="183"/>
      <c r="E170" s="501"/>
      <c r="F170" s="543"/>
      <c r="G170" s="543"/>
      <c r="H170" s="526"/>
      <c r="I170" s="165"/>
      <c r="J170" s="165"/>
      <c r="K170" s="544"/>
      <c r="L170" s="681"/>
      <c r="M170" s="162"/>
    </row>
    <row r="171" spans="1:13" s="210" customFormat="1" ht="24" customHeight="1">
      <c r="A171" s="499"/>
      <c r="B171" s="216" t="s">
        <v>139</v>
      </c>
      <c r="C171" s="547" t="s">
        <v>456</v>
      </c>
      <c r="D171" s="160">
        <v>40</v>
      </c>
      <c r="E171" s="218" t="s">
        <v>85</v>
      </c>
      <c r="F171" s="456">
        <v>350</v>
      </c>
      <c r="G171" s="456">
        <v>60</v>
      </c>
      <c r="H171" s="526">
        <f>D171*F171</f>
        <v>14000</v>
      </c>
      <c r="I171" s="165">
        <f>D171*G171</f>
        <v>2400</v>
      </c>
      <c r="J171" s="165">
        <f>H171+I171</f>
        <v>16400</v>
      </c>
      <c r="K171" s="502"/>
      <c r="L171" s="682"/>
      <c r="M171" s="471" t="s">
        <v>282</v>
      </c>
    </row>
    <row r="172" spans="1:13" s="213" customFormat="1" ht="48">
      <c r="A172" s="545"/>
      <c r="B172" s="546" t="s">
        <v>107</v>
      </c>
      <c r="C172" s="547" t="s">
        <v>1838</v>
      </c>
      <c r="D172" s="270">
        <v>1</v>
      </c>
      <c r="E172" s="548" t="s">
        <v>105</v>
      </c>
      <c r="F172" s="549">
        <f>+SUM(H164:H167)*0.15</f>
        <v>17118</v>
      </c>
      <c r="G172" s="376">
        <f>F172*0.3</f>
        <v>5135.3999999999996</v>
      </c>
      <c r="H172" s="550">
        <f>D172*F172</f>
        <v>17118</v>
      </c>
      <c r="I172" s="550">
        <f>D172*G172</f>
        <v>5135.3999999999996</v>
      </c>
      <c r="J172" s="550">
        <f>H172+I172</f>
        <v>22253.4</v>
      </c>
      <c r="K172" s="551"/>
      <c r="L172" s="678"/>
      <c r="M172" s="558" t="s">
        <v>282</v>
      </c>
    </row>
    <row r="173" spans="1:13" s="213" customFormat="1" ht="48">
      <c r="A173" s="545"/>
      <c r="B173" s="546" t="s">
        <v>107</v>
      </c>
      <c r="C173" s="547" t="s">
        <v>1839</v>
      </c>
      <c r="D173" s="270">
        <v>1</v>
      </c>
      <c r="E173" s="548" t="s">
        <v>105</v>
      </c>
      <c r="F173" s="549">
        <f>+SUM(H148:H154)*0.4</f>
        <v>11596</v>
      </c>
      <c r="G173" s="376">
        <f>F173*0.3</f>
        <v>3478.7999999999997</v>
      </c>
      <c r="H173" s="550">
        <f>D173*F173</f>
        <v>11596</v>
      </c>
      <c r="I173" s="550">
        <f>D173*G173</f>
        <v>3478.7999999999997</v>
      </c>
      <c r="J173" s="550">
        <f>H173+I173</f>
        <v>15074.8</v>
      </c>
      <c r="K173" s="551"/>
      <c r="L173" s="678"/>
      <c r="M173" s="558" t="s">
        <v>282</v>
      </c>
    </row>
    <row r="174" spans="1:13" s="213" customFormat="1" ht="48">
      <c r="A174" s="545"/>
      <c r="B174" s="546" t="s">
        <v>107</v>
      </c>
      <c r="C174" s="571" t="s">
        <v>1840</v>
      </c>
      <c r="D174" s="270">
        <v>1</v>
      </c>
      <c r="E174" s="548" t="s">
        <v>105</v>
      </c>
      <c r="F174" s="549">
        <f>+SUM(H148:H154)*0.05</f>
        <v>1449.5</v>
      </c>
      <c r="G174" s="376">
        <f>F174*0.3</f>
        <v>434.84999999999997</v>
      </c>
      <c r="H174" s="550">
        <f>D174*F174</f>
        <v>1449.5</v>
      </c>
      <c r="I174" s="550">
        <f>D174*G174</f>
        <v>434.84999999999997</v>
      </c>
      <c r="J174" s="550">
        <f>H174+I174</f>
        <v>1884.35</v>
      </c>
      <c r="K174" s="551"/>
      <c r="L174" s="678"/>
      <c r="M174" s="558" t="s">
        <v>282</v>
      </c>
    </row>
    <row r="175" spans="1:13" s="213" customFormat="1" ht="24" customHeight="1">
      <c r="A175" s="552"/>
      <c r="B175" s="553"/>
      <c r="C175" s="554"/>
      <c r="D175" s="486"/>
      <c r="E175" s="555"/>
      <c r="F175" s="377"/>
      <c r="G175" s="377"/>
      <c r="H175" s="556"/>
      <c r="I175" s="556"/>
      <c r="J175" s="556"/>
      <c r="K175" s="557"/>
      <c r="L175" s="678"/>
      <c r="M175" s="558"/>
    </row>
    <row r="176" spans="1:13" s="210" customFormat="1" ht="24" customHeight="1" thickBot="1">
      <c r="A176" s="472"/>
      <c r="B176" s="511"/>
      <c r="C176" s="512" t="str">
        <f>"รวมราคา "&amp;B145</f>
        <v>รวมราคา งานท่อน้ำทิ้งระบบปรับอากาศ</v>
      </c>
      <c r="D176" s="349"/>
      <c r="E176" s="513"/>
      <c r="F176" s="514"/>
      <c r="G176" s="515"/>
      <c r="H176" s="515">
        <f>SUBTOTAL(9,H147:H175)</f>
        <v>190773.5</v>
      </c>
      <c r="I176" s="515">
        <f>SUBTOTAL(9,I147:I175)</f>
        <v>74829.05</v>
      </c>
      <c r="J176" s="515">
        <f>SUBTOTAL(9,J147:J175)</f>
        <v>265602.55</v>
      </c>
      <c r="K176" s="515"/>
      <c r="L176" s="679"/>
      <c r="M176" s="162"/>
    </row>
    <row r="177" spans="1:13" s="210" customFormat="1" ht="24" customHeight="1" thickTop="1">
      <c r="A177" s="493">
        <v>5.6</v>
      </c>
      <c r="B177" s="2523" t="s">
        <v>310</v>
      </c>
      <c r="C177" s="2524"/>
      <c r="D177" s="199"/>
      <c r="E177" s="392"/>
      <c r="F177" s="393"/>
      <c r="G177" s="394"/>
      <c r="H177" s="395"/>
      <c r="I177" s="394"/>
      <c r="J177" s="394"/>
      <c r="K177" s="478"/>
      <c r="L177" s="479"/>
      <c r="M177" s="162"/>
    </row>
    <row r="178" spans="1:13" s="210" customFormat="1" ht="24" customHeight="1">
      <c r="A178" s="519" t="s">
        <v>322</v>
      </c>
      <c r="B178" s="2525" t="s">
        <v>304</v>
      </c>
      <c r="C178" s="2526"/>
      <c r="D178" s="268"/>
      <c r="E178" s="520"/>
      <c r="F178" s="521"/>
      <c r="G178" s="522"/>
      <c r="H178" s="522"/>
      <c r="I178" s="497"/>
      <c r="J178" s="497"/>
      <c r="K178" s="498"/>
      <c r="L178" s="479"/>
      <c r="M178" s="162"/>
    </row>
    <row r="179" spans="1:13" s="210" customFormat="1" ht="24" customHeight="1">
      <c r="A179" s="499"/>
      <c r="B179" s="500" t="s">
        <v>107</v>
      </c>
      <c r="C179" s="524" t="s">
        <v>1337</v>
      </c>
      <c r="D179" s="269">
        <v>2140</v>
      </c>
      <c r="E179" s="525" t="s">
        <v>306</v>
      </c>
      <c r="F179" s="559">
        <v>45</v>
      </c>
      <c r="G179" s="526">
        <v>25</v>
      </c>
      <c r="H179" s="526">
        <f>D179*F179</f>
        <v>96300</v>
      </c>
      <c r="I179" s="165">
        <f>D179*G179</f>
        <v>53500</v>
      </c>
      <c r="J179" s="165">
        <f>H179+I179</f>
        <v>149800</v>
      </c>
      <c r="K179" s="539"/>
      <c r="L179" s="479"/>
      <c r="M179" s="503" t="s">
        <v>642</v>
      </c>
    </row>
    <row r="180" spans="1:13" s="210" customFormat="1" ht="24" customHeight="1">
      <c r="A180" s="499"/>
      <c r="B180" s="500" t="s">
        <v>107</v>
      </c>
      <c r="C180" s="524" t="s">
        <v>305</v>
      </c>
      <c r="D180" s="269">
        <v>7760</v>
      </c>
      <c r="E180" s="525" t="s">
        <v>306</v>
      </c>
      <c r="F180" s="559">
        <v>40</v>
      </c>
      <c r="G180" s="526">
        <v>24</v>
      </c>
      <c r="H180" s="526">
        <f>D180*F180</f>
        <v>310400</v>
      </c>
      <c r="I180" s="165">
        <f>D180*G180</f>
        <v>186240</v>
      </c>
      <c r="J180" s="165">
        <f>H180+I180</f>
        <v>496640</v>
      </c>
      <c r="K180" s="502"/>
      <c r="L180" s="682"/>
      <c r="M180" s="503" t="s">
        <v>642</v>
      </c>
    </row>
    <row r="181" spans="1:13" s="210" customFormat="1" ht="24" customHeight="1">
      <c r="A181" s="560" t="s">
        <v>323</v>
      </c>
      <c r="B181" s="2521" t="s">
        <v>1338</v>
      </c>
      <c r="C181" s="2522"/>
      <c r="D181" s="269"/>
      <c r="E181" s="525"/>
      <c r="F181" s="559"/>
      <c r="G181" s="526"/>
      <c r="H181" s="526"/>
      <c r="I181" s="165"/>
      <c r="J181" s="165"/>
      <c r="K181" s="502"/>
      <c r="L181" s="682"/>
      <c r="M181" s="523"/>
    </row>
    <row r="182" spans="1:13" s="210" customFormat="1" ht="24" customHeight="1">
      <c r="A182" s="499"/>
      <c r="B182" s="500" t="s">
        <v>107</v>
      </c>
      <c r="C182" s="524" t="s">
        <v>1339</v>
      </c>
      <c r="D182" s="269">
        <v>3860</v>
      </c>
      <c r="E182" s="525" t="s">
        <v>306</v>
      </c>
      <c r="F182" s="559">
        <v>20</v>
      </c>
      <c r="G182" s="526">
        <v>12</v>
      </c>
      <c r="H182" s="526">
        <f>D182*F182</f>
        <v>77200</v>
      </c>
      <c r="I182" s="165">
        <f>D182*G182</f>
        <v>46320</v>
      </c>
      <c r="J182" s="165">
        <f>H182+I182</f>
        <v>123520</v>
      </c>
      <c r="K182" s="502"/>
      <c r="L182" s="682"/>
      <c r="M182" s="503" t="s">
        <v>642</v>
      </c>
    </row>
    <row r="183" spans="1:13" s="210" customFormat="1" ht="24" customHeight="1">
      <c r="A183" s="560" t="s">
        <v>324</v>
      </c>
      <c r="B183" s="2521" t="s">
        <v>1340</v>
      </c>
      <c r="C183" s="2522"/>
      <c r="D183" s="269"/>
      <c r="E183" s="525"/>
      <c r="F183" s="559"/>
      <c r="G183" s="526"/>
      <c r="H183" s="526"/>
      <c r="I183" s="165"/>
      <c r="J183" s="165"/>
      <c r="K183" s="502"/>
      <c r="L183" s="682"/>
      <c r="M183" s="523"/>
    </row>
    <row r="184" spans="1:13" s="210" customFormat="1" ht="24" customHeight="1">
      <c r="A184" s="499"/>
      <c r="B184" s="500" t="s">
        <v>107</v>
      </c>
      <c r="C184" s="524" t="s">
        <v>1341</v>
      </c>
      <c r="D184" s="269">
        <v>40</v>
      </c>
      <c r="E184" s="217" t="s">
        <v>84</v>
      </c>
      <c r="F184" s="505">
        <v>960</v>
      </c>
      <c r="G184" s="526">
        <v>500</v>
      </c>
      <c r="H184" s="526">
        <f>D184*F184</f>
        <v>38400</v>
      </c>
      <c r="I184" s="165">
        <f>D184*G184</f>
        <v>20000</v>
      </c>
      <c r="J184" s="165">
        <f>H184+I184</f>
        <v>58400</v>
      </c>
      <c r="K184" s="502"/>
      <c r="L184" s="682"/>
      <c r="M184" s="503" t="s">
        <v>642</v>
      </c>
    </row>
    <row r="185" spans="1:13" s="210" customFormat="1" ht="24" customHeight="1">
      <c r="A185" s="139"/>
      <c r="B185" s="139"/>
      <c r="C185" s="152"/>
      <c r="D185" s="152"/>
      <c r="E185" s="205"/>
      <c r="F185" s="205"/>
      <c r="G185" s="205"/>
      <c r="H185" s="205"/>
      <c r="I185" s="205"/>
      <c r="J185" s="205"/>
      <c r="K185" s="205"/>
      <c r="L185" s="682"/>
      <c r="M185" s="503"/>
    </row>
    <row r="186" spans="1:13" s="210" customFormat="1" ht="24" customHeight="1">
      <c r="A186" s="139"/>
      <c r="B186" s="869"/>
      <c r="C186" s="1013" t="s">
        <v>133</v>
      </c>
      <c r="D186" s="418"/>
      <c r="E186" s="1014"/>
      <c r="F186" s="1014"/>
      <c r="G186" s="868"/>
      <c r="H186" s="868"/>
      <c r="I186" s="866"/>
      <c r="J186" s="866"/>
      <c r="K186" s="492"/>
      <c r="L186" s="682"/>
      <c r="M186" s="503"/>
    </row>
    <row r="187" spans="1:13" s="210" customFormat="1" ht="24" customHeight="1">
      <c r="A187" s="139"/>
      <c r="B187" s="2407" t="s">
        <v>1769</v>
      </c>
      <c r="C187" s="2407"/>
      <c r="D187" s="1017"/>
      <c r="E187" s="1017"/>
      <c r="F187" s="1017"/>
      <c r="G187" s="1017" t="s">
        <v>134</v>
      </c>
      <c r="H187" s="1017"/>
      <c r="I187" s="1017"/>
      <c r="J187" s="1017"/>
      <c r="K187" s="205"/>
      <c r="L187" s="682"/>
      <c r="M187" s="503"/>
    </row>
    <row r="188" spans="1:13" s="210" customFormat="1" ht="24" customHeight="1">
      <c r="A188" s="139"/>
      <c r="B188" s="2408" t="s">
        <v>1970</v>
      </c>
      <c r="C188" s="2408"/>
      <c r="D188" s="419"/>
      <c r="E188" s="419"/>
      <c r="F188" s="419"/>
      <c r="G188" s="1019" t="s">
        <v>1971</v>
      </c>
      <c r="H188" s="419"/>
      <c r="I188" s="419"/>
      <c r="J188" s="419"/>
      <c r="K188" s="174"/>
      <c r="L188" s="682"/>
      <c r="M188" s="503"/>
    </row>
    <row r="189" spans="1:13" s="210" customFormat="1" ht="24" customHeight="1">
      <c r="A189" s="139"/>
      <c r="B189" s="1017" t="s">
        <v>2031</v>
      </c>
      <c r="C189" s="866"/>
      <c r="D189" s="419"/>
      <c r="E189" s="419"/>
      <c r="F189" s="419"/>
      <c r="G189" s="1017" t="s">
        <v>2031</v>
      </c>
      <c r="H189" s="419"/>
      <c r="I189" s="419"/>
      <c r="J189" s="419"/>
      <c r="K189" s="1639"/>
      <c r="L189" s="682"/>
      <c r="M189" s="503"/>
    </row>
    <row r="190" spans="1:13" s="210" customFormat="1" ht="24" customHeight="1">
      <c r="A190" s="139"/>
      <c r="B190" s="419" t="s">
        <v>1984</v>
      </c>
      <c r="C190" s="866"/>
      <c r="D190" s="1017"/>
      <c r="E190" s="1017"/>
      <c r="F190" s="1017"/>
      <c r="G190" s="419" t="s">
        <v>1985</v>
      </c>
      <c r="H190" s="1017"/>
      <c r="I190" s="1017"/>
      <c r="J190" s="1017"/>
      <c r="K190" s="1638"/>
      <c r="L190" s="682"/>
      <c r="M190" s="503"/>
    </row>
    <row r="191" spans="1:13" s="210" customFormat="1" ht="24" customHeight="1">
      <c r="A191" s="139"/>
      <c r="B191" s="1017" t="s">
        <v>670</v>
      </c>
      <c r="C191" s="407"/>
      <c r="D191" s="1021"/>
      <c r="E191" s="869"/>
      <c r="F191" s="401"/>
      <c r="G191" s="401"/>
      <c r="H191" s="401"/>
      <c r="I191" s="401"/>
      <c r="J191" s="401"/>
      <c r="K191" s="174"/>
      <c r="L191" s="682"/>
      <c r="M191" s="503"/>
    </row>
    <row r="192" spans="1:13" s="210" customFormat="1" ht="24" customHeight="1">
      <c r="A192" s="139"/>
      <c r="B192" s="419" t="s">
        <v>1972</v>
      </c>
      <c r="C192" s="407"/>
      <c r="D192" s="1023"/>
      <c r="E192" s="1022"/>
      <c r="F192" s="1024"/>
      <c r="G192" s="1024"/>
      <c r="H192" s="1024"/>
      <c r="I192" s="1024"/>
      <c r="J192" s="1024"/>
      <c r="K192" s="1639"/>
      <c r="L192" s="682"/>
      <c r="M192" s="503"/>
    </row>
    <row r="193" spans="1:13" s="561" customFormat="1" ht="24" customHeight="1">
      <c r="A193" s="560" t="s">
        <v>1342</v>
      </c>
      <c r="B193" s="2521" t="s">
        <v>564</v>
      </c>
      <c r="C193" s="2522"/>
      <c r="D193" s="269"/>
      <c r="E193" s="525"/>
      <c r="F193" s="559"/>
      <c r="G193" s="526"/>
      <c r="H193" s="526"/>
      <c r="I193" s="165"/>
      <c r="J193" s="165"/>
      <c r="K193" s="502"/>
      <c r="L193" s="682"/>
      <c r="M193" s="523">
        <v>0</v>
      </c>
    </row>
    <row r="194" spans="1:13" s="561" customFormat="1" ht="24" customHeight="1">
      <c r="A194" s="562"/>
      <c r="B194" s="500" t="s">
        <v>107</v>
      </c>
      <c r="C194" s="524" t="s">
        <v>1343</v>
      </c>
      <c r="D194" s="269">
        <v>15</v>
      </c>
      <c r="E194" s="525" t="s">
        <v>5</v>
      </c>
      <c r="F194" s="559">
        <v>2450</v>
      </c>
      <c r="G194" s="526">
        <v>540</v>
      </c>
      <c r="H194" s="526">
        <f>D194*F194</f>
        <v>36750</v>
      </c>
      <c r="I194" s="165">
        <f>D194*G194</f>
        <v>8100</v>
      </c>
      <c r="J194" s="165">
        <f>H194+I194</f>
        <v>44850</v>
      </c>
      <c r="K194" s="502"/>
      <c r="L194" s="682"/>
      <c r="M194" s="503" t="s">
        <v>642</v>
      </c>
    </row>
    <row r="195" spans="1:13" s="561" customFormat="1" ht="24" customHeight="1">
      <c r="A195" s="499"/>
      <c r="B195" s="500" t="s">
        <v>107</v>
      </c>
      <c r="C195" s="524" t="s">
        <v>1344</v>
      </c>
      <c r="D195" s="269">
        <v>6</v>
      </c>
      <c r="E195" s="525" t="s">
        <v>5</v>
      </c>
      <c r="F195" s="559">
        <v>7200</v>
      </c>
      <c r="G195" s="526">
        <v>1460</v>
      </c>
      <c r="H195" s="526">
        <f>D195*F195</f>
        <v>43200</v>
      </c>
      <c r="I195" s="165">
        <f>D195*G195</f>
        <v>8760</v>
      </c>
      <c r="J195" s="165">
        <f>H195+I195</f>
        <v>51960</v>
      </c>
      <c r="K195" s="502"/>
      <c r="L195" s="682"/>
      <c r="M195" s="503" t="s">
        <v>642</v>
      </c>
    </row>
    <row r="196" spans="1:13" s="561" customFormat="1" ht="24" customHeight="1">
      <c r="A196" s="499"/>
      <c r="B196" s="500" t="s">
        <v>107</v>
      </c>
      <c r="C196" s="524" t="s">
        <v>1345</v>
      </c>
      <c r="D196" s="269">
        <v>2</v>
      </c>
      <c r="E196" s="525" t="s">
        <v>5</v>
      </c>
      <c r="F196" s="559">
        <v>2100</v>
      </c>
      <c r="G196" s="526">
        <v>750</v>
      </c>
      <c r="H196" s="526">
        <f>D196*F196</f>
        <v>4200</v>
      </c>
      <c r="I196" s="165">
        <f>D196*G196</f>
        <v>1500</v>
      </c>
      <c r="J196" s="165">
        <f>H196+I196</f>
        <v>5700</v>
      </c>
      <c r="K196" s="502"/>
      <c r="L196" s="682"/>
      <c r="M196" s="503" t="s">
        <v>642</v>
      </c>
    </row>
    <row r="197" spans="1:13" s="561" customFormat="1" ht="24" customHeight="1">
      <c r="A197" s="499" t="s">
        <v>1346</v>
      </c>
      <c r="B197" s="665" t="s">
        <v>307</v>
      </c>
      <c r="C197" s="524"/>
      <c r="D197" s="269"/>
      <c r="E197" s="525"/>
      <c r="F197" s="559"/>
      <c r="G197" s="526"/>
      <c r="H197" s="526"/>
      <c r="I197" s="165"/>
      <c r="J197" s="165"/>
      <c r="K197" s="502"/>
      <c r="L197" s="682"/>
      <c r="M197" s="503"/>
    </row>
    <row r="198" spans="1:13" s="210" customFormat="1" ht="24" customHeight="1">
      <c r="A198" s="499"/>
      <c r="B198" s="500" t="s">
        <v>107</v>
      </c>
      <c r="C198" s="524" t="s">
        <v>565</v>
      </c>
      <c r="D198" s="269">
        <v>1</v>
      </c>
      <c r="E198" s="525" t="s">
        <v>5</v>
      </c>
      <c r="F198" s="526">
        <v>320</v>
      </c>
      <c r="G198" s="526">
        <v>125</v>
      </c>
      <c r="H198" s="526">
        <f>D198*F198</f>
        <v>320</v>
      </c>
      <c r="I198" s="165">
        <f>D198*G198</f>
        <v>125</v>
      </c>
      <c r="J198" s="165">
        <f>H198+I198</f>
        <v>445</v>
      </c>
      <c r="K198" s="502"/>
      <c r="L198" s="682"/>
      <c r="M198" s="503" t="s">
        <v>642</v>
      </c>
    </row>
    <row r="199" spans="1:13" s="210" customFormat="1" ht="24" customHeight="1">
      <c r="A199" s="499"/>
      <c r="B199" s="500" t="s">
        <v>107</v>
      </c>
      <c r="C199" s="524" t="s">
        <v>566</v>
      </c>
      <c r="D199" s="269">
        <v>78</v>
      </c>
      <c r="E199" s="525" t="s">
        <v>5</v>
      </c>
      <c r="F199" s="526">
        <v>280</v>
      </c>
      <c r="G199" s="526">
        <v>125</v>
      </c>
      <c r="H199" s="526">
        <f>D199*F199</f>
        <v>21840</v>
      </c>
      <c r="I199" s="165">
        <f>D199*G199</f>
        <v>9750</v>
      </c>
      <c r="J199" s="165">
        <f>H199+I199</f>
        <v>31590</v>
      </c>
      <c r="K199" s="502"/>
      <c r="L199" s="682"/>
      <c r="M199" s="503" t="s">
        <v>642</v>
      </c>
    </row>
    <row r="200" spans="1:13" s="210" customFormat="1" ht="24" customHeight="1">
      <c r="A200" s="499"/>
      <c r="B200" s="500" t="s">
        <v>107</v>
      </c>
      <c r="C200" s="524" t="s">
        <v>1347</v>
      </c>
      <c r="D200" s="269">
        <v>8</v>
      </c>
      <c r="E200" s="525" t="s">
        <v>5</v>
      </c>
      <c r="F200" s="526">
        <v>720</v>
      </c>
      <c r="G200" s="526">
        <v>200</v>
      </c>
      <c r="H200" s="526">
        <f>D200*F200</f>
        <v>5760</v>
      </c>
      <c r="I200" s="165">
        <f>D200*G200</f>
        <v>1600</v>
      </c>
      <c r="J200" s="165">
        <f>H200+I200</f>
        <v>7360</v>
      </c>
      <c r="K200" s="502"/>
      <c r="L200" s="682"/>
      <c r="M200" s="503" t="s">
        <v>642</v>
      </c>
    </row>
    <row r="201" spans="1:13" s="210" customFormat="1" ht="24" customHeight="1">
      <c r="A201" s="499"/>
      <c r="B201" s="500" t="s">
        <v>107</v>
      </c>
      <c r="C201" s="524" t="s">
        <v>1348</v>
      </c>
      <c r="D201" s="269">
        <v>8</v>
      </c>
      <c r="E201" s="525" t="s">
        <v>5</v>
      </c>
      <c r="F201" s="526">
        <v>880</v>
      </c>
      <c r="G201" s="526">
        <v>250</v>
      </c>
      <c r="H201" s="526">
        <f>D201*F201</f>
        <v>7040</v>
      </c>
      <c r="I201" s="165">
        <f>D201*G201</f>
        <v>2000</v>
      </c>
      <c r="J201" s="165">
        <f>H201+I201</f>
        <v>9040</v>
      </c>
      <c r="K201" s="502"/>
      <c r="L201" s="682"/>
      <c r="M201" s="503" t="s">
        <v>642</v>
      </c>
    </row>
    <row r="202" spans="1:13" s="210" customFormat="1" ht="24" customHeight="1">
      <c r="A202" s="499"/>
      <c r="B202" s="500" t="s">
        <v>107</v>
      </c>
      <c r="C202" s="524" t="s">
        <v>1349</v>
      </c>
      <c r="D202" s="269">
        <v>2</v>
      </c>
      <c r="E202" s="525" t="s">
        <v>5</v>
      </c>
      <c r="F202" s="526">
        <v>9600</v>
      </c>
      <c r="G202" s="526">
        <v>3000</v>
      </c>
      <c r="H202" s="526">
        <f>D202*F202</f>
        <v>19200</v>
      </c>
      <c r="I202" s="165">
        <f>D202*G202</f>
        <v>6000</v>
      </c>
      <c r="J202" s="165">
        <f>H202+I202</f>
        <v>25200</v>
      </c>
      <c r="K202" s="502"/>
      <c r="L202" s="682"/>
      <c r="M202" s="503" t="s">
        <v>642</v>
      </c>
    </row>
    <row r="203" spans="1:13" s="211" customFormat="1" ht="24" customHeight="1">
      <c r="A203" s="499" t="s">
        <v>1350</v>
      </c>
      <c r="B203" s="2519" t="s">
        <v>1351</v>
      </c>
      <c r="C203" s="2520"/>
      <c r="D203" s="160"/>
      <c r="E203" s="504"/>
      <c r="F203" s="165"/>
      <c r="G203" s="165"/>
      <c r="H203" s="165"/>
      <c r="I203" s="165"/>
      <c r="J203" s="165"/>
      <c r="K203" s="502"/>
      <c r="L203" s="682"/>
      <c r="M203" s="527"/>
    </row>
    <row r="204" spans="1:13" s="211" customFormat="1" ht="24" customHeight="1">
      <c r="A204" s="499"/>
      <c r="B204" s="500" t="s">
        <v>107</v>
      </c>
      <c r="C204" s="506" t="s">
        <v>1352</v>
      </c>
      <c r="D204" s="160">
        <v>10</v>
      </c>
      <c r="E204" s="504" t="s">
        <v>5</v>
      </c>
      <c r="F204" s="165">
        <v>320</v>
      </c>
      <c r="G204" s="165">
        <v>125</v>
      </c>
      <c r="H204" s="165">
        <f>D204*F204</f>
        <v>3200</v>
      </c>
      <c r="I204" s="165">
        <f>D204*G204</f>
        <v>1250</v>
      </c>
      <c r="J204" s="165">
        <f>H204+I204</f>
        <v>4450</v>
      </c>
      <c r="K204" s="502"/>
      <c r="L204" s="682"/>
      <c r="M204" s="194" t="s">
        <v>1816</v>
      </c>
    </row>
    <row r="205" spans="1:13" s="211" customFormat="1" ht="24" customHeight="1">
      <c r="A205" s="499"/>
      <c r="B205" s="500" t="s">
        <v>107</v>
      </c>
      <c r="C205" s="506" t="s">
        <v>1353</v>
      </c>
      <c r="D205" s="160">
        <v>1</v>
      </c>
      <c r="E205" s="504" t="s">
        <v>5</v>
      </c>
      <c r="F205" s="165">
        <v>18500</v>
      </c>
      <c r="G205" s="165">
        <v>5000</v>
      </c>
      <c r="H205" s="165">
        <f>D205*F205</f>
        <v>18500</v>
      </c>
      <c r="I205" s="165">
        <f>D205*G205</f>
        <v>5000</v>
      </c>
      <c r="J205" s="165">
        <f>H205+I205</f>
        <v>23500</v>
      </c>
      <c r="K205" s="502"/>
      <c r="L205" s="682"/>
      <c r="M205" s="194" t="s">
        <v>1816</v>
      </c>
    </row>
    <row r="206" spans="1:13" s="211" customFormat="1" ht="24" customHeight="1">
      <c r="A206" s="499"/>
      <c r="B206" s="500" t="s">
        <v>107</v>
      </c>
      <c r="C206" s="506" t="s">
        <v>1354</v>
      </c>
      <c r="D206" s="160">
        <v>1</v>
      </c>
      <c r="E206" s="504" t="s">
        <v>5</v>
      </c>
      <c r="F206" s="165">
        <v>8500</v>
      </c>
      <c r="G206" s="165">
        <v>1500</v>
      </c>
      <c r="H206" s="165">
        <f>D206*F206</f>
        <v>8500</v>
      </c>
      <c r="I206" s="165">
        <f>D206*G206</f>
        <v>1500</v>
      </c>
      <c r="J206" s="165">
        <f>H206+I206</f>
        <v>10000</v>
      </c>
      <c r="K206" s="502"/>
      <c r="L206" s="682"/>
      <c r="M206" s="194" t="s">
        <v>1816</v>
      </c>
    </row>
    <row r="207" spans="1:13" s="211" customFormat="1" ht="24" customHeight="1">
      <c r="A207" s="499"/>
      <c r="B207" s="500" t="s">
        <v>107</v>
      </c>
      <c r="C207" s="506" t="s">
        <v>1355</v>
      </c>
      <c r="D207" s="160">
        <v>1</v>
      </c>
      <c r="E207" s="504" t="s">
        <v>5</v>
      </c>
      <c r="F207" s="165">
        <v>4800</v>
      </c>
      <c r="G207" s="165">
        <v>1000</v>
      </c>
      <c r="H207" s="165">
        <f>D207*F207</f>
        <v>4800</v>
      </c>
      <c r="I207" s="165">
        <f>D207*G207</f>
        <v>1000</v>
      </c>
      <c r="J207" s="165">
        <f>H207+I207</f>
        <v>5800</v>
      </c>
      <c r="K207" s="502"/>
      <c r="L207" s="682"/>
      <c r="M207" s="194" t="s">
        <v>1816</v>
      </c>
    </row>
    <row r="208" spans="1:13" s="211" customFormat="1" ht="24" customHeight="1">
      <c r="A208" s="499" t="s">
        <v>1356</v>
      </c>
      <c r="B208" s="2519" t="s">
        <v>1258</v>
      </c>
      <c r="C208" s="2520"/>
      <c r="D208" s="160"/>
      <c r="E208" s="504"/>
      <c r="F208" s="165"/>
      <c r="G208" s="165"/>
      <c r="H208" s="165"/>
      <c r="I208" s="165"/>
      <c r="J208" s="165"/>
      <c r="K208" s="502"/>
      <c r="L208" s="682"/>
      <c r="M208" s="527"/>
    </row>
    <row r="209" spans="1:13" s="211" customFormat="1" ht="24" customHeight="1">
      <c r="A209" s="499"/>
      <c r="B209" s="500" t="s">
        <v>107</v>
      </c>
      <c r="C209" s="506" t="s">
        <v>1259</v>
      </c>
      <c r="D209" s="160">
        <v>16</v>
      </c>
      <c r="E209" s="217" t="s">
        <v>5</v>
      </c>
      <c r="F209" s="165">
        <v>450</v>
      </c>
      <c r="G209" s="456">
        <v>150</v>
      </c>
      <c r="H209" s="165">
        <f>D209*F209</f>
        <v>7200</v>
      </c>
      <c r="I209" s="165">
        <f>D209*G209</f>
        <v>2400</v>
      </c>
      <c r="J209" s="165">
        <f>H209+I209</f>
        <v>9600</v>
      </c>
      <c r="K209" s="502"/>
      <c r="L209" s="682"/>
      <c r="M209" s="503" t="s">
        <v>642</v>
      </c>
    </row>
    <row r="210" spans="1:13" s="211" customFormat="1" ht="24" customHeight="1">
      <c r="A210" s="499" t="s">
        <v>1508</v>
      </c>
      <c r="B210" s="2519" t="s">
        <v>1509</v>
      </c>
      <c r="C210" s="2520"/>
      <c r="D210" s="160"/>
      <c r="E210" s="504"/>
      <c r="F210" s="165"/>
      <c r="G210" s="165"/>
      <c r="H210" s="165"/>
      <c r="I210" s="165"/>
      <c r="J210" s="165"/>
      <c r="K210" s="502"/>
      <c r="L210" s="682"/>
      <c r="M210" s="527"/>
    </row>
    <row r="211" spans="1:13" s="211" customFormat="1" ht="24" customHeight="1">
      <c r="A211" s="499"/>
      <c r="B211" s="500" t="s">
        <v>107</v>
      </c>
      <c r="C211" s="209" t="s">
        <v>1235</v>
      </c>
      <c r="D211" s="164">
        <v>50</v>
      </c>
      <c r="E211" s="528" t="s">
        <v>86</v>
      </c>
      <c r="F211" s="456">
        <v>298</v>
      </c>
      <c r="G211" s="456">
        <v>75</v>
      </c>
      <c r="H211" s="165">
        <f>D211*F211</f>
        <v>14900</v>
      </c>
      <c r="I211" s="165">
        <f>D211*G211</f>
        <v>3750</v>
      </c>
      <c r="J211" s="165">
        <f>H211+I211</f>
        <v>18650</v>
      </c>
      <c r="K211" s="502"/>
      <c r="L211" s="682"/>
      <c r="M211" s="503" t="s">
        <v>642</v>
      </c>
    </row>
    <row r="212" spans="1:13" s="211" customFormat="1" ht="24" customHeight="1">
      <c r="A212" s="499" t="s">
        <v>1788</v>
      </c>
      <c r="B212" s="2519" t="s">
        <v>281</v>
      </c>
      <c r="C212" s="2520"/>
      <c r="D212" s="160"/>
      <c r="E212" s="504"/>
      <c r="F212" s="165"/>
      <c r="G212" s="165"/>
      <c r="H212" s="165"/>
      <c r="I212" s="165"/>
      <c r="J212" s="165"/>
      <c r="K212" s="502"/>
      <c r="L212" s="682"/>
      <c r="M212" s="527">
        <v>0</v>
      </c>
    </row>
    <row r="213" spans="1:13" s="211" customFormat="1" ht="24" customHeight="1">
      <c r="A213" s="499"/>
      <c r="B213" s="500" t="s">
        <v>107</v>
      </c>
      <c r="C213" s="506" t="s">
        <v>1357</v>
      </c>
      <c r="D213" s="164">
        <v>95</v>
      </c>
      <c r="E213" s="501" t="s">
        <v>5</v>
      </c>
      <c r="F213" s="165">
        <v>550</v>
      </c>
      <c r="G213" s="165">
        <v>300</v>
      </c>
      <c r="H213" s="165">
        <f>D213*F213</f>
        <v>52250</v>
      </c>
      <c r="I213" s="165">
        <f>D213*G213</f>
        <v>28500</v>
      </c>
      <c r="J213" s="165">
        <f>H213+I213</f>
        <v>80750</v>
      </c>
      <c r="K213" s="502"/>
      <c r="L213" s="682"/>
      <c r="M213" s="194" t="s">
        <v>1836</v>
      </c>
    </row>
    <row r="214" spans="1:13" s="211" customFormat="1" ht="24" customHeight="1">
      <c r="A214" s="499"/>
      <c r="B214" s="500" t="s">
        <v>107</v>
      </c>
      <c r="C214" s="506" t="s">
        <v>1358</v>
      </c>
      <c r="D214" s="164">
        <v>11</v>
      </c>
      <c r="E214" s="501" t="s">
        <v>5</v>
      </c>
      <c r="F214" s="165">
        <v>1500</v>
      </c>
      <c r="G214" s="165">
        <v>500</v>
      </c>
      <c r="H214" s="165">
        <f>D214*F214</f>
        <v>16500</v>
      </c>
      <c r="I214" s="165">
        <f>D214*G214</f>
        <v>5500</v>
      </c>
      <c r="J214" s="165">
        <f>H214+I214</f>
        <v>22000</v>
      </c>
      <c r="K214" s="502"/>
      <c r="L214" s="682"/>
      <c r="M214" s="194" t="s">
        <v>1836</v>
      </c>
    </row>
    <row r="215" spans="1:13" s="693" customFormat="1" ht="48">
      <c r="A215" s="684"/>
      <c r="B215" s="685" t="s">
        <v>107</v>
      </c>
      <c r="C215" s="569" t="s">
        <v>1841</v>
      </c>
      <c r="D215" s="166">
        <v>1</v>
      </c>
      <c r="E215" s="686" t="s">
        <v>93</v>
      </c>
      <c r="F215" s="687">
        <f>+SUM(H179:H180)*0.3</f>
        <v>122010</v>
      </c>
      <c r="G215" s="688">
        <f>F215*0.3</f>
        <v>36603</v>
      </c>
      <c r="H215" s="689">
        <f>D215*F215</f>
        <v>122010</v>
      </c>
      <c r="I215" s="689">
        <f>D215*G215</f>
        <v>36603</v>
      </c>
      <c r="J215" s="689">
        <f>H215+I215</f>
        <v>158613</v>
      </c>
      <c r="K215" s="690"/>
      <c r="L215" s="691"/>
      <c r="M215" s="692" t="s">
        <v>282</v>
      </c>
    </row>
    <row r="216" spans="1:13" s="693" customFormat="1">
      <c r="A216" s="139"/>
      <c r="B216" s="139"/>
      <c r="C216" s="152"/>
      <c r="D216" s="152"/>
      <c r="E216" s="205"/>
      <c r="F216" s="205"/>
      <c r="G216" s="205"/>
      <c r="H216" s="205"/>
      <c r="I216" s="205"/>
      <c r="J216" s="205"/>
      <c r="K216" s="205"/>
      <c r="L216" s="691"/>
      <c r="M216" s="692"/>
    </row>
    <row r="217" spans="1:13" s="693" customFormat="1">
      <c r="A217" s="139"/>
      <c r="B217" s="869"/>
      <c r="C217" s="1013" t="s">
        <v>133</v>
      </c>
      <c r="D217" s="418"/>
      <c r="E217" s="1014"/>
      <c r="F217" s="1014"/>
      <c r="G217" s="868"/>
      <c r="H217" s="868"/>
      <c r="I217" s="866"/>
      <c r="J217" s="866"/>
      <c r="K217" s="492"/>
      <c r="L217" s="691"/>
      <c r="M217" s="692"/>
    </row>
    <row r="218" spans="1:13" s="693" customFormat="1">
      <c r="A218" s="139"/>
      <c r="B218" s="2407" t="s">
        <v>1769</v>
      </c>
      <c r="C218" s="2407"/>
      <c r="D218" s="1017"/>
      <c r="E218" s="1017"/>
      <c r="F218" s="1017"/>
      <c r="G218" s="1017" t="s">
        <v>134</v>
      </c>
      <c r="H218" s="1017"/>
      <c r="I218" s="1017"/>
      <c r="J218" s="1017"/>
      <c r="K218" s="205"/>
      <c r="L218" s="691"/>
      <c r="M218" s="692"/>
    </row>
    <row r="219" spans="1:13" s="693" customFormat="1">
      <c r="A219" s="139"/>
      <c r="B219" s="2408" t="s">
        <v>1970</v>
      </c>
      <c r="C219" s="2408"/>
      <c r="D219" s="419"/>
      <c r="E219" s="419"/>
      <c r="F219" s="419"/>
      <c r="G219" s="1019" t="s">
        <v>1971</v>
      </c>
      <c r="H219" s="419"/>
      <c r="I219" s="419"/>
      <c r="J219" s="419"/>
      <c r="K219" s="174"/>
      <c r="L219" s="691"/>
      <c r="M219" s="692"/>
    </row>
    <row r="220" spans="1:13" s="693" customFormat="1">
      <c r="A220" s="139"/>
      <c r="B220" s="1017" t="s">
        <v>2031</v>
      </c>
      <c r="C220" s="866"/>
      <c r="D220" s="419"/>
      <c r="E220" s="419"/>
      <c r="F220" s="419"/>
      <c r="G220" s="1017" t="s">
        <v>2031</v>
      </c>
      <c r="H220" s="419"/>
      <c r="I220" s="419"/>
      <c r="J220" s="419"/>
      <c r="K220" s="1639"/>
      <c r="L220" s="691"/>
      <c r="M220" s="692"/>
    </row>
    <row r="221" spans="1:13" s="693" customFormat="1">
      <c r="A221" s="139"/>
      <c r="B221" s="419" t="s">
        <v>1984</v>
      </c>
      <c r="C221" s="866"/>
      <c r="D221" s="1017"/>
      <c r="E221" s="1017"/>
      <c r="F221" s="1017"/>
      <c r="G221" s="419" t="s">
        <v>1985</v>
      </c>
      <c r="H221" s="1017"/>
      <c r="I221" s="1017"/>
      <c r="J221" s="1017"/>
      <c r="K221" s="1638"/>
      <c r="L221" s="691"/>
      <c r="M221" s="692"/>
    </row>
    <row r="222" spans="1:13" s="693" customFormat="1">
      <c r="A222" s="139"/>
      <c r="B222" s="1017" t="s">
        <v>670</v>
      </c>
      <c r="C222" s="407"/>
      <c r="D222" s="1021"/>
      <c r="E222" s="869"/>
      <c r="F222" s="401"/>
      <c r="G222" s="401"/>
      <c r="H222" s="401"/>
      <c r="I222" s="401"/>
      <c r="J222" s="401"/>
      <c r="K222" s="174"/>
      <c r="L222" s="691"/>
      <c r="M222" s="692"/>
    </row>
    <row r="223" spans="1:13" s="693" customFormat="1">
      <c r="A223" s="139"/>
      <c r="B223" s="419" t="s">
        <v>1972</v>
      </c>
      <c r="C223" s="407"/>
      <c r="D223" s="1023"/>
      <c r="E223" s="1022"/>
      <c r="F223" s="1024"/>
      <c r="G223" s="1024"/>
      <c r="H223" s="1024"/>
      <c r="I223" s="1024"/>
      <c r="J223" s="1024"/>
      <c r="K223" s="1639"/>
      <c r="L223" s="691"/>
      <c r="M223" s="692"/>
    </row>
    <row r="224" spans="1:13" s="693" customFormat="1" ht="48">
      <c r="A224" s="694"/>
      <c r="B224" s="695" t="s">
        <v>107</v>
      </c>
      <c r="C224" s="696" t="s">
        <v>171</v>
      </c>
      <c r="D224" s="697">
        <v>1</v>
      </c>
      <c r="E224" s="698" t="s">
        <v>105</v>
      </c>
      <c r="F224" s="687">
        <f>+SUM(H183:H184)*0.1</f>
        <v>3840</v>
      </c>
      <c r="G224" s="688">
        <f>F224*0.3</f>
        <v>1152</v>
      </c>
      <c r="H224" s="699">
        <f>D224*F224</f>
        <v>3840</v>
      </c>
      <c r="I224" s="699">
        <f>D224*G224</f>
        <v>1152</v>
      </c>
      <c r="J224" s="699">
        <f>H224+I224</f>
        <v>4992</v>
      </c>
      <c r="K224" s="700"/>
      <c r="L224" s="691"/>
      <c r="M224" s="692" t="s">
        <v>282</v>
      </c>
    </row>
    <row r="225" spans="1:13" s="693" customFormat="1" ht="48">
      <c r="A225" s="684"/>
      <c r="B225" s="685" t="s">
        <v>107</v>
      </c>
      <c r="C225" s="569" t="s">
        <v>567</v>
      </c>
      <c r="D225" s="701">
        <v>1</v>
      </c>
      <c r="E225" s="702" t="s">
        <v>105</v>
      </c>
      <c r="F225" s="687">
        <f>+SUM(H179:H180)*0.05</f>
        <v>20335</v>
      </c>
      <c r="G225" s="688">
        <f>F225*0.3</f>
        <v>6100.5</v>
      </c>
      <c r="H225" s="689">
        <f>D225*F225</f>
        <v>20335</v>
      </c>
      <c r="I225" s="689">
        <f>D225*G225</f>
        <v>6100.5</v>
      </c>
      <c r="J225" s="689">
        <f>H225+I225</f>
        <v>26435.5</v>
      </c>
      <c r="K225" s="690"/>
      <c r="L225" s="691"/>
      <c r="M225" s="692" t="s">
        <v>282</v>
      </c>
    </row>
    <row r="226" spans="1:13" s="211" customFormat="1" ht="24" customHeight="1">
      <c r="A226" s="508"/>
      <c r="B226" s="529"/>
      <c r="C226" s="530"/>
      <c r="D226" s="201"/>
      <c r="E226" s="531"/>
      <c r="F226" s="457"/>
      <c r="G226" s="457"/>
      <c r="H226" s="448"/>
      <c r="I226" s="448"/>
      <c r="J226" s="448"/>
      <c r="K226" s="510"/>
      <c r="L226" s="682"/>
      <c r="M226" s="471"/>
    </row>
    <row r="227" spans="1:13" s="211" customFormat="1" ht="24" customHeight="1" thickBot="1">
      <c r="A227" s="472"/>
      <c r="B227" s="511"/>
      <c r="C227" s="512" t="str">
        <f>"รวมราคา "&amp;B177</f>
        <v>รวมราคา งานท่อลม และ กริลระบายอากาศ</v>
      </c>
      <c r="D227" s="349"/>
      <c r="E227" s="513"/>
      <c r="F227" s="514"/>
      <c r="G227" s="515"/>
      <c r="H227" s="515">
        <f>SUBTOTAL(9,H178:H226)</f>
        <v>932645</v>
      </c>
      <c r="I227" s="515">
        <f>SUBTOTAL(9,I178:I226)</f>
        <v>436650.5</v>
      </c>
      <c r="J227" s="515">
        <f>SUBTOTAL(9,J178:J226)</f>
        <v>1369295.5</v>
      </c>
      <c r="K227" s="515"/>
      <c r="L227" s="679"/>
      <c r="M227" s="194"/>
    </row>
    <row r="228" spans="1:13" s="211" customFormat="1" ht="24" customHeight="1" thickTop="1">
      <c r="A228" s="493">
        <v>5.7</v>
      </c>
      <c r="B228" s="2523" t="s">
        <v>1359</v>
      </c>
      <c r="C228" s="2524"/>
      <c r="D228" s="199"/>
      <c r="E228" s="392"/>
      <c r="F228" s="393"/>
      <c r="G228" s="394"/>
      <c r="H228" s="394"/>
      <c r="I228" s="394"/>
      <c r="J228" s="394"/>
      <c r="K228" s="478"/>
      <c r="L228" s="479"/>
      <c r="M228" s="194"/>
    </row>
    <row r="229" spans="1:13" s="211" customFormat="1" ht="24" customHeight="1">
      <c r="A229" s="494" t="s">
        <v>1360</v>
      </c>
      <c r="B229" s="2517" t="s">
        <v>1361</v>
      </c>
      <c r="C229" s="2518"/>
      <c r="D229" s="161"/>
      <c r="E229" s="495"/>
      <c r="F229" s="496"/>
      <c r="G229" s="497"/>
      <c r="H229" s="497"/>
      <c r="I229" s="497"/>
      <c r="J229" s="497"/>
      <c r="K229" s="498"/>
      <c r="L229" s="479"/>
      <c r="M229" s="194"/>
    </row>
    <row r="230" spans="1:13" s="211" customFormat="1" ht="24" customHeight="1">
      <c r="A230" s="499"/>
      <c r="B230" s="500" t="s">
        <v>107</v>
      </c>
      <c r="C230" s="483" t="s">
        <v>510</v>
      </c>
      <c r="D230" s="164">
        <v>2430</v>
      </c>
      <c r="E230" s="501" t="s">
        <v>84</v>
      </c>
      <c r="F230" s="456">
        <v>44.33</v>
      </c>
      <c r="G230" s="456">
        <v>22</v>
      </c>
      <c r="H230" s="165">
        <f>D230*F230</f>
        <v>107721.9</v>
      </c>
      <c r="I230" s="165">
        <f>D230*G230</f>
        <v>53460</v>
      </c>
      <c r="J230" s="165">
        <f>H230+I230</f>
        <v>161181.9</v>
      </c>
      <c r="K230" s="502"/>
      <c r="L230" s="682"/>
      <c r="M230" s="503" t="s">
        <v>642</v>
      </c>
    </row>
    <row r="231" spans="1:13" s="211" customFormat="1" ht="24" customHeight="1">
      <c r="A231" s="499"/>
      <c r="B231" s="500" t="s">
        <v>107</v>
      </c>
      <c r="C231" s="483" t="s">
        <v>509</v>
      </c>
      <c r="D231" s="164">
        <v>180</v>
      </c>
      <c r="E231" s="501" t="s">
        <v>84</v>
      </c>
      <c r="F231" s="455">
        <v>77</v>
      </c>
      <c r="G231" s="455">
        <v>26</v>
      </c>
      <c r="H231" s="165">
        <f>D231*F231</f>
        <v>13860</v>
      </c>
      <c r="I231" s="165">
        <f>D231*G231</f>
        <v>4680</v>
      </c>
      <c r="J231" s="165">
        <f>H231+I231</f>
        <v>18540</v>
      </c>
      <c r="K231" s="502"/>
      <c r="L231" s="682"/>
      <c r="M231" s="503" t="s">
        <v>642</v>
      </c>
    </row>
    <row r="232" spans="1:13" s="211" customFormat="1" ht="24" customHeight="1">
      <c r="A232" s="499" t="s">
        <v>1362</v>
      </c>
      <c r="B232" s="2519" t="s">
        <v>1363</v>
      </c>
      <c r="C232" s="2520"/>
      <c r="D232" s="160"/>
      <c r="E232" s="504"/>
      <c r="F232" s="505"/>
      <c r="G232" s="165"/>
      <c r="H232" s="165"/>
      <c r="I232" s="165"/>
      <c r="J232" s="165"/>
      <c r="K232" s="502"/>
      <c r="L232" s="682"/>
      <c r="M232" s="194"/>
    </row>
    <row r="233" spans="1:13" s="211" customFormat="1" ht="24" customHeight="1">
      <c r="A233" s="499"/>
      <c r="B233" s="500" t="s">
        <v>107</v>
      </c>
      <c r="C233" s="506" t="s">
        <v>1364</v>
      </c>
      <c r="D233" s="164">
        <v>200</v>
      </c>
      <c r="E233" s="501" t="s">
        <v>84</v>
      </c>
      <c r="F233" s="456">
        <v>11.4</v>
      </c>
      <c r="G233" s="456">
        <v>7</v>
      </c>
      <c r="H233" s="165">
        <f>D233*F233</f>
        <v>2280</v>
      </c>
      <c r="I233" s="165">
        <f>D233*G233</f>
        <v>1400</v>
      </c>
      <c r="J233" s="165">
        <f>H233+I233</f>
        <v>3680</v>
      </c>
      <c r="K233" s="502"/>
      <c r="L233" s="682"/>
      <c r="M233" s="503" t="s">
        <v>642</v>
      </c>
    </row>
    <row r="234" spans="1:13" s="211" customFormat="1" ht="24" customHeight="1">
      <c r="A234" s="499"/>
      <c r="B234" s="500" t="s">
        <v>107</v>
      </c>
      <c r="C234" s="506" t="s">
        <v>1365</v>
      </c>
      <c r="D234" s="164">
        <v>2200</v>
      </c>
      <c r="E234" s="501" t="s">
        <v>84</v>
      </c>
      <c r="F234" s="165">
        <v>16</v>
      </c>
      <c r="G234" s="165">
        <v>7</v>
      </c>
      <c r="H234" s="165">
        <f>D234*F234</f>
        <v>35200</v>
      </c>
      <c r="I234" s="165">
        <f>D234*G234</f>
        <v>15400</v>
      </c>
      <c r="J234" s="165">
        <f>H234+I234</f>
        <v>50600</v>
      </c>
      <c r="K234" s="502"/>
      <c r="L234" s="682"/>
      <c r="M234" s="503" t="s">
        <v>642</v>
      </c>
    </row>
    <row r="235" spans="1:13" s="211" customFormat="1" ht="24" customHeight="1">
      <c r="A235" s="499" t="s">
        <v>1366</v>
      </c>
      <c r="B235" s="2519" t="s">
        <v>281</v>
      </c>
      <c r="C235" s="2520"/>
      <c r="D235" s="160"/>
      <c r="E235" s="504"/>
      <c r="F235" s="505"/>
      <c r="G235" s="165"/>
      <c r="H235" s="165"/>
      <c r="I235" s="165"/>
      <c r="J235" s="165"/>
      <c r="K235" s="502"/>
      <c r="L235" s="682"/>
      <c r="M235" s="194"/>
    </row>
    <row r="236" spans="1:13" s="211" customFormat="1" ht="24" customHeight="1">
      <c r="A236" s="215"/>
      <c r="B236" s="216" t="s">
        <v>139</v>
      </c>
      <c r="C236" s="507" t="s">
        <v>1842</v>
      </c>
      <c r="D236" s="160">
        <v>1</v>
      </c>
      <c r="E236" s="217" t="s">
        <v>105</v>
      </c>
      <c r="F236" s="456">
        <f>SUM(H233:H235)*0.05</f>
        <v>1874</v>
      </c>
      <c r="G236" s="456">
        <v>0</v>
      </c>
      <c r="H236" s="456">
        <f>F236*D236</f>
        <v>1874</v>
      </c>
      <c r="I236" s="456">
        <f>D236*G236</f>
        <v>0</v>
      </c>
      <c r="J236" s="456">
        <f>H236+I236</f>
        <v>1874</v>
      </c>
      <c r="K236" s="456"/>
      <c r="L236" s="675"/>
      <c r="M236" s="471" t="s">
        <v>282</v>
      </c>
    </row>
    <row r="237" spans="1:13" s="211" customFormat="1" ht="24" customHeight="1">
      <c r="A237" s="215"/>
      <c r="B237" s="489" t="s">
        <v>139</v>
      </c>
      <c r="C237" s="507" t="s">
        <v>1843</v>
      </c>
      <c r="D237" s="160">
        <v>1</v>
      </c>
      <c r="E237" s="217" t="s">
        <v>105</v>
      </c>
      <c r="F237" s="456">
        <f>SUM(H230:H231)*0.15</f>
        <v>18237.285</v>
      </c>
      <c r="G237" s="456">
        <v>0</v>
      </c>
      <c r="H237" s="456">
        <f>F237*D237</f>
        <v>18237.285</v>
      </c>
      <c r="I237" s="456">
        <f>D237*G237</f>
        <v>0</v>
      </c>
      <c r="J237" s="456">
        <f>H237+I237</f>
        <v>18237.285</v>
      </c>
      <c r="K237" s="456"/>
      <c r="L237" s="675"/>
      <c r="M237" s="471" t="s">
        <v>282</v>
      </c>
    </row>
    <row r="238" spans="1:13" s="211" customFormat="1" ht="24" customHeight="1">
      <c r="A238" s="508"/>
      <c r="B238" s="509"/>
      <c r="C238" s="487"/>
      <c r="D238" s="201"/>
      <c r="E238" s="378"/>
      <c r="F238" s="457"/>
      <c r="G238" s="457"/>
      <c r="H238" s="457"/>
      <c r="I238" s="457"/>
      <c r="J238" s="457"/>
      <c r="K238" s="510"/>
      <c r="L238" s="682"/>
      <c r="M238" s="194"/>
    </row>
    <row r="239" spans="1:13" s="211" customFormat="1" ht="24" customHeight="1" thickBot="1">
      <c r="A239" s="472"/>
      <c r="B239" s="511"/>
      <c r="C239" s="512" t="str">
        <f>"รวมราคา "&amp;B228</f>
        <v>รวมราคา งานท่อและสายควบคุมระบบปรับอากาศ</v>
      </c>
      <c r="D239" s="349"/>
      <c r="E239" s="513"/>
      <c r="F239" s="514"/>
      <c r="G239" s="515"/>
      <c r="H239" s="515">
        <f>SUBTOTAL(9,H229:H238)</f>
        <v>179173.185</v>
      </c>
      <c r="I239" s="515">
        <f>SUBTOTAL(9,I229:I238)</f>
        <v>74940</v>
      </c>
      <c r="J239" s="515">
        <f>SUBTOTAL(9,J229:J238)</f>
        <v>254113.185</v>
      </c>
      <c r="K239" s="515"/>
      <c r="L239" s="679"/>
      <c r="M239" s="194"/>
    </row>
    <row r="240" spans="1:13" s="194" customFormat="1" ht="24" customHeight="1" thickTop="1" thickBot="1">
      <c r="A240" s="301"/>
      <c r="B240" s="481"/>
      <c r="C240" s="516" t="str">
        <f>"รวมราคา "&amp;B12</f>
        <v xml:space="preserve">รวมราคา งานระบบปรับอากาศ และระบายอากาศ </v>
      </c>
      <c r="D240" s="380"/>
      <c r="E240" s="517"/>
      <c r="F240" s="518"/>
      <c r="G240" s="518"/>
      <c r="H240" s="518">
        <f>+H239+H227+H176+H144+H109+H75+H57</f>
        <v>5361987.6850000005</v>
      </c>
      <c r="I240" s="518">
        <f>+I239+I227+I176+I144+I109+I75+I57</f>
        <v>2104162.35</v>
      </c>
      <c r="J240" s="518">
        <f>+J239+J227+J176+J144+J109+J75+J57</f>
        <v>7466150.0350000001</v>
      </c>
      <c r="K240" s="518"/>
      <c r="L240" s="683"/>
      <c r="M240" s="178"/>
    </row>
    <row r="241" spans="1:12" s="211" customFormat="1" ht="24" customHeight="1" thickTop="1">
      <c r="A241" s="139"/>
      <c r="B241" s="139"/>
      <c r="C241" s="152"/>
      <c r="D241" s="152"/>
      <c r="E241" s="205"/>
      <c r="F241" s="205"/>
      <c r="G241" s="205"/>
      <c r="H241" s="205"/>
      <c r="I241" s="205"/>
      <c r="J241" s="205"/>
      <c r="K241" s="205"/>
      <c r="L241" s="492"/>
    </row>
    <row r="242" spans="1:12" s="211" customFormat="1" ht="24" customHeight="1">
      <c r="A242" s="139"/>
      <c r="B242" s="869"/>
      <c r="C242" s="1013" t="s">
        <v>133</v>
      </c>
      <c r="D242" s="418"/>
      <c r="E242" s="1014"/>
      <c r="F242" s="1014"/>
      <c r="G242" s="868"/>
      <c r="H242" s="868"/>
      <c r="I242" s="866"/>
      <c r="J242" s="866"/>
      <c r="K242" s="492"/>
      <c r="L242" s="492"/>
    </row>
    <row r="243" spans="1:12" s="211" customFormat="1" ht="24" customHeight="1">
      <c r="A243" s="139"/>
      <c r="B243" s="2407" t="s">
        <v>1769</v>
      </c>
      <c r="C243" s="2407"/>
      <c r="D243" s="1017"/>
      <c r="E243" s="1017"/>
      <c r="F243" s="1017"/>
      <c r="G243" s="1017" t="s">
        <v>134</v>
      </c>
      <c r="H243" s="1017"/>
      <c r="I243" s="1017"/>
      <c r="J243" s="1017"/>
      <c r="K243" s="205"/>
      <c r="L243" s="492"/>
    </row>
    <row r="244" spans="1:12" s="211" customFormat="1" ht="24" customHeight="1">
      <c r="A244" s="139"/>
      <c r="B244" s="2408" t="s">
        <v>1970</v>
      </c>
      <c r="C244" s="2408"/>
      <c r="D244" s="419"/>
      <c r="E244" s="419"/>
      <c r="F244" s="419"/>
      <c r="G244" s="1019" t="s">
        <v>1971</v>
      </c>
      <c r="H244" s="419"/>
      <c r="I244" s="419"/>
      <c r="J244" s="419"/>
      <c r="K244" s="174"/>
      <c r="L244" s="262"/>
    </row>
    <row r="245" spans="1:12" s="211" customFormat="1" ht="24" customHeight="1">
      <c r="A245" s="139"/>
      <c r="B245" s="1017" t="s">
        <v>2031</v>
      </c>
      <c r="C245" s="866"/>
      <c r="D245" s="419"/>
      <c r="E245" s="419"/>
      <c r="F245" s="419"/>
      <c r="G245" s="1017" t="s">
        <v>2031</v>
      </c>
      <c r="H245" s="419"/>
      <c r="I245" s="419"/>
      <c r="J245" s="419"/>
      <c r="K245" s="262"/>
      <c r="L245" s="262"/>
    </row>
    <row r="246" spans="1:12" s="211" customFormat="1" ht="24" customHeight="1">
      <c r="A246" s="139"/>
      <c r="B246" s="419" t="s">
        <v>1984</v>
      </c>
      <c r="C246" s="866"/>
      <c r="D246" s="1017"/>
      <c r="E246" s="1017"/>
      <c r="F246" s="1017"/>
      <c r="G246" s="419" t="s">
        <v>1985</v>
      </c>
      <c r="H246" s="1017"/>
      <c r="I246" s="1017"/>
      <c r="J246" s="1017"/>
      <c r="K246" s="176"/>
      <c r="L246" s="261"/>
    </row>
    <row r="247" spans="1:12" s="211" customFormat="1" ht="24" customHeight="1">
      <c r="A247" s="139"/>
      <c r="B247" s="1017" t="s">
        <v>670</v>
      </c>
      <c r="C247" s="407"/>
      <c r="D247" s="1021"/>
      <c r="E247" s="869"/>
      <c r="F247" s="401"/>
      <c r="G247" s="401"/>
      <c r="H247" s="401"/>
      <c r="I247" s="401"/>
      <c r="J247" s="401"/>
      <c r="K247" s="174"/>
      <c r="L247" s="262"/>
    </row>
    <row r="248" spans="1:12" s="211" customFormat="1" ht="24" customHeight="1">
      <c r="A248" s="139"/>
      <c r="B248" s="419" t="s">
        <v>1972</v>
      </c>
      <c r="C248" s="407"/>
      <c r="D248" s="1023"/>
      <c r="E248" s="1022"/>
      <c r="F248" s="1024"/>
      <c r="G248" s="1024"/>
      <c r="H248" s="1024"/>
      <c r="I248" s="1024"/>
      <c r="J248" s="1024"/>
      <c r="K248" s="262"/>
      <c r="L248" s="262"/>
    </row>
    <row r="249" spans="1:12" s="211" customFormat="1" ht="24" customHeight="1">
      <c r="A249" s="137"/>
      <c r="B249" s="137"/>
      <c r="C249" s="176"/>
      <c r="D249" s="137"/>
      <c r="E249" s="137"/>
      <c r="F249" s="137"/>
      <c r="G249" s="137"/>
      <c r="H249" s="137"/>
      <c r="I249" s="137"/>
      <c r="J249" s="137"/>
      <c r="K249" s="137"/>
      <c r="L249" s="137"/>
    </row>
    <row r="250" spans="1:12" s="210" customFormat="1" ht="24" customHeight="1">
      <c r="A250" s="162"/>
      <c r="B250" s="162"/>
      <c r="C250" s="262"/>
      <c r="D250" s="162"/>
      <c r="E250" s="162"/>
      <c r="F250" s="162"/>
      <c r="G250" s="162"/>
      <c r="H250" s="162"/>
      <c r="I250" s="162"/>
      <c r="J250" s="162"/>
      <c r="K250" s="162"/>
      <c r="L250" s="162"/>
    </row>
    <row r="251" spans="1:12" s="210" customFormat="1" ht="24" customHeight="1">
      <c r="A251" s="162"/>
      <c r="B251" s="162"/>
      <c r="C251" s="162"/>
      <c r="D251" s="2343"/>
      <c r="E251" s="2343"/>
      <c r="F251" s="2343"/>
      <c r="G251" s="2343"/>
      <c r="H251" s="2343"/>
      <c r="I251" s="2343"/>
      <c r="J251" s="2343"/>
      <c r="K251" s="2343"/>
      <c r="L251" s="162"/>
    </row>
  </sheetData>
  <autoFilter ref="C1:C249" xr:uid="{00000000-0009-0000-0000-00000C000000}">
    <filterColumn colId="0">
      <filters>
        <filter val="รวมราคางานเครื่องปรับอากาศ ระบบ VRF"/>
        <filter val="รวมราคางานเครื่องปรับอากาศแบบแยกส่วน"/>
        <filter val="รวมราคางานท่อทองแดง และฉนวน"/>
        <filter val="รวมราคางานท่อน้ำทิ้ง พร้อมฉนวน"/>
        <filter val="รวมราคางานท่อลม และ กริลระบายอากาศ"/>
        <filter val="รวมราคางานระบปรับอากาศและระบายอากาศ"/>
        <filter val="รวมราคาพัดลมระบายอากาศ"/>
      </filters>
    </filterColumn>
  </autoFilter>
  <mergeCells count="54">
    <mergeCell ref="B212:C212"/>
    <mergeCell ref="B243:C243"/>
    <mergeCell ref="B244:C244"/>
    <mergeCell ref="B11:C11"/>
    <mergeCell ref="B12:C12"/>
    <mergeCell ref="B13:C13"/>
    <mergeCell ref="B14:C14"/>
    <mergeCell ref="B76:C76"/>
    <mergeCell ref="B110:C110"/>
    <mergeCell ref="B145:C145"/>
    <mergeCell ref="B147:C147"/>
    <mergeCell ref="B111:C111"/>
    <mergeCell ref="B121:C121"/>
    <mergeCell ref="B146:C146"/>
    <mergeCell ref="B218:C218"/>
    <mergeCell ref="B219:C219"/>
    <mergeCell ref="A1:K1"/>
    <mergeCell ref="A2:A8"/>
    <mergeCell ref="A9:A10"/>
    <mergeCell ref="B9:C10"/>
    <mergeCell ref="D9:D10"/>
    <mergeCell ref="E9:E10"/>
    <mergeCell ref="F9:G9"/>
    <mergeCell ref="H9:I9"/>
    <mergeCell ref="J9:J10"/>
    <mergeCell ref="K9:K10"/>
    <mergeCell ref="D251:K251"/>
    <mergeCell ref="B149:C149"/>
    <mergeCell ref="B163:C163"/>
    <mergeCell ref="B229:C229"/>
    <mergeCell ref="B232:C232"/>
    <mergeCell ref="B235:C235"/>
    <mergeCell ref="B168:C168"/>
    <mergeCell ref="B177:C177"/>
    <mergeCell ref="B181:C181"/>
    <mergeCell ref="B183:C183"/>
    <mergeCell ref="B193:C193"/>
    <mergeCell ref="B178:C178"/>
    <mergeCell ref="B228:C228"/>
    <mergeCell ref="B203:C203"/>
    <mergeCell ref="B208:C208"/>
    <mergeCell ref="B210:C210"/>
    <mergeCell ref="B187:C187"/>
    <mergeCell ref="B188:C188"/>
    <mergeCell ref="B157:C157"/>
    <mergeCell ref="B158:C158"/>
    <mergeCell ref="B128:C128"/>
    <mergeCell ref="B129:C129"/>
    <mergeCell ref="B96:C96"/>
    <mergeCell ref="B97:C97"/>
    <mergeCell ref="B67:C67"/>
    <mergeCell ref="B68:C68"/>
    <mergeCell ref="B36:C36"/>
    <mergeCell ref="B37:C37"/>
  </mergeCells>
  <printOptions horizontalCentered="1"/>
  <pageMargins left="0.23622047244094499" right="0.23622047244094499" top="0.511811023622047" bottom="0.27559055118110198" header="0.511811023622047" footer="0.31496062992126"/>
  <pageSetup paperSize="9" scale="53" fitToHeight="0" orientation="landscape" r:id="rId1"/>
  <headerFooter alignWithMargins="0">
    <oddHeader>&amp;R&amp;"TH Sarabun New,ตัวหนา"&amp;16แบบ ปร.4 หน้าที่ &amp;P จาก &amp;N</oddHeader>
  </headerFooter>
  <rowBreaks count="7" manualBreakCount="7">
    <brk id="41" max="10" man="1"/>
    <brk id="72" max="10" man="1"/>
    <brk id="101" max="10" man="1"/>
    <brk id="133" max="10" man="1"/>
    <brk id="162" max="10" man="1"/>
    <brk id="192" max="10" man="1"/>
    <brk id="223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M33"/>
  <sheetViews>
    <sheetView showGridLines="0" showWhiteSpace="0" view="pageBreakPreview" zoomScale="85" zoomScaleNormal="50" zoomScaleSheetLayoutView="85" zoomScalePageLayoutView="40" workbookViewId="0">
      <selection activeCell="A30" sqref="A30"/>
    </sheetView>
  </sheetViews>
  <sheetFormatPr defaultColWidth="9.42578125" defaultRowHeight="24"/>
  <cols>
    <col min="1" max="1" width="20.42578125" style="755" customWidth="1"/>
    <col min="2" max="2" width="66.42578125" style="704" customWidth="1"/>
    <col min="3" max="3" width="7.7109375" style="756" bestFit="1" customWidth="1"/>
    <col min="4" max="4" width="7.28515625" style="755" bestFit="1" customWidth="1"/>
    <col min="5" max="9" width="16.42578125" style="136" customWidth="1"/>
    <col min="10" max="10" width="17.28515625" style="136" customWidth="1"/>
    <col min="11" max="11" width="36.5703125" style="136" customWidth="1"/>
    <col min="12" max="12" width="15.42578125" style="136" bestFit="1" customWidth="1"/>
    <col min="13" max="13" width="9.42578125" style="136"/>
    <col min="14" max="16384" width="9.42578125" style="703"/>
  </cols>
  <sheetData>
    <row r="1" spans="1:13" ht="27.75">
      <c r="A1" s="2543" t="str">
        <f>'ส่วนงานที่1 '!A1:F1</f>
        <v xml:space="preserve">แบบแสดงรายการ ปริมาณงาน และราคา  </v>
      </c>
      <c r="B1" s="2543"/>
      <c r="C1" s="2543"/>
      <c r="D1" s="2543"/>
      <c r="E1" s="2543"/>
      <c r="F1" s="2543"/>
      <c r="G1" s="2543"/>
      <c r="H1" s="2543"/>
      <c r="I1" s="2543"/>
      <c r="J1" s="2543"/>
      <c r="K1" s="703"/>
      <c r="L1" s="703"/>
      <c r="M1" s="703"/>
    </row>
    <row r="2" spans="1:13" s="133" customFormat="1">
      <c r="A2" s="2362"/>
      <c r="B2" s="704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C2" s="132"/>
      <c r="D2" s="132"/>
      <c r="E2" s="132"/>
      <c r="F2" s="132"/>
      <c r="G2" s="132"/>
      <c r="H2" s="132"/>
      <c r="I2" s="132"/>
      <c r="J2" s="705"/>
    </row>
    <row r="3" spans="1:13" s="133" customFormat="1">
      <c r="A3" s="2362"/>
      <c r="B3" s="704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C3" s="132"/>
      <c r="D3" s="132"/>
      <c r="E3" s="132"/>
      <c r="F3" s="132"/>
      <c r="G3" s="132"/>
      <c r="H3" s="132"/>
      <c r="I3" s="132"/>
      <c r="J3" s="705"/>
    </row>
    <row r="4" spans="1:13" s="133" customFormat="1">
      <c r="A4" s="2362"/>
      <c r="B4" s="704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4" s="132"/>
      <c r="D4" s="132"/>
      <c r="E4" s="132"/>
      <c r="F4" s="132"/>
      <c r="G4" s="132"/>
      <c r="H4" s="132"/>
      <c r="I4" s="132"/>
      <c r="J4" s="705"/>
    </row>
    <row r="5" spans="1:13" s="133" customFormat="1">
      <c r="A5" s="2362"/>
      <c r="B5" s="704" t="str">
        <f>ปร6!B5</f>
        <v>แบบเลขที่  RMUTP-DOA-63-4-PL001.</v>
      </c>
      <c r="C5" s="132"/>
      <c r="D5" s="132"/>
      <c r="E5" s="132"/>
      <c r="F5" s="132"/>
      <c r="G5" s="132"/>
      <c r="H5" s="132"/>
      <c r="I5" s="132"/>
      <c r="J5" s="705"/>
    </row>
    <row r="6" spans="1:13" s="706" customFormat="1">
      <c r="A6" s="2362"/>
      <c r="B6" s="704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32"/>
      <c r="D6" s="132"/>
      <c r="E6" s="132"/>
      <c r="F6" s="132"/>
      <c r="G6" s="132"/>
      <c r="H6" s="132"/>
      <c r="I6" s="132"/>
      <c r="J6" s="705"/>
    </row>
    <row r="7" spans="1:13" s="706" customFormat="1">
      <c r="A7" s="2362"/>
      <c r="B7" s="704" t="str">
        <f>ปร6!B7</f>
        <v>คำนวณราคากลาง   เมื่อวันที่ 16  เดือน สิงหาคม พ.ศ. 2567</v>
      </c>
      <c r="C7" s="132"/>
      <c r="D7" s="132"/>
      <c r="E7" s="132"/>
      <c r="F7" s="132"/>
      <c r="G7" s="132"/>
      <c r="H7" s="132"/>
      <c r="I7" s="132"/>
      <c r="J7" s="707" t="s">
        <v>146</v>
      </c>
    </row>
    <row r="8" spans="1:13" s="708" customFormat="1">
      <c r="A8" s="2362"/>
      <c r="B8" s="132"/>
      <c r="C8" s="132"/>
      <c r="D8" s="132"/>
      <c r="E8" s="132"/>
      <c r="F8" s="132"/>
      <c r="G8" s="132"/>
      <c r="H8" s="132"/>
      <c r="I8" s="132"/>
      <c r="J8" s="132"/>
    </row>
    <row r="9" spans="1:13" s="711" customFormat="1" ht="27.75">
      <c r="A9" s="2545" t="s">
        <v>52</v>
      </c>
      <c r="B9" s="2545" t="s">
        <v>53</v>
      </c>
      <c r="C9" s="2545" t="s">
        <v>54</v>
      </c>
      <c r="D9" s="2545" t="s">
        <v>55</v>
      </c>
      <c r="E9" s="2544" t="s">
        <v>1772</v>
      </c>
      <c r="F9" s="2544"/>
      <c r="G9" s="2544" t="s">
        <v>1772</v>
      </c>
      <c r="H9" s="2544"/>
      <c r="I9" s="2546" t="s">
        <v>64</v>
      </c>
      <c r="J9" s="2545" t="s">
        <v>58</v>
      </c>
      <c r="K9" s="709"/>
      <c r="L9" s="710"/>
      <c r="M9" s="710"/>
    </row>
    <row r="10" spans="1:13" s="711" customFormat="1" ht="27.75">
      <c r="A10" s="2545"/>
      <c r="B10" s="2545"/>
      <c r="C10" s="2545"/>
      <c r="D10" s="2545"/>
      <c r="E10" s="712" t="s">
        <v>59</v>
      </c>
      <c r="F10" s="712" t="s">
        <v>60</v>
      </c>
      <c r="G10" s="712" t="s">
        <v>62</v>
      </c>
      <c r="H10" s="712" t="s">
        <v>63</v>
      </c>
      <c r="I10" s="2547"/>
      <c r="J10" s="2545"/>
      <c r="K10" s="709"/>
      <c r="L10" s="710"/>
      <c r="M10" s="710"/>
    </row>
    <row r="11" spans="1:13" s="132" customFormat="1">
      <c r="A11" s="713"/>
      <c r="B11" s="714" t="s">
        <v>81</v>
      </c>
      <c r="C11" s="715"/>
      <c r="D11" s="716"/>
      <c r="E11" s="716"/>
      <c r="F11" s="716"/>
      <c r="G11" s="716"/>
      <c r="H11" s="717"/>
      <c r="I11" s="717"/>
      <c r="J11" s="717"/>
      <c r="K11" s="718"/>
    </row>
    <row r="12" spans="1:13" s="132" customFormat="1">
      <c r="A12" s="719">
        <v>6</v>
      </c>
      <c r="B12" s="720" t="s">
        <v>138</v>
      </c>
      <c r="C12" s="721"/>
      <c r="D12" s="722"/>
      <c r="E12" s="723"/>
      <c r="F12" s="723"/>
      <c r="G12" s="724"/>
      <c r="H12" s="724"/>
      <c r="I12" s="724"/>
      <c r="J12" s="725"/>
      <c r="K12" s="718"/>
    </row>
    <row r="13" spans="1:13" s="734" customFormat="1">
      <c r="A13" s="726">
        <v>6.1</v>
      </c>
      <c r="B13" s="727" t="s">
        <v>1811</v>
      </c>
      <c r="C13" s="728">
        <v>1</v>
      </c>
      <c r="D13" s="729" t="s">
        <v>5</v>
      </c>
      <c r="E13" s="728">
        <v>0</v>
      </c>
      <c r="F13" s="728">
        <f>2850000*30%</f>
        <v>855000</v>
      </c>
      <c r="G13" s="730">
        <f>E13*C13</f>
        <v>0</v>
      </c>
      <c r="H13" s="730">
        <f>F13*C13</f>
        <v>855000</v>
      </c>
      <c r="I13" s="730">
        <f>G13+H13</f>
        <v>855000</v>
      </c>
      <c r="J13" s="1599" t="s">
        <v>1993</v>
      </c>
      <c r="K13" s="732" t="s">
        <v>1891</v>
      </c>
      <c r="L13" s="733"/>
      <c r="M13" s="733"/>
    </row>
    <row r="14" spans="1:13" s="734" customFormat="1">
      <c r="A14" s="726">
        <v>6.2</v>
      </c>
      <c r="B14" s="727" t="s">
        <v>1812</v>
      </c>
      <c r="C14" s="728">
        <v>1</v>
      </c>
      <c r="D14" s="729" t="s">
        <v>5</v>
      </c>
      <c r="E14" s="728">
        <v>0</v>
      </c>
      <c r="F14" s="728">
        <f>2850000*30%</f>
        <v>855000</v>
      </c>
      <c r="G14" s="730">
        <f>E14*C14</f>
        <v>0</v>
      </c>
      <c r="H14" s="730">
        <f>F14*C14</f>
        <v>855000</v>
      </c>
      <c r="I14" s="730">
        <f>G14+H14</f>
        <v>855000</v>
      </c>
      <c r="J14" s="1599" t="s">
        <v>1993</v>
      </c>
      <c r="K14" s="732" t="s">
        <v>1891</v>
      </c>
      <c r="L14" s="733"/>
      <c r="M14" s="733"/>
    </row>
    <row r="15" spans="1:13" s="734" customFormat="1">
      <c r="A15" s="735">
        <v>6.3</v>
      </c>
      <c r="B15" s="736" t="s">
        <v>1813</v>
      </c>
      <c r="C15" s="737">
        <v>1</v>
      </c>
      <c r="D15" s="738" t="s">
        <v>5</v>
      </c>
      <c r="E15" s="737">
        <v>0</v>
      </c>
      <c r="F15" s="737">
        <f>3000000*30%</f>
        <v>900000</v>
      </c>
      <c r="G15" s="730">
        <f>E15*C15</f>
        <v>0</v>
      </c>
      <c r="H15" s="739">
        <f>F15*C15</f>
        <v>900000</v>
      </c>
      <c r="I15" s="739">
        <f>G15+H15</f>
        <v>900000</v>
      </c>
      <c r="J15" s="1599" t="s">
        <v>1993</v>
      </c>
      <c r="K15" s="740" t="s">
        <v>1891</v>
      </c>
      <c r="L15" s="733"/>
      <c r="M15" s="733"/>
    </row>
    <row r="16" spans="1:13">
      <c r="A16" s="735">
        <v>6.4</v>
      </c>
      <c r="B16" s="736" t="s">
        <v>601</v>
      </c>
      <c r="C16" s="737">
        <v>3</v>
      </c>
      <c r="D16" s="738" t="s">
        <v>269</v>
      </c>
      <c r="E16" s="737"/>
      <c r="F16" s="737">
        <v>0</v>
      </c>
      <c r="G16" s="730">
        <f>E16*C16</f>
        <v>0</v>
      </c>
      <c r="H16" s="739">
        <f>F16*C16</f>
        <v>0</v>
      </c>
      <c r="I16" s="739">
        <f>G16+H16</f>
        <v>0</v>
      </c>
      <c r="J16" s="731"/>
      <c r="K16" s="741"/>
      <c r="L16" s="742"/>
      <c r="M16" s="742"/>
    </row>
    <row r="17" spans="1:10">
      <c r="A17" s="743"/>
      <c r="B17" s="744"/>
      <c r="C17" s="745"/>
      <c r="D17" s="746"/>
      <c r="E17" s="747"/>
      <c r="F17" s="747"/>
      <c r="G17" s="748"/>
      <c r="H17" s="749"/>
      <c r="I17" s="749"/>
      <c r="J17" s="731"/>
    </row>
    <row r="18" spans="1:10">
      <c r="A18" s="743"/>
      <c r="B18" s="744"/>
      <c r="C18" s="745"/>
      <c r="D18" s="746"/>
      <c r="E18" s="747"/>
      <c r="F18" s="747"/>
      <c r="G18" s="748"/>
      <c r="H18" s="749"/>
      <c r="I18" s="749"/>
      <c r="J18" s="731"/>
    </row>
    <row r="19" spans="1:10">
      <c r="A19" s="743"/>
      <c r="B19" s="744"/>
      <c r="C19" s="745"/>
      <c r="D19" s="746"/>
      <c r="E19" s="747"/>
      <c r="F19" s="747"/>
      <c r="G19" s="748"/>
      <c r="H19" s="749"/>
      <c r="I19" s="749"/>
      <c r="J19" s="731"/>
    </row>
    <row r="20" spans="1:10">
      <c r="A20" s="743"/>
      <c r="B20" s="744"/>
      <c r="C20" s="745"/>
      <c r="D20" s="746"/>
      <c r="E20" s="747"/>
      <c r="F20" s="747"/>
      <c r="G20" s="748"/>
      <c r="H20" s="749"/>
      <c r="I20" s="749"/>
      <c r="J20" s="731"/>
    </row>
    <row r="21" spans="1:10">
      <c r="A21" s="743"/>
      <c r="B21" s="744"/>
      <c r="C21" s="745"/>
      <c r="D21" s="746"/>
      <c r="E21" s="747"/>
      <c r="F21" s="747"/>
      <c r="G21" s="748"/>
      <c r="H21" s="749"/>
      <c r="I21" s="749"/>
      <c r="J21" s="731"/>
    </row>
    <row r="22" spans="1:10" s="754" customFormat="1" ht="24.75" thickBot="1">
      <c r="A22" s="750"/>
      <c r="B22" s="751" t="str">
        <f>"รวมราคา "&amp;B12</f>
        <v>รวมราคา งานระบบลิฟต์</v>
      </c>
      <c r="C22" s="752"/>
      <c r="D22" s="752"/>
      <c r="E22" s="753"/>
      <c r="F22" s="753"/>
      <c r="G22" s="753">
        <f>SUM(G13:G21)</f>
        <v>0</v>
      </c>
      <c r="H22" s="753">
        <f>SUM(H13:H21)</f>
        <v>2610000</v>
      </c>
      <c r="I22" s="753">
        <f>SUM(I13:I21)</f>
        <v>2610000</v>
      </c>
      <c r="J22" s="753"/>
    </row>
    <row r="23" spans="1:10" ht="24.75" thickTop="1"/>
    <row r="24" spans="1:10">
      <c r="B24" s="881" t="s">
        <v>133</v>
      </c>
      <c r="C24" s="1013"/>
      <c r="D24" s="418"/>
      <c r="E24" s="1014"/>
      <c r="F24" s="1014"/>
      <c r="G24" s="868"/>
      <c r="H24" s="868"/>
      <c r="I24" s="866"/>
      <c r="J24" s="866"/>
    </row>
    <row r="25" spans="1:10" s="133" customFormat="1">
      <c r="A25" s="135"/>
      <c r="B25" s="2407" t="s">
        <v>1769</v>
      </c>
      <c r="C25" s="2407"/>
      <c r="D25" s="1017"/>
      <c r="E25" s="1017"/>
      <c r="F25" s="1017" t="s">
        <v>134</v>
      </c>
      <c r="H25" s="1017"/>
      <c r="I25" s="1017"/>
      <c r="J25" s="1017"/>
    </row>
    <row r="26" spans="1:10" s="133" customFormat="1">
      <c r="A26" s="135"/>
      <c r="B26" s="2408" t="s">
        <v>1970</v>
      </c>
      <c r="C26" s="2408"/>
      <c r="D26" s="419"/>
      <c r="E26" s="419"/>
      <c r="F26" s="1019" t="s">
        <v>1971</v>
      </c>
      <c r="H26" s="419"/>
      <c r="I26" s="419"/>
      <c r="J26" s="419"/>
    </row>
    <row r="27" spans="1:10" s="133" customFormat="1">
      <c r="A27" s="135"/>
      <c r="B27" s="1017" t="s">
        <v>2031</v>
      </c>
      <c r="C27" s="866"/>
      <c r="D27" s="419"/>
      <c r="E27" s="419"/>
      <c r="F27" s="1017" t="s">
        <v>2031</v>
      </c>
      <c r="H27" s="419"/>
      <c r="I27" s="419"/>
      <c r="J27" s="419"/>
    </row>
    <row r="28" spans="1:10" s="133" customFormat="1">
      <c r="A28" s="135"/>
      <c r="B28" s="419" t="s">
        <v>1984</v>
      </c>
      <c r="C28" s="866"/>
      <c r="D28" s="1017"/>
      <c r="E28" s="1017"/>
      <c r="F28" s="419" t="s">
        <v>1985</v>
      </c>
      <c r="H28" s="1017"/>
      <c r="I28" s="1017"/>
      <c r="J28" s="1017"/>
    </row>
    <row r="29" spans="1:10" s="133" customFormat="1">
      <c r="A29" s="135"/>
      <c r="B29" s="1017" t="s">
        <v>670</v>
      </c>
      <c r="C29" s="407"/>
      <c r="D29" s="1021"/>
      <c r="E29" s="869"/>
      <c r="F29" s="401"/>
      <c r="G29" s="401"/>
      <c r="H29" s="401"/>
      <c r="I29" s="401"/>
      <c r="J29" s="401"/>
    </row>
    <row r="30" spans="1:10" s="133" customFormat="1">
      <c r="A30" s="135"/>
      <c r="B30" s="419" t="s">
        <v>1972</v>
      </c>
      <c r="C30" s="407"/>
      <c r="D30" s="1023"/>
      <c r="E30" s="1022"/>
      <c r="F30" s="1024"/>
      <c r="G30" s="1024"/>
      <c r="H30" s="1024"/>
      <c r="I30" s="1024"/>
      <c r="J30" s="1024"/>
    </row>
    <row r="31" spans="1:10" s="133" customFormat="1">
      <c r="B31" s="253"/>
    </row>
    <row r="32" spans="1:10">
      <c r="B32" s="759"/>
      <c r="C32" s="761"/>
      <c r="D32" s="133"/>
      <c r="E32" s="133"/>
      <c r="F32" s="133"/>
      <c r="G32" s="134"/>
    </row>
    <row r="33" spans="2:7">
      <c r="B33" s="253"/>
      <c r="C33" s="762"/>
      <c r="D33" s="135"/>
      <c r="E33" s="763"/>
      <c r="F33" s="763"/>
      <c r="G33" s="742"/>
    </row>
  </sheetData>
  <mergeCells count="12">
    <mergeCell ref="B25:C25"/>
    <mergeCell ref="B26:C26"/>
    <mergeCell ref="A1:J1"/>
    <mergeCell ref="E9:F9"/>
    <mergeCell ref="G9:H9"/>
    <mergeCell ref="J9:J10"/>
    <mergeCell ref="A9:A10"/>
    <mergeCell ref="B9:B10"/>
    <mergeCell ref="C9:C10"/>
    <mergeCell ref="D9:D10"/>
    <mergeCell ref="A2:A8"/>
    <mergeCell ref="I9:I10"/>
  </mergeCells>
  <printOptions horizontalCentered="1"/>
  <pageMargins left="0.23622047244094499" right="0.23622047244094499" top="0.511811023622047" bottom="0.27559055118110198" header="0.511811023622047" footer="0.31496062992126"/>
  <pageSetup paperSize="9" scale="70" fitToHeight="0" orientation="landscape" r:id="rId1"/>
  <headerFooter alignWithMargins="0">
    <oddHeader>&amp;R&amp;"TH Sarabun New,ตัวหนา"&amp;16แบบ ปร.4 หน้าที่ &amp;P จาก &amp;N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M33"/>
  <sheetViews>
    <sheetView showGridLines="0" view="pageBreakPreview" zoomScale="85" zoomScaleNormal="100" zoomScaleSheetLayoutView="85" workbookViewId="0">
      <selection activeCell="C26" sqref="C26"/>
    </sheetView>
  </sheetViews>
  <sheetFormatPr defaultColWidth="16.5703125" defaultRowHeight="24"/>
  <cols>
    <col min="1" max="1" width="24.28515625" style="139" customWidth="1"/>
    <col min="2" max="2" width="77.85546875" style="137" customWidth="1"/>
    <col min="3" max="5" width="20.42578125" style="227" customWidth="1"/>
    <col min="6" max="6" width="19.85546875" style="227" customWidth="1"/>
    <col min="7" max="7" width="26.5703125" style="187" customWidth="1"/>
    <col min="8" max="8" width="18.42578125" style="187" customWidth="1"/>
    <col min="9" max="16384" width="16.5703125" style="156"/>
  </cols>
  <sheetData>
    <row r="1" spans="1:8" s="181" customFormat="1" ht="27">
      <c r="A1" s="2548" t="str">
        <f>'ส่วนงานที่1 '!A1:F1</f>
        <v xml:space="preserve">แบบแสดงรายการ ปริมาณงาน และราคา  </v>
      </c>
      <c r="B1" s="2548"/>
      <c r="C1" s="2548"/>
      <c r="D1" s="2548"/>
      <c r="E1" s="2548"/>
      <c r="F1" s="2548"/>
    </row>
    <row r="2" spans="1:8" s="137" customFormat="1">
      <c r="A2" s="2343"/>
      <c r="B2" s="138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221"/>
      <c r="H2" s="178"/>
    </row>
    <row r="3" spans="1:8" s="137" customFormat="1">
      <c r="A3" s="2343"/>
      <c r="B3" s="143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F3" s="142"/>
      <c r="H3" s="178"/>
    </row>
    <row r="4" spans="1:8" s="137" customFormat="1">
      <c r="A4" s="2343"/>
      <c r="B4" s="143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F4" s="142"/>
      <c r="H4" s="178"/>
    </row>
    <row r="5" spans="1:8" s="137" customFormat="1">
      <c r="A5" s="2343"/>
      <c r="B5" s="143" t="str">
        <f>ปร6!B5</f>
        <v>แบบเลขที่  RMUTP-DOA-63-4-PL001.</v>
      </c>
      <c r="F5" s="142"/>
      <c r="H5" s="178"/>
    </row>
    <row r="6" spans="1:8" s="144" customFormat="1">
      <c r="A6" s="2343"/>
      <c r="B6" s="145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46"/>
      <c r="D6" s="146"/>
      <c r="E6" s="146"/>
      <c r="F6" s="147"/>
      <c r="H6" s="189"/>
    </row>
    <row r="7" spans="1:8" s="144" customFormat="1">
      <c r="A7" s="2343"/>
      <c r="B7" s="145" t="str">
        <f>ปร6!B7</f>
        <v>คำนวณราคากลาง   เมื่อวันที่ 16  เดือน สิงหาคม พ.ศ. 2567</v>
      </c>
      <c r="C7" s="146"/>
      <c r="D7" s="146"/>
      <c r="E7" s="149"/>
      <c r="F7" s="259" t="s">
        <v>146</v>
      </c>
      <c r="H7" s="189"/>
    </row>
    <row r="8" spans="1:8" s="151" customFormat="1">
      <c r="A8" s="2343"/>
      <c r="B8" s="144"/>
      <c r="D8" s="146"/>
      <c r="E8" s="190"/>
      <c r="F8" s="221"/>
      <c r="G8" s="191"/>
      <c r="H8" s="191"/>
    </row>
    <row r="9" spans="1:8" ht="27">
      <c r="A9" s="2331" t="s">
        <v>52</v>
      </c>
      <c r="B9" s="2549" t="s">
        <v>53</v>
      </c>
      <c r="C9" s="2551" t="s">
        <v>1772</v>
      </c>
      <c r="D9" s="2552"/>
      <c r="E9" s="2553"/>
      <c r="F9" s="369" t="s">
        <v>58</v>
      </c>
    </row>
    <row r="10" spans="1:8" ht="27">
      <c r="A10" s="2332"/>
      <c r="B10" s="2550"/>
      <c r="C10" s="370" t="s">
        <v>62</v>
      </c>
      <c r="D10" s="370" t="s">
        <v>63</v>
      </c>
      <c r="E10" s="371" t="s">
        <v>64</v>
      </c>
      <c r="F10" s="370"/>
    </row>
    <row r="11" spans="1:8">
      <c r="A11" s="346"/>
      <c r="B11" s="372" t="s">
        <v>1976</v>
      </c>
      <c r="C11" s="347"/>
      <c r="D11" s="347"/>
      <c r="E11" s="372"/>
      <c r="F11" s="347"/>
      <c r="H11" s="156"/>
    </row>
    <row r="12" spans="1:8">
      <c r="A12" s="357">
        <v>7</v>
      </c>
      <c r="B12" s="372" t="s">
        <v>275</v>
      </c>
      <c r="C12" s="352"/>
      <c r="D12" s="352"/>
      <c r="E12" s="352"/>
      <c r="F12" s="352"/>
      <c r="G12" s="140"/>
      <c r="H12" s="140"/>
    </row>
    <row r="13" spans="1:8">
      <c r="A13" s="170">
        <v>7.1</v>
      </c>
      <c r="B13" s="228" t="str">
        <f>งานครุภัณฑ์จัดจ้างหรือสั่งทำ!B80</f>
        <v>รวมราคา งานครุภัณฑ์จัดจ้างหรือสั่งทำ (เฟอร์นิเจอร์บิ้วอิน)</v>
      </c>
      <c r="C13" s="154">
        <f>งานครุภัณฑ์จัดจ้างหรือสั่งทำ!H80</f>
        <v>2793530</v>
      </c>
      <c r="D13" s="154">
        <f>งานครุภัณฑ์จัดจ้างหรือสั่งทำ!I80</f>
        <v>850059</v>
      </c>
      <c r="E13" s="154">
        <f>งานครุภัณฑ์จัดจ้างหรือสั่งทำ!J80</f>
        <v>3643589</v>
      </c>
      <c r="F13" s="154"/>
      <c r="G13" s="140"/>
      <c r="H13" s="140"/>
    </row>
    <row r="14" spans="1:8">
      <c r="A14" s="157">
        <v>7.2</v>
      </c>
      <c r="B14" s="222" t="str">
        <f>งานครุภัณฑ์จัดจ้างหรือสั่งทำ!B280</f>
        <v>รวมราคา งานม่าน</v>
      </c>
      <c r="C14" s="159">
        <f>งานครุภัณฑ์จัดจ้างหรือสั่งทำ!H280</f>
        <v>1742300</v>
      </c>
      <c r="D14" s="159">
        <f>งานครุภัณฑ์จัดจ้างหรือสั่งทำ!I280</f>
        <v>159250</v>
      </c>
      <c r="E14" s="159">
        <f>งานครุภัณฑ์จัดจ้างหรือสั่งทำ!J280</f>
        <v>1901550</v>
      </c>
      <c r="F14" s="159"/>
      <c r="G14" s="140"/>
      <c r="H14" s="140"/>
    </row>
    <row r="15" spans="1:8">
      <c r="A15" s="157">
        <v>7.3</v>
      </c>
      <c r="B15" s="223" t="str">
        <f>งานครุภัณฑ์จัดจ้างหรือสั่งทำ!B474</f>
        <v xml:space="preserve">รวมราคา งานป้ายอาคาร </v>
      </c>
      <c r="C15" s="159">
        <f>งานครุภัณฑ์จัดจ้างหรือสั่งทำ!H474</f>
        <v>1592320</v>
      </c>
      <c r="D15" s="159">
        <f>งานครุภัณฑ์จัดจ้างหรือสั่งทำ!I474</f>
        <v>477696</v>
      </c>
      <c r="E15" s="159">
        <f>งานครุภัณฑ์จัดจ้างหรือสั่งทำ!J474</f>
        <v>2070016</v>
      </c>
      <c r="F15" s="159"/>
      <c r="G15" s="140"/>
      <c r="H15" s="140"/>
    </row>
    <row r="16" spans="1:8">
      <c r="A16" s="157"/>
      <c r="B16" s="222"/>
      <c r="C16" s="159"/>
      <c r="D16" s="159"/>
      <c r="E16" s="159"/>
      <c r="F16" s="159"/>
      <c r="G16" s="140"/>
      <c r="H16" s="140"/>
    </row>
    <row r="17" spans="1:13">
      <c r="A17" s="157"/>
      <c r="B17" s="222"/>
      <c r="C17" s="159"/>
      <c r="D17" s="159"/>
      <c r="E17" s="222"/>
      <c r="F17" s="159"/>
      <c r="G17" s="140"/>
      <c r="H17" s="140"/>
    </row>
    <row r="18" spans="1:13" s="181" customFormat="1">
      <c r="A18" s="171"/>
      <c r="B18" s="224"/>
      <c r="C18" s="225"/>
      <c r="D18" s="225"/>
      <c r="E18" s="225"/>
      <c r="F18" s="225"/>
      <c r="G18" s="203"/>
      <c r="H18" s="140"/>
    </row>
    <row r="19" spans="1:13">
      <c r="A19" s="157"/>
      <c r="B19" s="222"/>
      <c r="C19" s="159"/>
      <c r="D19" s="159"/>
      <c r="E19" s="226"/>
      <c r="F19" s="159"/>
    </row>
    <row r="20" spans="1:13" s="181" customFormat="1" ht="24.75" thickBot="1">
      <c r="A20" s="171"/>
      <c r="B20" s="224"/>
      <c r="C20" s="225"/>
      <c r="D20" s="225"/>
      <c r="E20" s="225"/>
      <c r="F20" s="225"/>
      <c r="G20" s="179"/>
      <c r="H20" s="187"/>
    </row>
    <row r="21" spans="1:13" s="181" customFormat="1" ht="25.5" thickTop="1" thickBot="1">
      <c r="A21" s="365"/>
      <c r="B21" s="373" t="str">
        <f>"รวมราคา "&amp;B12</f>
        <v>รวมราคา งานครุภัณฑ์จัดจ้างหรือสั่งทำและงานตกแต่งภายในอาคาร</v>
      </c>
      <c r="C21" s="374">
        <f>SUM(C13:C20)</f>
        <v>6128150</v>
      </c>
      <c r="D21" s="374">
        <f>SUM(D13:D20)</f>
        <v>1487005</v>
      </c>
      <c r="E21" s="374">
        <f>SUM(E13:E20)</f>
        <v>7615155</v>
      </c>
      <c r="F21" s="375"/>
      <c r="G21" s="179"/>
      <c r="H21" s="187"/>
    </row>
    <row r="22" spans="1:13" s="181" customFormat="1" ht="24.75" thickTop="1">
      <c r="A22" s="202"/>
      <c r="B22" s="138"/>
      <c r="C22" s="260"/>
      <c r="D22" s="202"/>
      <c r="E22" s="177"/>
      <c r="F22" s="177"/>
      <c r="G22" s="177"/>
      <c r="H22" s="177"/>
      <c r="I22" s="177"/>
      <c r="J22" s="177"/>
      <c r="K22" s="177"/>
      <c r="L22" s="177"/>
      <c r="M22" s="177"/>
    </row>
    <row r="23" spans="1:13" s="181" customFormat="1">
      <c r="A23" s="202"/>
      <c r="B23" s="881" t="s">
        <v>133</v>
      </c>
      <c r="C23" s="1013"/>
      <c r="D23" s="202"/>
      <c r="E23" s="177"/>
      <c r="F23" s="177"/>
      <c r="G23" s="177"/>
      <c r="H23" s="177"/>
      <c r="I23" s="177"/>
      <c r="J23" s="177"/>
      <c r="K23" s="177"/>
      <c r="L23" s="177"/>
      <c r="M23" s="177"/>
    </row>
    <row r="24" spans="1:13" s="137" customFormat="1">
      <c r="A24" s="139"/>
      <c r="B24" s="1017" t="s">
        <v>1769</v>
      </c>
      <c r="C24" s="1017" t="s">
        <v>134</v>
      </c>
      <c r="E24" s="173"/>
      <c r="F24" s="177"/>
    </row>
    <row r="25" spans="1:13" s="137" customFormat="1">
      <c r="A25" s="139"/>
      <c r="B25" s="419" t="s">
        <v>1970</v>
      </c>
      <c r="C25" s="1019" t="s">
        <v>1971</v>
      </c>
      <c r="E25" s="176"/>
      <c r="F25" s="176"/>
      <c r="G25" s="176"/>
      <c r="H25" s="176"/>
      <c r="I25" s="176"/>
      <c r="J25" s="176"/>
    </row>
    <row r="26" spans="1:13" s="137" customFormat="1">
      <c r="A26" s="139"/>
      <c r="B26" s="1017" t="s">
        <v>2031</v>
      </c>
      <c r="C26" s="1017" t="s">
        <v>2031</v>
      </c>
      <c r="E26" s="174"/>
      <c r="F26" s="174"/>
      <c r="G26" s="174"/>
      <c r="H26" s="262"/>
      <c r="I26" s="262"/>
      <c r="J26" s="262"/>
    </row>
    <row r="27" spans="1:13" s="137" customFormat="1">
      <c r="A27" s="139"/>
      <c r="B27" s="419" t="s">
        <v>1984</v>
      </c>
      <c r="C27" s="419" t="s">
        <v>1985</v>
      </c>
      <c r="E27" s="174"/>
      <c r="F27" s="174"/>
      <c r="G27" s="174"/>
      <c r="H27" s="262"/>
      <c r="I27" s="262"/>
      <c r="J27" s="262"/>
    </row>
    <row r="28" spans="1:13" s="137" customFormat="1">
      <c r="A28" s="139"/>
      <c r="B28" s="1017" t="s">
        <v>670</v>
      </c>
      <c r="D28" s="176"/>
      <c r="E28" s="176"/>
      <c r="F28" s="176"/>
      <c r="G28" s="176"/>
      <c r="H28" s="176"/>
      <c r="I28" s="176"/>
      <c r="J28" s="176"/>
    </row>
    <row r="29" spans="1:13" s="137" customFormat="1">
      <c r="A29" s="139"/>
      <c r="B29" s="419" t="s">
        <v>1972</v>
      </c>
      <c r="C29" s="407"/>
      <c r="D29" s="174"/>
      <c r="E29" s="174"/>
      <c r="F29" s="174"/>
      <c r="G29" s="174"/>
      <c r="H29" s="174"/>
      <c r="I29" s="174"/>
      <c r="J29" s="174"/>
    </row>
    <row r="30" spans="1:13" s="137" customFormat="1">
      <c r="B30" s="262"/>
    </row>
    <row r="31" spans="1:13" s="181" customFormat="1">
      <c r="A31" s="202"/>
      <c r="B31" s="176"/>
      <c r="C31" s="271"/>
      <c r="D31" s="137"/>
      <c r="E31" s="137"/>
      <c r="F31" s="137"/>
      <c r="G31" s="178"/>
      <c r="H31" s="177"/>
      <c r="I31" s="177"/>
      <c r="J31" s="177"/>
      <c r="K31" s="177"/>
      <c r="L31" s="177"/>
      <c r="M31" s="177"/>
    </row>
    <row r="32" spans="1:13" s="181" customFormat="1">
      <c r="A32" s="202"/>
      <c r="B32" s="262"/>
      <c r="C32" s="208"/>
      <c r="D32" s="139"/>
      <c r="E32" s="140"/>
      <c r="F32" s="140"/>
      <c r="G32" s="203"/>
      <c r="H32" s="177"/>
      <c r="I32" s="177"/>
      <c r="J32" s="177"/>
      <c r="K32" s="177"/>
      <c r="L32" s="177"/>
      <c r="M32" s="177"/>
    </row>
    <row r="33" spans="1:13" s="181" customFormat="1">
      <c r="A33" s="202"/>
      <c r="B33" s="138"/>
      <c r="C33" s="260"/>
      <c r="D33" s="202"/>
      <c r="E33" s="177"/>
      <c r="F33" s="177"/>
      <c r="G33" s="177"/>
      <c r="H33" s="177"/>
      <c r="I33" s="177"/>
      <c r="J33" s="177"/>
      <c r="K33" s="177"/>
      <c r="L33" s="177"/>
      <c r="M33" s="177"/>
    </row>
  </sheetData>
  <mergeCells count="5">
    <mergeCell ref="A1:F1"/>
    <mergeCell ref="A9:A10"/>
    <mergeCell ref="B9:B10"/>
    <mergeCell ref="C9:E9"/>
    <mergeCell ref="A2:A8"/>
  </mergeCells>
  <printOptions horizontalCentered="1"/>
  <pageMargins left="0.23622047244094491" right="0.23622047244094491" top="0.51181102362204722" bottom="0.27559055118110237" header="0.51181102362204722" footer="0.31496062992125984"/>
  <pageSetup paperSize="9" scale="75" fitToHeight="0" orientation="landscape" r:id="rId1"/>
  <headerFooter alignWithMargins="0">
    <oddHeader>&amp;R&amp;"TH Sarabun New,ตัวหนา"&amp;16แบบ ปร.4 หน้าที่ &amp;P จาก 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M487"/>
  <sheetViews>
    <sheetView view="pageBreakPreview" topLeftCell="A76" zoomScale="98" zoomScaleNormal="40" zoomScaleSheetLayoutView="98" workbookViewId="0">
      <selection activeCell="F484" sqref="F484"/>
    </sheetView>
  </sheetViews>
  <sheetFormatPr defaultColWidth="16.5703125" defaultRowHeight="24" customHeight="1"/>
  <cols>
    <col min="1" max="1" width="10.5703125" style="864" customWidth="1"/>
    <col min="2" max="2" width="11" style="139" customWidth="1"/>
    <col min="3" max="3" width="63.7109375" style="143" customWidth="1"/>
    <col min="4" max="4" width="10.28515625" style="187" bestFit="1" customWidth="1"/>
    <col min="5" max="5" width="7.42578125" style="195" bestFit="1" customWidth="1"/>
    <col min="6" max="10" width="15.5703125" style="174" customWidth="1"/>
    <col min="11" max="11" width="14.42578125" style="174" customWidth="1"/>
    <col min="12" max="12" width="26" style="174" bestFit="1" customWidth="1"/>
    <col min="13" max="13" width="30.42578125" style="156" customWidth="1"/>
    <col min="14" max="16" width="11.42578125" style="156" customWidth="1"/>
    <col min="17" max="19" width="13" style="156" customWidth="1"/>
    <col min="20" max="16384" width="16.5703125" style="156"/>
  </cols>
  <sheetData>
    <row r="1" spans="1:13" s="181" customFormat="1" ht="24" customHeight="1">
      <c r="A1" s="2560" t="str">
        <f>'7.กลุ่มงานที่ 2'!A1:F1</f>
        <v xml:space="preserve">แบบแสดงรายการ ปริมาณงาน และราคา  </v>
      </c>
      <c r="B1" s="2560"/>
      <c r="C1" s="2560"/>
      <c r="D1" s="2560"/>
      <c r="E1" s="2560"/>
      <c r="F1" s="2560"/>
      <c r="G1" s="2560"/>
      <c r="H1" s="2560"/>
      <c r="I1" s="2560"/>
      <c r="J1" s="2560"/>
      <c r="K1" s="2560"/>
      <c r="L1" s="859"/>
    </row>
    <row r="2" spans="1:13" s="137" customFormat="1" ht="24" customHeight="1">
      <c r="A2" s="2565"/>
      <c r="B2" s="2565"/>
      <c r="C2" s="138" t="str">
        <f>'7.กลุ่มงานที่ 2'!B2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D2" s="178"/>
      <c r="F2" s="139"/>
      <c r="H2" s="178"/>
      <c r="K2" s="221"/>
      <c r="L2" s="221"/>
    </row>
    <row r="3" spans="1:13" s="137" customFormat="1" ht="24" customHeight="1">
      <c r="A3" s="2565"/>
      <c r="B3" s="2565"/>
      <c r="C3" s="143" t="str">
        <f>'7.กลุ่มงานที่ 2'!B3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D3" s="178"/>
      <c r="H3" s="178"/>
      <c r="J3" s="141"/>
      <c r="K3" s="142"/>
      <c r="L3" s="142"/>
    </row>
    <row r="4" spans="1:13" s="137" customFormat="1" ht="24" customHeight="1">
      <c r="A4" s="2565"/>
      <c r="B4" s="2565"/>
      <c r="C4" s="143" t="str">
        <f>'7.กลุ่มงานที่ 2'!B4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4" s="178"/>
      <c r="H4" s="178"/>
      <c r="J4" s="141"/>
      <c r="K4" s="142"/>
      <c r="L4" s="142"/>
    </row>
    <row r="5" spans="1:13" s="137" customFormat="1" ht="24" customHeight="1">
      <c r="A5" s="2565"/>
      <c r="B5" s="2565"/>
      <c r="C5" s="137" t="str">
        <f>'7.กลุ่มงานที่ 2'!B5</f>
        <v>แบบเลขที่  RMUTP-DOA-63-4-PL001.</v>
      </c>
      <c r="D5" s="178"/>
      <c r="H5" s="178"/>
      <c r="J5" s="141"/>
      <c r="K5" s="142"/>
      <c r="L5" s="142"/>
    </row>
    <row r="6" spans="1:13" s="144" customFormat="1" ht="24" customHeight="1">
      <c r="A6" s="2565"/>
      <c r="B6" s="2565"/>
      <c r="C6" s="144" t="str">
        <f>'7.กลุ่มงานที่ 2'!B6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78"/>
      <c r="E6" s="146"/>
      <c r="F6" s="147"/>
      <c r="H6" s="189"/>
      <c r="J6" s="148"/>
      <c r="K6" s="150"/>
      <c r="L6" s="150"/>
    </row>
    <row r="7" spans="1:13" s="144" customFormat="1" ht="24" customHeight="1">
      <c r="A7" s="2565"/>
      <c r="B7" s="2565"/>
      <c r="C7" s="144" t="str">
        <f>'7.กลุ่มงานที่ 2'!B7</f>
        <v>คำนวณราคากลาง   เมื่อวันที่ 16  เดือน สิงหาคม พ.ศ. 2567</v>
      </c>
      <c r="D7" s="178"/>
      <c r="E7" s="149"/>
      <c r="F7" s="147"/>
      <c r="H7" s="189"/>
      <c r="J7" s="148"/>
      <c r="K7" s="150"/>
      <c r="L7" s="150"/>
    </row>
    <row r="8" spans="1:13" s="151" customFormat="1" ht="24" customHeight="1">
      <c r="A8" s="2566"/>
      <c r="B8" s="2566"/>
      <c r="D8" s="178"/>
      <c r="E8" s="190"/>
      <c r="G8" s="191"/>
      <c r="H8" s="191"/>
      <c r="I8" s="191"/>
      <c r="J8" s="147"/>
      <c r="K8" s="906" t="s">
        <v>146</v>
      </c>
      <c r="L8" s="906"/>
    </row>
    <row r="9" spans="1:13" ht="24" customHeight="1">
      <c r="A9" s="2561" t="s">
        <v>52</v>
      </c>
      <c r="B9" s="2564"/>
      <c r="C9" s="2562" t="s">
        <v>53</v>
      </c>
      <c r="D9" s="2563" t="s">
        <v>54</v>
      </c>
      <c r="E9" s="2561" t="s">
        <v>55</v>
      </c>
      <c r="F9" s="2561" t="s">
        <v>1772</v>
      </c>
      <c r="G9" s="2561"/>
      <c r="H9" s="2561" t="s">
        <v>1772</v>
      </c>
      <c r="I9" s="2561"/>
      <c r="J9" s="2333" t="s">
        <v>64</v>
      </c>
      <c r="K9" s="2561" t="s">
        <v>58</v>
      </c>
      <c r="L9" s="1026"/>
    </row>
    <row r="10" spans="1:13" ht="24" customHeight="1">
      <c r="A10" s="2561"/>
      <c r="B10" s="2564"/>
      <c r="C10" s="2562"/>
      <c r="D10" s="2563"/>
      <c r="E10" s="2561"/>
      <c r="F10" s="368" t="s">
        <v>59</v>
      </c>
      <c r="G10" s="368" t="s">
        <v>60</v>
      </c>
      <c r="H10" s="368" t="s">
        <v>62</v>
      </c>
      <c r="I10" s="368" t="s">
        <v>63</v>
      </c>
      <c r="J10" s="2334"/>
      <c r="K10" s="2561"/>
      <c r="L10" s="1026"/>
    </row>
    <row r="11" spans="1:13" s="152" customFormat="1" ht="24" customHeight="1">
      <c r="A11" s="346">
        <v>7</v>
      </c>
      <c r="B11" s="2554" t="s">
        <v>275</v>
      </c>
      <c r="C11" s="2554"/>
      <c r="D11" s="474"/>
      <c r="E11" s="351"/>
      <c r="F11" s="351"/>
      <c r="G11" s="351"/>
      <c r="H11" s="347"/>
      <c r="I11" s="347"/>
      <c r="J11" s="347"/>
      <c r="K11" s="347"/>
      <c r="L11" s="230"/>
    </row>
    <row r="12" spans="1:13" s="152" customFormat="1" ht="24" customHeight="1">
      <c r="A12" s="346">
        <v>7.1</v>
      </c>
      <c r="B12" s="2559" t="s">
        <v>2008</v>
      </c>
      <c r="C12" s="2559"/>
      <c r="D12" s="474"/>
      <c r="E12" s="351"/>
      <c r="F12" s="351"/>
      <c r="G12" s="351"/>
      <c r="H12" s="347"/>
      <c r="I12" s="347"/>
      <c r="J12" s="347"/>
      <c r="K12" s="347"/>
      <c r="L12" s="230"/>
      <c r="M12" s="860"/>
    </row>
    <row r="13" spans="1:13" ht="24" customHeight="1">
      <c r="A13" s="899" t="s">
        <v>624</v>
      </c>
      <c r="B13" s="2555" t="s">
        <v>2009</v>
      </c>
      <c r="C13" s="2556"/>
      <c r="D13" s="161"/>
      <c r="E13" s="153"/>
      <c r="F13" s="153"/>
      <c r="G13" s="154"/>
      <c r="H13" s="154"/>
      <c r="I13" s="154"/>
      <c r="J13" s="154"/>
      <c r="K13" s="1027"/>
      <c r="M13" s="906"/>
    </row>
    <row r="14" spans="1:13" s="900" customFormat="1" ht="48">
      <c r="A14" s="207"/>
      <c r="B14" s="1028" t="s">
        <v>744</v>
      </c>
      <c r="C14" s="858" t="s">
        <v>1223</v>
      </c>
      <c r="D14" s="270">
        <v>1</v>
      </c>
      <c r="E14" s="902" t="s">
        <v>5</v>
      </c>
      <c r="F14" s="218">
        <v>18000</v>
      </c>
      <c r="G14" s="376">
        <f>F14*0.3</f>
        <v>5400</v>
      </c>
      <c r="H14" s="769">
        <f>D14*F14</f>
        <v>18000</v>
      </c>
      <c r="I14" s="769">
        <f>D14*G14</f>
        <v>5400</v>
      </c>
      <c r="J14" s="769">
        <f>H14+I14</f>
        <v>23400</v>
      </c>
      <c r="K14" s="376"/>
      <c r="L14" s="231" t="s">
        <v>1961</v>
      </c>
      <c r="M14" s="1029" t="s">
        <v>276</v>
      </c>
    </row>
    <row r="15" spans="1:13" ht="24" customHeight="1">
      <c r="A15" s="163" t="s">
        <v>625</v>
      </c>
      <c r="B15" s="2567" t="s">
        <v>2010</v>
      </c>
      <c r="C15" s="2568"/>
      <c r="D15" s="160"/>
      <c r="E15" s="901"/>
      <c r="F15" s="217"/>
      <c r="G15" s="456"/>
      <c r="H15" s="456"/>
      <c r="I15" s="456"/>
      <c r="J15" s="456"/>
      <c r="K15" s="456"/>
      <c r="L15" s="159"/>
      <c r="M15" s="906"/>
    </row>
    <row r="16" spans="1:13" s="900" customFormat="1" ht="48">
      <c r="A16" s="207"/>
      <c r="B16" s="1028" t="s">
        <v>743</v>
      </c>
      <c r="C16" s="858" t="s">
        <v>1756</v>
      </c>
      <c r="D16" s="270">
        <v>4</v>
      </c>
      <c r="E16" s="902" t="s">
        <v>5</v>
      </c>
      <c r="F16" s="218">
        <v>18000</v>
      </c>
      <c r="G16" s="376">
        <v>6900</v>
      </c>
      <c r="H16" s="769">
        <f>D16*F16</f>
        <v>72000</v>
      </c>
      <c r="I16" s="769">
        <f>D16*G16</f>
        <v>27600</v>
      </c>
      <c r="J16" s="769">
        <f>H16+I16</f>
        <v>99600</v>
      </c>
      <c r="K16" s="376"/>
      <c r="L16" s="231" t="s">
        <v>1961</v>
      </c>
      <c r="M16" s="1029" t="s">
        <v>276</v>
      </c>
    </row>
    <row r="17" spans="1:13" s="900" customFormat="1">
      <c r="A17" s="207"/>
      <c r="B17" s="1028" t="s">
        <v>745</v>
      </c>
      <c r="C17" s="903" t="s">
        <v>1214</v>
      </c>
      <c r="D17" s="270">
        <v>2</v>
      </c>
      <c r="E17" s="902" t="s">
        <v>5</v>
      </c>
      <c r="F17" s="218">
        <v>55000</v>
      </c>
      <c r="G17" s="376">
        <f>F17*0.3</f>
        <v>16500</v>
      </c>
      <c r="H17" s="769">
        <f>D17*F17</f>
        <v>110000</v>
      </c>
      <c r="I17" s="769">
        <f>D17*G17</f>
        <v>33000</v>
      </c>
      <c r="J17" s="769">
        <f>H17+I17</f>
        <v>143000</v>
      </c>
      <c r="K17" s="376"/>
      <c r="L17" s="231" t="s">
        <v>1961</v>
      </c>
      <c r="M17" s="1029" t="s">
        <v>276</v>
      </c>
    </row>
    <row r="18" spans="1:13" s="900" customFormat="1">
      <c r="A18" s="207"/>
      <c r="B18" s="1028" t="s">
        <v>746</v>
      </c>
      <c r="C18" s="903" t="s">
        <v>1215</v>
      </c>
      <c r="D18" s="270">
        <v>1</v>
      </c>
      <c r="E18" s="902" t="s">
        <v>5</v>
      </c>
      <c r="F18" s="218">
        <v>48000</v>
      </c>
      <c r="G18" s="376">
        <f>F18*0.3</f>
        <v>14400</v>
      </c>
      <c r="H18" s="769">
        <f>D18*F18</f>
        <v>48000</v>
      </c>
      <c r="I18" s="769">
        <f>D18*G18</f>
        <v>14400</v>
      </c>
      <c r="J18" s="769">
        <f>H18+I18</f>
        <v>62400</v>
      </c>
      <c r="K18" s="376"/>
      <c r="L18" s="231" t="s">
        <v>1961</v>
      </c>
      <c r="M18" s="1029" t="s">
        <v>276</v>
      </c>
    </row>
    <row r="19" spans="1:13" s="900" customFormat="1" ht="48">
      <c r="A19" s="207"/>
      <c r="B19" s="1028" t="s">
        <v>747</v>
      </c>
      <c r="C19" s="858" t="s">
        <v>1216</v>
      </c>
      <c r="D19" s="270">
        <v>1</v>
      </c>
      <c r="E19" s="902" t="s">
        <v>5</v>
      </c>
      <c r="F19" s="218">
        <v>22400</v>
      </c>
      <c r="G19" s="376">
        <f>F19*0.3</f>
        <v>6720</v>
      </c>
      <c r="H19" s="769">
        <f>D19*F19</f>
        <v>22400</v>
      </c>
      <c r="I19" s="769">
        <f>D19*G19</f>
        <v>6720</v>
      </c>
      <c r="J19" s="769">
        <f>H19+I19</f>
        <v>29120</v>
      </c>
      <c r="K19" s="376"/>
      <c r="L19" s="231" t="s">
        <v>1961</v>
      </c>
      <c r="M19" s="1029" t="s">
        <v>276</v>
      </c>
    </row>
    <row r="20" spans="1:13" s="900" customFormat="1" ht="48">
      <c r="A20" s="207"/>
      <c r="B20" s="1028" t="s">
        <v>744</v>
      </c>
      <c r="C20" s="858" t="s">
        <v>1223</v>
      </c>
      <c r="D20" s="270">
        <v>1</v>
      </c>
      <c r="E20" s="902" t="s">
        <v>5</v>
      </c>
      <c r="F20" s="218">
        <v>18000</v>
      </c>
      <c r="G20" s="376">
        <f>F20*0.3</f>
        <v>5400</v>
      </c>
      <c r="H20" s="769">
        <f>D20*F20</f>
        <v>18000</v>
      </c>
      <c r="I20" s="769">
        <f>D20*G20</f>
        <v>5400</v>
      </c>
      <c r="J20" s="769">
        <f>H20+I20</f>
        <v>23400</v>
      </c>
      <c r="K20" s="376"/>
      <c r="L20" s="231" t="s">
        <v>1961</v>
      </c>
      <c r="M20" s="1029" t="s">
        <v>276</v>
      </c>
    </row>
    <row r="21" spans="1:13" ht="24" customHeight="1">
      <c r="A21" s="163" t="s">
        <v>626</v>
      </c>
      <c r="B21" s="2567" t="s">
        <v>2011</v>
      </c>
      <c r="C21" s="2568"/>
      <c r="D21" s="160"/>
      <c r="E21" s="901"/>
      <c r="F21" s="217"/>
      <c r="G21" s="456"/>
      <c r="H21" s="456"/>
      <c r="I21" s="456"/>
      <c r="J21" s="456"/>
      <c r="K21" s="456"/>
      <c r="L21" s="159"/>
      <c r="M21" s="906"/>
    </row>
    <row r="22" spans="1:13" s="900" customFormat="1">
      <c r="A22" s="207"/>
      <c r="B22" s="1028" t="s">
        <v>745</v>
      </c>
      <c r="C22" s="903" t="s">
        <v>1214</v>
      </c>
      <c r="D22" s="270">
        <v>2</v>
      </c>
      <c r="E22" s="902" t="s">
        <v>5</v>
      </c>
      <c r="F22" s="218">
        <v>55000</v>
      </c>
      <c r="G22" s="376">
        <f t="shared" ref="G22:G38" si="0">F22*0.3</f>
        <v>16500</v>
      </c>
      <c r="H22" s="769">
        <f t="shared" ref="H22:H38" si="1">D22*F22</f>
        <v>110000</v>
      </c>
      <c r="I22" s="769">
        <f t="shared" ref="I22:I38" si="2">D22*G22</f>
        <v>33000</v>
      </c>
      <c r="J22" s="769">
        <f t="shared" ref="J22:J38" si="3">H22+I22</f>
        <v>143000</v>
      </c>
      <c r="K22" s="376"/>
      <c r="L22" s="231" t="s">
        <v>1961</v>
      </c>
      <c r="M22" s="1029" t="s">
        <v>276</v>
      </c>
    </row>
    <row r="23" spans="1:13" s="900" customFormat="1" ht="48">
      <c r="A23" s="207"/>
      <c r="B23" s="1028" t="s">
        <v>748</v>
      </c>
      <c r="C23" s="858" t="s">
        <v>1217</v>
      </c>
      <c r="D23" s="270">
        <v>1</v>
      </c>
      <c r="E23" s="902" t="s">
        <v>5</v>
      </c>
      <c r="F23" s="218">
        <v>35000</v>
      </c>
      <c r="G23" s="376">
        <f t="shared" si="0"/>
        <v>10500</v>
      </c>
      <c r="H23" s="769">
        <f t="shared" si="1"/>
        <v>35000</v>
      </c>
      <c r="I23" s="769">
        <f t="shared" si="2"/>
        <v>10500</v>
      </c>
      <c r="J23" s="769">
        <f t="shared" si="3"/>
        <v>45500</v>
      </c>
      <c r="K23" s="376"/>
      <c r="L23" s="231" t="s">
        <v>1961</v>
      </c>
      <c r="M23" s="1029" t="s">
        <v>276</v>
      </c>
    </row>
    <row r="24" spans="1:13" s="900" customFormat="1" ht="48.75" thickBot="1">
      <c r="A24" s="207"/>
      <c r="B24" s="1028" t="s">
        <v>769</v>
      </c>
      <c r="C24" s="858" t="s">
        <v>1218</v>
      </c>
      <c r="D24" s="270">
        <v>2</v>
      </c>
      <c r="E24" s="902" t="s">
        <v>5</v>
      </c>
      <c r="F24" s="218">
        <v>32000</v>
      </c>
      <c r="G24" s="376">
        <f t="shared" si="0"/>
        <v>9600</v>
      </c>
      <c r="H24" s="769">
        <f t="shared" si="1"/>
        <v>64000</v>
      </c>
      <c r="I24" s="769">
        <f t="shared" si="2"/>
        <v>19200</v>
      </c>
      <c r="J24" s="769">
        <f t="shared" si="3"/>
        <v>83200</v>
      </c>
      <c r="K24" s="376"/>
      <c r="L24" s="231" t="s">
        <v>1961</v>
      </c>
      <c r="M24" s="1029" t="s">
        <v>276</v>
      </c>
    </row>
    <row r="25" spans="1:13" s="900" customFormat="1" ht="24.75" thickTop="1">
      <c r="A25" s="1066"/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231"/>
      <c r="M25" s="1029"/>
    </row>
    <row r="26" spans="1:13" s="900" customFormat="1">
      <c r="A26" s="139"/>
      <c r="B26" s="881" t="s">
        <v>133</v>
      </c>
      <c r="C26" s="175"/>
      <c r="D26" s="1644"/>
      <c r="E26" s="177"/>
      <c r="F26" s="177"/>
      <c r="G26" s="265"/>
      <c r="H26" s="265"/>
      <c r="I26" s="265"/>
      <c r="J26" s="265"/>
      <c r="K26" s="265"/>
      <c r="L26" s="231"/>
      <c r="M26" s="1029"/>
    </row>
    <row r="27" spans="1:13" s="900" customFormat="1">
      <c r="A27" s="139"/>
      <c r="B27" s="1638" t="s">
        <v>1769</v>
      </c>
      <c r="C27" s="137"/>
      <c r="D27" s="137"/>
      <c r="E27" s="173"/>
      <c r="F27" s="1638" t="s">
        <v>134</v>
      </c>
      <c r="G27" s="137"/>
      <c r="H27" s="137"/>
      <c r="I27" s="137"/>
      <c r="J27" s="137"/>
      <c r="K27" s="137"/>
      <c r="L27" s="231"/>
      <c r="M27" s="1029"/>
    </row>
    <row r="28" spans="1:13" s="900" customFormat="1">
      <c r="A28" s="139"/>
      <c r="B28" s="174" t="s">
        <v>1970</v>
      </c>
      <c r="C28" s="137"/>
      <c r="D28" s="137"/>
      <c r="E28" s="1638"/>
      <c r="F28" s="227" t="s">
        <v>1971</v>
      </c>
      <c r="G28" s="137"/>
      <c r="H28" s="768"/>
      <c r="I28" s="768"/>
      <c r="J28" s="768"/>
      <c r="K28" s="768"/>
      <c r="L28" s="231"/>
      <c r="M28" s="1029"/>
    </row>
    <row r="29" spans="1:13" s="900" customFormat="1">
      <c r="A29" s="139"/>
      <c r="B29" s="1638" t="s">
        <v>2031</v>
      </c>
      <c r="C29" s="137"/>
      <c r="D29" s="137"/>
      <c r="E29" s="174"/>
      <c r="F29" s="1638" t="s">
        <v>2031</v>
      </c>
      <c r="G29" s="137"/>
      <c r="H29" s="1638"/>
      <c r="I29" s="1638"/>
      <c r="J29" s="1638"/>
      <c r="K29" s="1638"/>
      <c r="L29" s="231"/>
      <c r="M29" s="1029"/>
    </row>
    <row r="30" spans="1:13" s="900" customFormat="1">
      <c r="A30" s="139"/>
      <c r="B30" s="174" t="s">
        <v>1984</v>
      </c>
      <c r="C30" s="137"/>
      <c r="D30" s="137"/>
      <c r="E30" s="174"/>
      <c r="F30" s="174" t="s">
        <v>1985</v>
      </c>
      <c r="G30" s="137"/>
      <c r="H30" s="174"/>
      <c r="I30" s="174"/>
      <c r="J30" s="174"/>
      <c r="K30" s="174"/>
      <c r="L30" s="231"/>
      <c r="M30" s="1029"/>
    </row>
    <row r="31" spans="1:13" s="900" customFormat="1">
      <c r="A31" s="139"/>
      <c r="B31" s="1638" t="s">
        <v>670</v>
      </c>
      <c r="C31" s="143"/>
      <c r="D31" s="1638"/>
      <c r="E31" s="1638"/>
      <c r="F31" s="137"/>
      <c r="G31" s="174"/>
      <c r="H31" s="137"/>
      <c r="I31" s="137"/>
      <c r="J31" s="137"/>
      <c r="K31" s="137"/>
      <c r="L31" s="231"/>
      <c r="M31" s="1029"/>
    </row>
    <row r="32" spans="1:13" s="900" customFormat="1">
      <c r="A32" s="137"/>
      <c r="B32" s="174" t="s">
        <v>1972</v>
      </c>
      <c r="C32" s="143"/>
      <c r="D32" s="174"/>
      <c r="E32" s="174"/>
      <c r="F32" s="1640"/>
      <c r="G32" s="174"/>
      <c r="H32" s="1638"/>
      <c r="I32" s="1638"/>
      <c r="J32" s="1638"/>
      <c r="K32" s="1638"/>
      <c r="L32" s="231"/>
      <c r="M32" s="1029"/>
    </row>
    <row r="33" spans="1:13" s="900" customFormat="1" ht="48">
      <c r="A33" s="207"/>
      <c r="B33" s="1028" t="s">
        <v>749</v>
      </c>
      <c r="C33" s="858" t="s">
        <v>1219</v>
      </c>
      <c r="D33" s="270">
        <v>1</v>
      </c>
      <c r="E33" s="902" t="s">
        <v>5</v>
      </c>
      <c r="F33" s="218">
        <v>59500</v>
      </c>
      <c r="G33" s="376">
        <f t="shared" si="0"/>
        <v>17850</v>
      </c>
      <c r="H33" s="769">
        <f t="shared" si="1"/>
        <v>59500</v>
      </c>
      <c r="I33" s="769">
        <f t="shared" si="2"/>
        <v>17850</v>
      </c>
      <c r="J33" s="769">
        <f t="shared" si="3"/>
        <v>77350</v>
      </c>
      <c r="K33" s="376"/>
      <c r="L33" s="231" t="s">
        <v>1961</v>
      </c>
      <c r="M33" s="1029" t="s">
        <v>276</v>
      </c>
    </row>
    <row r="34" spans="1:13" s="900" customFormat="1" ht="48">
      <c r="A34" s="207"/>
      <c r="B34" s="1028" t="s">
        <v>750</v>
      </c>
      <c r="C34" s="858" t="s">
        <v>1220</v>
      </c>
      <c r="D34" s="270">
        <v>1</v>
      </c>
      <c r="E34" s="902" t="s">
        <v>5</v>
      </c>
      <c r="F34" s="218">
        <v>58750</v>
      </c>
      <c r="G34" s="376">
        <f t="shared" si="0"/>
        <v>17625</v>
      </c>
      <c r="H34" s="769">
        <f t="shared" si="1"/>
        <v>58750</v>
      </c>
      <c r="I34" s="769">
        <f t="shared" si="2"/>
        <v>17625</v>
      </c>
      <c r="J34" s="769">
        <f t="shared" si="3"/>
        <v>76375</v>
      </c>
      <c r="K34" s="376"/>
      <c r="L34" s="231" t="s">
        <v>1961</v>
      </c>
      <c r="M34" s="1029" t="s">
        <v>276</v>
      </c>
    </row>
    <row r="35" spans="1:13" s="900" customFormat="1" ht="48">
      <c r="A35" s="207"/>
      <c r="B35" s="1028" t="s">
        <v>751</v>
      </c>
      <c r="C35" s="858" t="s">
        <v>1221</v>
      </c>
      <c r="D35" s="270">
        <v>2</v>
      </c>
      <c r="E35" s="902" t="s">
        <v>5</v>
      </c>
      <c r="F35" s="218">
        <v>18000</v>
      </c>
      <c r="G35" s="376">
        <f t="shared" si="0"/>
        <v>5400</v>
      </c>
      <c r="H35" s="769">
        <f t="shared" si="1"/>
        <v>36000</v>
      </c>
      <c r="I35" s="769">
        <f t="shared" si="2"/>
        <v>10800</v>
      </c>
      <c r="J35" s="769">
        <f t="shared" si="3"/>
        <v>46800</v>
      </c>
      <c r="K35" s="376"/>
      <c r="L35" s="231" t="s">
        <v>1961</v>
      </c>
      <c r="M35" s="1029" t="s">
        <v>276</v>
      </c>
    </row>
    <row r="36" spans="1:13" s="900" customFormat="1" ht="48">
      <c r="A36" s="207"/>
      <c r="B36" s="1028" t="s">
        <v>752</v>
      </c>
      <c r="C36" s="858" t="s">
        <v>1222</v>
      </c>
      <c r="D36" s="270">
        <v>2</v>
      </c>
      <c r="E36" s="902" t="s">
        <v>5</v>
      </c>
      <c r="F36" s="218">
        <v>25800</v>
      </c>
      <c r="G36" s="376">
        <f t="shared" si="0"/>
        <v>7740</v>
      </c>
      <c r="H36" s="769">
        <f t="shared" si="1"/>
        <v>51600</v>
      </c>
      <c r="I36" s="769">
        <f t="shared" si="2"/>
        <v>15480</v>
      </c>
      <c r="J36" s="769">
        <f t="shared" si="3"/>
        <v>67080</v>
      </c>
      <c r="K36" s="376"/>
      <c r="L36" s="231" t="s">
        <v>1961</v>
      </c>
      <c r="M36" s="1029" t="s">
        <v>276</v>
      </c>
    </row>
    <row r="37" spans="1:13" s="900" customFormat="1" ht="48">
      <c r="A37" s="207"/>
      <c r="B37" s="1028" t="s">
        <v>753</v>
      </c>
      <c r="C37" s="858" t="s">
        <v>754</v>
      </c>
      <c r="D37" s="270">
        <v>1</v>
      </c>
      <c r="E37" s="902" t="s">
        <v>5</v>
      </c>
      <c r="F37" s="218">
        <v>52000</v>
      </c>
      <c r="G37" s="376">
        <f t="shared" si="0"/>
        <v>15600</v>
      </c>
      <c r="H37" s="769">
        <f t="shared" si="1"/>
        <v>52000</v>
      </c>
      <c r="I37" s="769">
        <f t="shared" si="2"/>
        <v>15600</v>
      </c>
      <c r="J37" s="769">
        <f t="shared" si="3"/>
        <v>67600</v>
      </c>
      <c r="K37" s="376"/>
      <c r="L37" s="231" t="s">
        <v>1961</v>
      </c>
      <c r="M37" s="1029" t="s">
        <v>276</v>
      </c>
    </row>
    <row r="38" spans="1:13" s="900" customFormat="1" ht="48">
      <c r="A38" s="207"/>
      <c r="B38" s="1028" t="s">
        <v>744</v>
      </c>
      <c r="C38" s="858" t="s">
        <v>1223</v>
      </c>
      <c r="D38" s="270">
        <v>1</v>
      </c>
      <c r="E38" s="902" t="s">
        <v>5</v>
      </c>
      <c r="F38" s="218">
        <v>18000</v>
      </c>
      <c r="G38" s="376">
        <f t="shared" si="0"/>
        <v>5400</v>
      </c>
      <c r="H38" s="769">
        <f t="shared" si="1"/>
        <v>18000</v>
      </c>
      <c r="I38" s="769">
        <f t="shared" si="2"/>
        <v>5400</v>
      </c>
      <c r="J38" s="769">
        <f t="shared" si="3"/>
        <v>23400</v>
      </c>
      <c r="K38" s="376"/>
      <c r="L38" s="231" t="s">
        <v>1961</v>
      </c>
      <c r="M38" s="1029" t="s">
        <v>276</v>
      </c>
    </row>
    <row r="39" spans="1:13" s="900" customFormat="1">
      <c r="A39" s="1030" t="s">
        <v>627</v>
      </c>
      <c r="B39" s="2557" t="s">
        <v>2012</v>
      </c>
      <c r="C39" s="2558"/>
      <c r="D39" s="270"/>
      <c r="E39" s="902"/>
      <c r="F39" s="218"/>
      <c r="G39" s="376"/>
      <c r="H39" s="376"/>
      <c r="I39" s="376"/>
      <c r="J39" s="376"/>
      <c r="K39" s="376"/>
      <c r="L39" s="231"/>
      <c r="M39" s="1029"/>
    </row>
    <row r="40" spans="1:13" s="900" customFormat="1" ht="48">
      <c r="A40" s="207"/>
      <c r="B40" s="1028" t="s">
        <v>748</v>
      </c>
      <c r="C40" s="858" t="s">
        <v>1217</v>
      </c>
      <c r="D40" s="270">
        <v>5</v>
      </c>
      <c r="E40" s="902" t="s">
        <v>5</v>
      </c>
      <c r="F40" s="218">
        <v>35000</v>
      </c>
      <c r="G40" s="376">
        <f>F40*0.3</f>
        <v>10500</v>
      </c>
      <c r="H40" s="769">
        <f>D40*F40</f>
        <v>175000</v>
      </c>
      <c r="I40" s="769">
        <f>D40*G40</f>
        <v>52500</v>
      </c>
      <c r="J40" s="769">
        <f>H40+I40</f>
        <v>227500</v>
      </c>
      <c r="K40" s="376"/>
      <c r="L40" s="231" t="s">
        <v>1961</v>
      </c>
      <c r="M40" s="1029" t="s">
        <v>276</v>
      </c>
    </row>
    <row r="41" spans="1:13" s="900" customFormat="1" ht="48">
      <c r="A41" s="207"/>
      <c r="B41" s="1028" t="s">
        <v>744</v>
      </c>
      <c r="C41" s="858" t="s">
        <v>1223</v>
      </c>
      <c r="D41" s="270">
        <v>3</v>
      </c>
      <c r="E41" s="902" t="s">
        <v>5</v>
      </c>
      <c r="F41" s="218">
        <v>18000</v>
      </c>
      <c r="G41" s="376">
        <f>F41*0.3</f>
        <v>5400</v>
      </c>
      <c r="H41" s="769">
        <f>D41*F41</f>
        <v>54000</v>
      </c>
      <c r="I41" s="769">
        <f>D41*G41</f>
        <v>16200</v>
      </c>
      <c r="J41" s="769">
        <f>H41+I41</f>
        <v>70200</v>
      </c>
      <c r="K41" s="376"/>
      <c r="L41" s="231" t="s">
        <v>1961</v>
      </c>
      <c r="M41" s="1029" t="s">
        <v>276</v>
      </c>
    </row>
    <row r="42" spans="1:13" s="900" customFormat="1">
      <c r="A42" s="207"/>
      <c r="B42" s="1028" t="s">
        <v>755</v>
      </c>
      <c r="C42" s="903" t="s">
        <v>756</v>
      </c>
      <c r="D42" s="270">
        <v>1</v>
      </c>
      <c r="E42" s="902" t="s">
        <v>5</v>
      </c>
      <c r="F42" s="218">
        <v>45000</v>
      </c>
      <c r="G42" s="376">
        <f>F42*0.3</f>
        <v>13500</v>
      </c>
      <c r="H42" s="769">
        <f>D42*F42</f>
        <v>45000</v>
      </c>
      <c r="I42" s="769">
        <f>D42*G42</f>
        <v>13500</v>
      </c>
      <c r="J42" s="769">
        <f>H42+I42</f>
        <v>58500</v>
      </c>
      <c r="K42" s="376"/>
      <c r="L42" s="231" t="s">
        <v>1961</v>
      </c>
      <c r="M42" s="1029" t="s">
        <v>276</v>
      </c>
    </row>
    <row r="43" spans="1:13" ht="24" customHeight="1">
      <c r="A43" s="163" t="s">
        <v>628</v>
      </c>
      <c r="B43" s="2567" t="s">
        <v>2013</v>
      </c>
      <c r="C43" s="2568"/>
      <c r="D43" s="160"/>
      <c r="E43" s="901"/>
      <c r="F43" s="217"/>
      <c r="G43" s="456"/>
      <c r="H43" s="456"/>
      <c r="I43" s="456"/>
      <c r="J43" s="456"/>
      <c r="K43" s="456"/>
      <c r="L43" s="159"/>
      <c r="M43" s="906"/>
    </row>
    <row r="44" spans="1:13" s="900" customFormat="1" ht="48">
      <c r="A44" s="207"/>
      <c r="B44" s="1028" t="s">
        <v>743</v>
      </c>
      <c r="C44" s="858" t="s">
        <v>1213</v>
      </c>
      <c r="D44" s="270">
        <v>1</v>
      </c>
      <c r="E44" s="902" t="s">
        <v>5</v>
      </c>
      <c r="F44" s="218">
        <v>18000</v>
      </c>
      <c r="G44" s="376">
        <v>6900</v>
      </c>
      <c r="H44" s="769">
        <f t="shared" ref="H44:H49" si="4">D44*F44</f>
        <v>18000</v>
      </c>
      <c r="I44" s="769">
        <f t="shared" ref="I44:I49" si="5">D44*G44</f>
        <v>6900</v>
      </c>
      <c r="J44" s="769">
        <f t="shared" ref="J44:J49" si="6">H44+I44</f>
        <v>24900</v>
      </c>
      <c r="K44" s="376"/>
      <c r="L44" s="231" t="s">
        <v>1961</v>
      </c>
      <c r="M44" s="1029" t="s">
        <v>276</v>
      </c>
    </row>
    <row r="45" spans="1:13" s="900" customFormat="1" ht="48">
      <c r="A45" s="207"/>
      <c r="B45" s="1028" t="s">
        <v>748</v>
      </c>
      <c r="C45" s="858" t="s">
        <v>1217</v>
      </c>
      <c r="D45" s="270">
        <v>5</v>
      </c>
      <c r="E45" s="902" t="s">
        <v>5</v>
      </c>
      <c r="F45" s="218">
        <v>35000</v>
      </c>
      <c r="G45" s="376">
        <f>F45*0.3</f>
        <v>10500</v>
      </c>
      <c r="H45" s="769">
        <f t="shared" si="4"/>
        <v>175000</v>
      </c>
      <c r="I45" s="769">
        <f t="shared" si="5"/>
        <v>52500</v>
      </c>
      <c r="J45" s="769">
        <f t="shared" si="6"/>
        <v>227500</v>
      </c>
      <c r="K45" s="376"/>
      <c r="L45" s="231" t="s">
        <v>1961</v>
      </c>
      <c r="M45" s="1029" t="s">
        <v>276</v>
      </c>
    </row>
    <row r="46" spans="1:13" s="900" customFormat="1" ht="48">
      <c r="A46" s="207"/>
      <c r="B46" s="1028" t="s">
        <v>744</v>
      </c>
      <c r="C46" s="858" t="s">
        <v>1223</v>
      </c>
      <c r="D46" s="270">
        <v>2</v>
      </c>
      <c r="E46" s="902" t="s">
        <v>5</v>
      </c>
      <c r="F46" s="218">
        <v>18000</v>
      </c>
      <c r="G46" s="376">
        <f>F46*0.3</f>
        <v>5400</v>
      </c>
      <c r="H46" s="769">
        <f t="shared" si="4"/>
        <v>36000</v>
      </c>
      <c r="I46" s="769">
        <f t="shared" si="5"/>
        <v>10800</v>
      </c>
      <c r="J46" s="769">
        <f t="shared" si="6"/>
        <v>46800</v>
      </c>
      <c r="K46" s="376"/>
      <c r="L46" s="231" t="s">
        <v>1961</v>
      </c>
      <c r="M46" s="1029" t="s">
        <v>276</v>
      </c>
    </row>
    <row r="47" spans="1:13" s="900" customFormat="1">
      <c r="A47" s="207"/>
      <c r="B47" s="1028" t="s">
        <v>755</v>
      </c>
      <c r="C47" s="903" t="s">
        <v>756</v>
      </c>
      <c r="D47" s="270">
        <v>1</v>
      </c>
      <c r="E47" s="902" t="s">
        <v>5</v>
      </c>
      <c r="F47" s="218">
        <v>45000</v>
      </c>
      <c r="G47" s="376">
        <f>F47*0.3</f>
        <v>13500</v>
      </c>
      <c r="H47" s="769">
        <f t="shared" si="4"/>
        <v>45000</v>
      </c>
      <c r="I47" s="769">
        <f t="shared" si="5"/>
        <v>13500</v>
      </c>
      <c r="J47" s="769">
        <f t="shared" si="6"/>
        <v>58500</v>
      </c>
      <c r="K47" s="376"/>
      <c r="L47" s="231" t="s">
        <v>1961</v>
      </c>
      <c r="M47" s="1029" t="s">
        <v>276</v>
      </c>
    </row>
    <row r="48" spans="1:13" s="900" customFormat="1" ht="48">
      <c r="A48" s="207"/>
      <c r="B48" s="1028" t="s">
        <v>757</v>
      </c>
      <c r="C48" s="858" t="s">
        <v>758</v>
      </c>
      <c r="D48" s="270">
        <v>1</v>
      </c>
      <c r="E48" s="902" t="s">
        <v>5</v>
      </c>
      <c r="F48" s="218">
        <v>35000</v>
      </c>
      <c r="G48" s="376">
        <f>F48*0.3</f>
        <v>10500</v>
      </c>
      <c r="H48" s="769">
        <f t="shared" si="4"/>
        <v>35000</v>
      </c>
      <c r="I48" s="769">
        <f t="shared" si="5"/>
        <v>10500</v>
      </c>
      <c r="J48" s="769">
        <f t="shared" si="6"/>
        <v>45500</v>
      </c>
      <c r="K48" s="376"/>
      <c r="L48" s="231" t="s">
        <v>1961</v>
      </c>
      <c r="M48" s="1029" t="s">
        <v>276</v>
      </c>
    </row>
    <row r="49" spans="1:13" s="900" customFormat="1" ht="48.75" thickBot="1">
      <c r="A49" s="207"/>
      <c r="B49" s="1028" t="s">
        <v>759</v>
      </c>
      <c r="C49" s="858" t="s">
        <v>760</v>
      </c>
      <c r="D49" s="270">
        <v>2</v>
      </c>
      <c r="E49" s="902" t="s">
        <v>5</v>
      </c>
      <c r="F49" s="218">
        <v>35000</v>
      </c>
      <c r="G49" s="376">
        <f>F49*0.3</f>
        <v>10500</v>
      </c>
      <c r="H49" s="769">
        <f t="shared" si="4"/>
        <v>70000</v>
      </c>
      <c r="I49" s="769">
        <f t="shared" si="5"/>
        <v>21000</v>
      </c>
      <c r="J49" s="769">
        <f t="shared" si="6"/>
        <v>91000</v>
      </c>
      <c r="K49" s="376"/>
      <c r="L49" s="231" t="s">
        <v>1961</v>
      </c>
      <c r="M49" s="1029" t="s">
        <v>276</v>
      </c>
    </row>
    <row r="50" spans="1:13" s="900" customFormat="1" ht="24.75" thickTop="1">
      <c r="A50" s="1066"/>
      <c r="B50" s="1066"/>
      <c r="C50" s="1066"/>
      <c r="D50" s="1066"/>
      <c r="E50" s="1066"/>
      <c r="F50" s="1066"/>
      <c r="G50" s="1066"/>
      <c r="H50" s="1066"/>
      <c r="I50" s="1066"/>
      <c r="J50" s="1066"/>
      <c r="K50" s="1066"/>
      <c r="L50" s="231"/>
      <c r="M50" s="1029"/>
    </row>
    <row r="51" spans="1:13" s="900" customFormat="1">
      <c r="A51" s="139"/>
      <c r="B51" s="881" t="s">
        <v>133</v>
      </c>
      <c r="C51" s="175"/>
      <c r="D51" s="1644"/>
      <c r="E51" s="177"/>
      <c r="F51" s="177"/>
      <c r="G51" s="265"/>
      <c r="H51" s="265"/>
      <c r="I51" s="265"/>
      <c r="J51" s="265"/>
      <c r="K51" s="265"/>
      <c r="L51" s="231"/>
      <c r="M51" s="1029"/>
    </row>
    <row r="52" spans="1:13" s="900" customFormat="1">
      <c r="A52" s="139"/>
      <c r="B52" s="1638" t="s">
        <v>1769</v>
      </c>
      <c r="C52" s="137"/>
      <c r="D52" s="137"/>
      <c r="E52" s="173"/>
      <c r="F52" s="1638" t="s">
        <v>134</v>
      </c>
      <c r="G52" s="137"/>
      <c r="H52" s="137"/>
      <c r="I52" s="137"/>
      <c r="J52" s="137"/>
      <c r="K52" s="137"/>
      <c r="L52" s="231"/>
      <c r="M52" s="1029"/>
    </row>
    <row r="53" spans="1:13" s="900" customFormat="1">
      <c r="A53" s="139"/>
      <c r="B53" s="174" t="s">
        <v>1970</v>
      </c>
      <c r="C53" s="137"/>
      <c r="D53" s="137"/>
      <c r="E53" s="1638"/>
      <c r="F53" s="227" t="s">
        <v>1971</v>
      </c>
      <c r="G53" s="137"/>
      <c r="H53" s="768"/>
      <c r="I53" s="768"/>
      <c r="J53" s="768"/>
      <c r="K53" s="768"/>
      <c r="L53" s="231"/>
      <c r="M53" s="1029"/>
    </row>
    <row r="54" spans="1:13" s="900" customFormat="1">
      <c r="A54" s="139"/>
      <c r="B54" s="1638" t="s">
        <v>2031</v>
      </c>
      <c r="C54" s="137"/>
      <c r="D54" s="137"/>
      <c r="E54" s="174"/>
      <c r="F54" s="1638" t="s">
        <v>2031</v>
      </c>
      <c r="G54" s="137"/>
      <c r="H54" s="1638"/>
      <c r="I54" s="1638"/>
      <c r="J54" s="1638"/>
      <c r="K54" s="1638"/>
      <c r="L54" s="231"/>
      <c r="M54" s="1029"/>
    </row>
    <row r="55" spans="1:13" s="900" customFormat="1">
      <c r="A55" s="139"/>
      <c r="B55" s="174" t="s">
        <v>1984</v>
      </c>
      <c r="C55" s="137"/>
      <c r="D55" s="137"/>
      <c r="E55" s="174"/>
      <c r="F55" s="174" t="s">
        <v>1985</v>
      </c>
      <c r="G55" s="137"/>
      <c r="H55" s="174"/>
      <c r="I55" s="174"/>
      <c r="J55" s="174"/>
      <c r="K55" s="174"/>
      <c r="L55" s="231"/>
      <c r="M55" s="1029"/>
    </row>
    <row r="56" spans="1:13" s="900" customFormat="1">
      <c r="A56" s="139"/>
      <c r="B56" s="1638" t="s">
        <v>670</v>
      </c>
      <c r="C56" s="143"/>
      <c r="D56" s="1638"/>
      <c r="E56" s="1638"/>
      <c r="F56" s="137"/>
      <c r="G56" s="174"/>
      <c r="H56" s="137"/>
      <c r="I56" s="137"/>
      <c r="J56" s="137"/>
      <c r="K56" s="137"/>
      <c r="L56" s="231"/>
      <c r="M56" s="1029"/>
    </row>
    <row r="57" spans="1:13" s="900" customFormat="1">
      <c r="A57" s="137"/>
      <c r="B57" s="174" t="s">
        <v>1972</v>
      </c>
      <c r="C57" s="143"/>
      <c r="D57" s="174"/>
      <c r="E57" s="174"/>
      <c r="F57" s="1640"/>
      <c r="G57" s="174"/>
      <c r="H57" s="1638"/>
      <c r="I57" s="1638"/>
      <c r="J57" s="1638"/>
      <c r="K57" s="1638"/>
      <c r="L57" s="231"/>
      <c r="M57" s="1029"/>
    </row>
    <row r="58" spans="1:13" s="900" customFormat="1">
      <c r="A58" s="1031" t="s">
        <v>629</v>
      </c>
      <c r="B58" s="2579" t="s">
        <v>2014</v>
      </c>
      <c r="C58" s="2580"/>
      <c r="D58" s="905"/>
      <c r="E58" s="904"/>
      <c r="F58" s="1032"/>
      <c r="G58" s="770"/>
      <c r="H58" s="770"/>
      <c r="I58" s="770"/>
      <c r="J58" s="770"/>
      <c r="K58" s="376"/>
      <c r="L58" s="231"/>
      <c r="M58" s="1029"/>
    </row>
    <row r="59" spans="1:13" s="900" customFormat="1" ht="48">
      <c r="A59" s="207"/>
      <c r="B59" s="1028" t="s">
        <v>743</v>
      </c>
      <c r="C59" s="858" t="s">
        <v>1213</v>
      </c>
      <c r="D59" s="270">
        <v>1</v>
      </c>
      <c r="E59" s="902" t="s">
        <v>5</v>
      </c>
      <c r="F59" s="218">
        <v>18000</v>
      </c>
      <c r="G59" s="376">
        <v>6900</v>
      </c>
      <c r="H59" s="769">
        <f>D59*F59</f>
        <v>18000</v>
      </c>
      <c r="I59" s="769">
        <f>D59*G59</f>
        <v>6900</v>
      </c>
      <c r="J59" s="769">
        <f>H59+I59</f>
        <v>24900</v>
      </c>
      <c r="K59" s="376"/>
      <c r="L59" s="231" t="s">
        <v>1961</v>
      </c>
      <c r="M59" s="1029" t="s">
        <v>276</v>
      </c>
    </row>
    <row r="60" spans="1:13" s="900" customFormat="1" ht="48">
      <c r="A60" s="207"/>
      <c r="B60" s="1028" t="s">
        <v>748</v>
      </c>
      <c r="C60" s="858" t="s">
        <v>1217</v>
      </c>
      <c r="D60" s="270">
        <v>5</v>
      </c>
      <c r="E60" s="902" t="s">
        <v>5</v>
      </c>
      <c r="F60" s="218">
        <v>35000</v>
      </c>
      <c r="G60" s="376">
        <f>F60*0.3</f>
        <v>10500</v>
      </c>
      <c r="H60" s="769">
        <f>D60*F60</f>
        <v>175000</v>
      </c>
      <c r="I60" s="769">
        <f>D60*G60</f>
        <v>52500</v>
      </c>
      <c r="J60" s="769">
        <f>H60+I60</f>
        <v>227500</v>
      </c>
      <c r="K60" s="376"/>
      <c r="L60" s="231" t="s">
        <v>1961</v>
      </c>
      <c r="M60" s="1029" t="s">
        <v>276</v>
      </c>
    </row>
    <row r="61" spans="1:13" s="900" customFormat="1" ht="48">
      <c r="A61" s="207"/>
      <c r="B61" s="1028" t="s">
        <v>744</v>
      </c>
      <c r="C61" s="858" t="s">
        <v>1223</v>
      </c>
      <c r="D61" s="270">
        <v>2</v>
      </c>
      <c r="E61" s="902" t="s">
        <v>5</v>
      </c>
      <c r="F61" s="218">
        <v>18000</v>
      </c>
      <c r="G61" s="376">
        <f>F61*0.3</f>
        <v>5400</v>
      </c>
      <c r="H61" s="769">
        <f>D61*F61</f>
        <v>36000</v>
      </c>
      <c r="I61" s="769">
        <f>D61*G61</f>
        <v>10800</v>
      </c>
      <c r="J61" s="769">
        <f>H61+I61</f>
        <v>46800</v>
      </c>
      <c r="K61" s="376"/>
      <c r="L61" s="231" t="s">
        <v>1961</v>
      </c>
      <c r="M61" s="1029" t="s">
        <v>276</v>
      </c>
    </row>
    <row r="62" spans="1:13" s="900" customFormat="1" ht="48">
      <c r="A62" s="207"/>
      <c r="B62" s="1028" t="s">
        <v>759</v>
      </c>
      <c r="C62" s="858" t="s">
        <v>760</v>
      </c>
      <c r="D62" s="270">
        <v>2</v>
      </c>
      <c r="E62" s="902" t="s">
        <v>5</v>
      </c>
      <c r="F62" s="218">
        <v>35000</v>
      </c>
      <c r="G62" s="376">
        <f>F62*0.3</f>
        <v>10500</v>
      </c>
      <c r="H62" s="769">
        <f>D62*F62</f>
        <v>70000</v>
      </c>
      <c r="I62" s="769">
        <f>D62*G62</f>
        <v>21000</v>
      </c>
      <c r="J62" s="769">
        <f>H62+I62</f>
        <v>91000</v>
      </c>
      <c r="K62" s="376"/>
      <c r="L62" s="231" t="s">
        <v>1961</v>
      </c>
      <c r="M62" s="1029" t="s">
        <v>276</v>
      </c>
    </row>
    <row r="63" spans="1:13" ht="24" customHeight="1">
      <c r="A63" s="163" t="s">
        <v>630</v>
      </c>
      <c r="B63" s="2567" t="s">
        <v>2015</v>
      </c>
      <c r="C63" s="2568"/>
      <c r="D63" s="160"/>
      <c r="E63" s="901"/>
      <c r="F63" s="217"/>
      <c r="G63" s="456"/>
      <c r="H63" s="456"/>
      <c r="I63" s="456"/>
      <c r="J63" s="456"/>
      <c r="K63" s="456"/>
      <c r="L63" s="158"/>
      <c r="M63" s="906"/>
    </row>
    <row r="64" spans="1:13" s="900" customFormat="1" ht="48">
      <c r="A64" s="207"/>
      <c r="B64" s="1028" t="s">
        <v>743</v>
      </c>
      <c r="C64" s="858" t="s">
        <v>1213</v>
      </c>
      <c r="D64" s="270">
        <v>1</v>
      </c>
      <c r="E64" s="902" t="s">
        <v>5</v>
      </c>
      <c r="F64" s="218">
        <v>18000</v>
      </c>
      <c r="G64" s="376">
        <v>6900</v>
      </c>
      <c r="H64" s="769">
        <f>D64*F64</f>
        <v>18000</v>
      </c>
      <c r="I64" s="769">
        <f>D64*G64</f>
        <v>6900</v>
      </c>
      <c r="J64" s="769">
        <f>H64+I64</f>
        <v>24900</v>
      </c>
      <c r="K64" s="376"/>
      <c r="L64" s="231" t="s">
        <v>1961</v>
      </c>
      <c r="M64" s="1029" t="s">
        <v>276</v>
      </c>
    </row>
    <row r="65" spans="1:13" s="900" customFormat="1" ht="48">
      <c r="A65" s="207"/>
      <c r="B65" s="1028" t="s">
        <v>748</v>
      </c>
      <c r="C65" s="858" t="s">
        <v>1217</v>
      </c>
      <c r="D65" s="270">
        <v>5</v>
      </c>
      <c r="E65" s="902" t="s">
        <v>5</v>
      </c>
      <c r="F65" s="218">
        <v>35000</v>
      </c>
      <c r="G65" s="376">
        <f>F65*0.3</f>
        <v>10500</v>
      </c>
      <c r="H65" s="769">
        <f>D65*F65</f>
        <v>175000</v>
      </c>
      <c r="I65" s="769">
        <f>D65*G65</f>
        <v>52500</v>
      </c>
      <c r="J65" s="769">
        <f>H65+I65</f>
        <v>227500</v>
      </c>
      <c r="K65" s="376"/>
      <c r="L65" s="231" t="s">
        <v>1961</v>
      </c>
      <c r="M65" s="1029" t="s">
        <v>276</v>
      </c>
    </row>
    <row r="66" spans="1:13" s="900" customFormat="1" ht="48">
      <c r="A66" s="207"/>
      <c r="B66" s="1028" t="s">
        <v>744</v>
      </c>
      <c r="C66" s="858" t="s">
        <v>1223</v>
      </c>
      <c r="D66" s="270">
        <v>3</v>
      </c>
      <c r="E66" s="902" t="s">
        <v>5</v>
      </c>
      <c r="F66" s="218">
        <v>18000</v>
      </c>
      <c r="G66" s="376">
        <f>F66*0.3</f>
        <v>5400</v>
      </c>
      <c r="H66" s="769">
        <f>D66*F66</f>
        <v>54000</v>
      </c>
      <c r="I66" s="769">
        <f>D66*G66</f>
        <v>16200</v>
      </c>
      <c r="J66" s="769">
        <f>H66+I66</f>
        <v>70200</v>
      </c>
      <c r="K66" s="376"/>
      <c r="L66" s="231" t="s">
        <v>1961</v>
      </c>
      <c r="M66" s="1029" t="s">
        <v>276</v>
      </c>
    </row>
    <row r="67" spans="1:13" s="900" customFormat="1" ht="48">
      <c r="A67" s="207"/>
      <c r="B67" s="1028" t="s">
        <v>759</v>
      </c>
      <c r="C67" s="858" t="s">
        <v>760</v>
      </c>
      <c r="D67" s="270">
        <v>2</v>
      </c>
      <c r="E67" s="902" t="s">
        <v>5</v>
      </c>
      <c r="F67" s="218">
        <v>35000</v>
      </c>
      <c r="G67" s="376">
        <f>F67*0.3</f>
        <v>10500</v>
      </c>
      <c r="H67" s="769">
        <f>D67*F67</f>
        <v>70000</v>
      </c>
      <c r="I67" s="769">
        <f>D67*G67</f>
        <v>21000</v>
      </c>
      <c r="J67" s="769">
        <f>H67+I67</f>
        <v>91000</v>
      </c>
      <c r="K67" s="376"/>
      <c r="L67" s="231" t="s">
        <v>1961</v>
      </c>
      <c r="M67" s="1029" t="s">
        <v>276</v>
      </c>
    </row>
    <row r="68" spans="1:13" ht="24" customHeight="1">
      <c r="A68" s="163" t="s">
        <v>631</v>
      </c>
      <c r="B68" s="2567" t="s">
        <v>2016</v>
      </c>
      <c r="C68" s="2568"/>
      <c r="D68" s="160"/>
      <c r="E68" s="901"/>
      <c r="F68" s="217"/>
      <c r="G68" s="456"/>
      <c r="H68" s="456"/>
      <c r="I68" s="456"/>
      <c r="J68" s="456"/>
      <c r="K68" s="456"/>
      <c r="L68" s="158"/>
      <c r="M68" s="906"/>
    </row>
    <row r="69" spans="1:13" s="900" customFormat="1" ht="48">
      <c r="A69" s="207"/>
      <c r="B69" s="1028" t="s">
        <v>743</v>
      </c>
      <c r="C69" s="858" t="s">
        <v>1213</v>
      </c>
      <c r="D69" s="270">
        <v>1</v>
      </c>
      <c r="E69" s="902" t="s">
        <v>5</v>
      </c>
      <c r="F69" s="218">
        <v>18000</v>
      </c>
      <c r="G69" s="376">
        <v>6900</v>
      </c>
      <c r="H69" s="769">
        <f>D69*F69</f>
        <v>18000</v>
      </c>
      <c r="I69" s="769">
        <f>D69*G69</f>
        <v>6900</v>
      </c>
      <c r="J69" s="769">
        <f>H69+I69</f>
        <v>24900</v>
      </c>
      <c r="K69" s="376"/>
      <c r="L69" s="231" t="s">
        <v>1961</v>
      </c>
      <c r="M69" s="1029" t="s">
        <v>276</v>
      </c>
    </row>
    <row r="70" spans="1:13" s="900" customFormat="1" ht="48">
      <c r="A70" s="207"/>
      <c r="B70" s="1028" t="s">
        <v>748</v>
      </c>
      <c r="C70" s="858" t="s">
        <v>1217</v>
      </c>
      <c r="D70" s="270">
        <v>5</v>
      </c>
      <c r="E70" s="902" t="s">
        <v>5</v>
      </c>
      <c r="F70" s="218">
        <v>35000</v>
      </c>
      <c r="G70" s="376">
        <f>F70*0.3</f>
        <v>10500</v>
      </c>
      <c r="H70" s="769">
        <f>D70*F70</f>
        <v>175000</v>
      </c>
      <c r="I70" s="769">
        <f>D70*G70</f>
        <v>52500</v>
      </c>
      <c r="J70" s="769">
        <f>H70+I70</f>
        <v>227500</v>
      </c>
      <c r="K70" s="376"/>
      <c r="L70" s="231" t="s">
        <v>1961</v>
      </c>
      <c r="M70" s="1029" t="s">
        <v>276</v>
      </c>
    </row>
    <row r="71" spans="1:13" s="900" customFormat="1" ht="48">
      <c r="A71" s="207"/>
      <c r="B71" s="1028" t="s">
        <v>744</v>
      </c>
      <c r="C71" s="858" t="s">
        <v>1223</v>
      </c>
      <c r="D71" s="270">
        <v>3</v>
      </c>
      <c r="E71" s="902" t="s">
        <v>5</v>
      </c>
      <c r="F71" s="218">
        <v>18000</v>
      </c>
      <c r="G71" s="376">
        <f>F71*0.3</f>
        <v>5400</v>
      </c>
      <c r="H71" s="769">
        <f>D71*F71</f>
        <v>54000</v>
      </c>
      <c r="I71" s="769">
        <f>D71*G71</f>
        <v>16200</v>
      </c>
      <c r="J71" s="769">
        <f>H71+I71</f>
        <v>70200</v>
      </c>
      <c r="K71" s="376"/>
      <c r="L71" s="231" t="s">
        <v>1961</v>
      </c>
      <c r="M71" s="1029" t="s">
        <v>276</v>
      </c>
    </row>
    <row r="72" spans="1:13" s="900" customFormat="1" ht="48">
      <c r="A72" s="207"/>
      <c r="B72" s="1028" t="s">
        <v>759</v>
      </c>
      <c r="C72" s="858" t="s">
        <v>760</v>
      </c>
      <c r="D72" s="270">
        <v>2</v>
      </c>
      <c r="E72" s="902" t="s">
        <v>5</v>
      </c>
      <c r="F72" s="218">
        <v>35000</v>
      </c>
      <c r="G72" s="376">
        <f>F72*0.3</f>
        <v>10500</v>
      </c>
      <c r="H72" s="769">
        <f>D72*F72</f>
        <v>70000</v>
      </c>
      <c r="I72" s="769">
        <f>D72*G72</f>
        <v>21000</v>
      </c>
      <c r="J72" s="769">
        <f>H72+I72</f>
        <v>91000</v>
      </c>
      <c r="K72" s="376"/>
      <c r="L72" s="231" t="s">
        <v>1961</v>
      </c>
      <c r="M72" s="1029" t="s">
        <v>276</v>
      </c>
    </row>
    <row r="73" spans="1:13" s="900" customFormat="1">
      <c r="A73" s="1030" t="s">
        <v>722</v>
      </c>
      <c r="B73" s="1033" t="s">
        <v>2017</v>
      </c>
      <c r="C73" s="858"/>
      <c r="D73" s="270"/>
      <c r="E73" s="902"/>
      <c r="F73" s="218"/>
      <c r="G73" s="376"/>
      <c r="H73" s="769"/>
      <c r="I73" s="769"/>
      <c r="J73" s="769"/>
      <c r="K73" s="376"/>
      <c r="L73" s="231"/>
      <c r="M73" s="1029"/>
    </row>
    <row r="74" spans="1:13">
      <c r="A74" s="157"/>
      <c r="B74" s="1034" t="s">
        <v>761</v>
      </c>
      <c r="C74" s="908" t="s">
        <v>762</v>
      </c>
      <c r="D74" s="160">
        <v>1</v>
      </c>
      <c r="E74" s="901" t="s">
        <v>5</v>
      </c>
      <c r="F74" s="217">
        <v>145000</v>
      </c>
      <c r="G74" s="456">
        <f>F74*0.3</f>
        <v>43500</v>
      </c>
      <c r="H74" s="296">
        <f>D74*F74</f>
        <v>145000</v>
      </c>
      <c r="I74" s="296">
        <f>D74*G74</f>
        <v>43500</v>
      </c>
      <c r="J74" s="296">
        <f>H74+I74</f>
        <v>188500</v>
      </c>
      <c r="K74" s="456"/>
      <c r="L74" s="159" t="s">
        <v>1961</v>
      </c>
      <c r="M74" s="906" t="s">
        <v>276</v>
      </c>
    </row>
    <row r="75" spans="1:13">
      <c r="A75" s="157"/>
      <c r="B75" s="1034" t="s">
        <v>763</v>
      </c>
      <c r="C75" s="908" t="s">
        <v>764</v>
      </c>
      <c r="D75" s="160">
        <v>1</v>
      </c>
      <c r="E75" s="901" t="s">
        <v>5</v>
      </c>
      <c r="F75" s="217">
        <v>95000</v>
      </c>
      <c r="G75" s="456">
        <f>F75*0.3</f>
        <v>28500</v>
      </c>
      <c r="H75" s="296">
        <f>D75*F75</f>
        <v>95000</v>
      </c>
      <c r="I75" s="296">
        <f>D75*G75</f>
        <v>28500</v>
      </c>
      <c r="J75" s="296">
        <f>H75+I75</f>
        <v>123500</v>
      </c>
      <c r="K75" s="456"/>
      <c r="L75" s="159" t="s">
        <v>1961</v>
      </c>
      <c r="M75" s="906" t="s">
        <v>276</v>
      </c>
    </row>
    <row r="76" spans="1:13">
      <c r="A76" s="157"/>
      <c r="B76" s="1034" t="s">
        <v>765</v>
      </c>
      <c r="C76" s="908" t="s">
        <v>1106</v>
      </c>
      <c r="D76" s="160">
        <v>1</v>
      </c>
      <c r="E76" s="901" t="s">
        <v>5</v>
      </c>
      <c r="F76" s="217">
        <v>40000</v>
      </c>
      <c r="G76" s="456">
        <f>F76*0.3</f>
        <v>12000</v>
      </c>
      <c r="H76" s="296">
        <f>D76*F76</f>
        <v>40000</v>
      </c>
      <c r="I76" s="296">
        <f>D76*G76</f>
        <v>12000</v>
      </c>
      <c r="J76" s="296">
        <f>H76+I76</f>
        <v>52000</v>
      </c>
      <c r="K76" s="456"/>
      <c r="L76" s="159" t="s">
        <v>1961</v>
      </c>
      <c r="M76" s="906" t="s">
        <v>276</v>
      </c>
    </row>
    <row r="77" spans="1:13">
      <c r="A77" s="157"/>
      <c r="B77" s="1034" t="s">
        <v>766</v>
      </c>
      <c r="C77" s="908" t="s">
        <v>1107</v>
      </c>
      <c r="D77" s="160">
        <v>1</v>
      </c>
      <c r="E77" s="901" t="s">
        <v>5</v>
      </c>
      <c r="F77" s="217">
        <v>44280</v>
      </c>
      <c r="G77" s="456">
        <f>F77*0.3</f>
        <v>13284</v>
      </c>
      <c r="H77" s="296">
        <f>D77*F77</f>
        <v>44280</v>
      </c>
      <c r="I77" s="296">
        <f>D77*G77</f>
        <v>13284</v>
      </c>
      <c r="J77" s="296">
        <f>H77+I77</f>
        <v>57564</v>
      </c>
      <c r="K77" s="456"/>
      <c r="L77" s="159" t="s">
        <v>1961</v>
      </c>
      <c r="M77" s="906" t="s">
        <v>276</v>
      </c>
    </row>
    <row r="78" spans="1:13">
      <c r="A78" s="157"/>
      <c r="B78" s="1034" t="s">
        <v>767</v>
      </c>
      <c r="C78" s="908" t="s">
        <v>768</v>
      </c>
      <c r="D78" s="160">
        <v>1</v>
      </c>
      <c r="E78" s="901" t="s">
        <v>5</v>
      </c>
      <c r="F78" s="217">
        <v>110000</v>
      </c>
      <c r="G78" s="456">
        <f>F78*0.3</f>
        <v>33000</v>
      </c>
      <c r="H78" s="296">
        <f>D78*F78</f>
        <v>110000</v>
      </c>
      <c r="I78" s="296">
        <f>D78*G78</f>
        <v>33000</v>
      </c>
      <c r="J78" s="296">
        <f>H78+I78</f>
        <v>143000</v>
      </c>
      <c r="K78" s="456"/>
      <c r="L78" s="159" t="s">
        <v>1961</v>
      </c>
      <c r="M78" s="906" t="s">
        <v>276</v>
      </c>
    </row>
    <row r="79" spans="1:13">
      <c r="A79" s="157"/>
      <c r="B79" s="1034"/>
      <c r="C79" s="908"/>
      <c r="D79" s="160"/>
      <c r="E79" s="901"/>
      <c r="F79" s="217"/>
      <c r="G79" s="456"/>
      <c r="H79" s="296"/>
      <c r="I79" s="296"/>
      <c r="J79" s="296"/>
      <c r="K79" s="456"/>
      <c r="L79" s="159"/>
      <c r="M79" s="906"/>
    </row>
    <row r="80" spans="1:13" s="152" customFormat="1" ht="24" customHeight="1" thickBot="1">
      <c r="A80" s="1035"/>
      <c r="B80" s="2571" t="str">
        <f>"รวมราคา "&amp;B12</f>
        <v>รวมราคา งานครุภัณฑ์จัดจ้างหรือสั่งทำ (เฟอร์นิเจอร์บิ้วอิน)</v>
      </c>
      <c r="C80" s="2572"/>
      <c r="D80" s="349"/>
      <c r="E80" s="766"/>
      <c r="F80" s="350"/>
      <c r="G80" s="350"/>
      <c r="H80" s="350">
        <f>SUM(H13:H78)</f>
        <v>2793530</v>
      </c>
      <c r="I80" s="350">
        <f>SUM(I13:I78)</f>
        <v>850059</v>
      </c>
      <c r="J80" s="350">
        <f>SUM(J13:J78)</f>
        <v>3643589</v>
      </c>
      <c r="K80" s="1036"/>
      <c r="L80" s="347"/>
      <c r="M80" s="1037"/>
    </row>
    <row r="81" spans="1:13" s="152" customFormat="1" ht="24" customHeight="1" thickTop="1">
      <c r="A81" s="1066"/>
      <c r="B81" s="1066"/>
      <c r="C81" s="1066"/>
      <c r="D81" s="1066"/>
      <c r="E81" s="1066"/>
      <c r="F81" s="1066"/>
      <c r="G81" s="1066"/>
      <c r="H81" s="1066"/>
      <c r="I81" s="1066"/>
      <c r="J81" s="1066"/>
      <c r="K81" s="1066"/>
      <c r="L81" s="347"/>
      <c r="M81" s="1037"/>
    </row>
    <row r="82" spans="1:13" s="152" customFormat="1" ht="24" customHeight="1">
      <c r="A82" s="139"/>
      <c r="B82" s="881" t="s">
        <v>133</v>
      </c>
      <c r="C82" s="175"/>
      <c r="D82" s="1644"/>
      <c r="E82" s="177"/>
      <c r="F82" s="177"/>
      <c r="G82" s="265"/>
      <c r="H82" s="265"/>
      <c r="I82" s="265"/>
      <c r="J82" s="265"/>
      <c r="K82" s="265"/>
      <c r="L82" s="347"/>
      <c r="M82" s="1037"/>
    </row>
    <row r="83" spans="1:13" s="152" customFormat="1" ht="24" customHeight="1">
      <c r="A83" s="139"/>
      <c r="B83" s="1638" t="s">
        <v>1769</v>
      </c>
      <c r="C83" s="137"/>
      <c r="D83" s="137"/>
      <c r="E83" s="173"/>
      <c r="F83" s="1638" t="s">
        <v>134</v>
      </c>
      <c r="G83" s="137"/>
      <c r="H83" s="137"/>
      <c r="I83" s="137"/>
      <c r="J83" s="137"/>
      <c r="K83" s="137"/>
      <c r="L83" s="347"/>
      <c r="M83" s="1037"/>
    </row>
    <row r="84" spans="1:13" s="152" customFormat="1" ht="24" customHeight="1">
      <c r="A84" s="139"/>
      <c r="B84" s="174" t="s">
        <v>1970</v>
      </c>
      <c r="C84" s="137"/>
      <c r="D84" s="137"/>
      <c r="E84" s="1638"/>
      <c r="F84" s="227" t="s">
        <v>1971</v>
      </c>
      <c r="G84" s="137"/>
      <c r="H84" s="768"/>
      <c r="I84" s="768"/>
      <c r="J84" s="768"/>
      <c r="K84" s="768"/>
      <c r="L84" s="347"/>
      <c r="M84" s="1037"/>
    </row>
    <row r="85" spans="1:13" s="152" customFormat="1" ht="24" customHeight="1">
      <c r="A85" s="139"/>
      <c r="B85" s="1638" t="s">
        <v>2031</v>
      </c>
      <c r="C85" s="137"/>
      <c r="D85" s="137"/>
      <c r="E85" s="174"/>
      <c r="F85" s="1638" t="s">
        <v>2031</v>
      </c>
      <c r="G85" s="137"/>
      <c r="H85" s="1638"/>
      <c r="I85" s="1638"/>
      <c r="J85" s="1638"/>
      <c r="K85" s="1638"/>
      <c r="L85" s="347"/>
      <c r="M85" s="1037"/>
    </row>
    <row r="86" spans="1:13" s="152" customFormat="1" ht="24" customHeight="1">
      <c r="A86" s="139"/>
      <c r="B86" s="174" t="s">
        <v>1984</v>
      </c>
      <c r="C86" s="137"/>
      <c r="D86" s="137"/>
      <c r="E86" s="174"/>
      <c r="F86" s="174" t="s">
        <v>1985</v>
      </c>
      <c r="G86" s="137"/>
      <c r="H86" s="174"/>
      <c r="I86" s="174"/>
      <c r="J86" s="174"/>
      <c r="K86" s="174"/>
      <c r="L86" s="347"/>
      <c r="M86" s="1037"/>
    </row>
    <row r="87" spans="1:13" s="152" customFormat="1" ht="24" customHeight="1">
      <c r="A87" s="139"/>
      <c r="B87" s="1638" t="s">
        <v>670</v>
      </c>
      <c r="C87" s="143"/>
      <c r="D87" s="1638"/>
      <c r="E87" s="1638"/>
      <c r="F87" s="137"/>
      <c r="G87" s="174"/>
      <c r="H87" s="137"/>
      <c r="I87" s="137"/>
      <c r="J87" s="137"/>
      <c r="K87" s="137"/>
      <c r="L87" s="347"/>
      <c r="M87" s="1037"/>
    </row>
    <row r="88" spans="1:13" s="152" customFormat="1" ht="24" customHeight="1" thickBot="1">
      <c r="A88" s="137"/>
      <c r="B88" s="174" t="s">
        <v>1972</v>
      </c>
      <c r="C88" s="143"/>
      <c r="D88" s="174"/>
      <c r="E88" s="174"/>
      <c r="F88" s="1640"/>
      <c r="G88" s="174"/>
      <c r="H88" s="1638"/>
      <c r="I88" s="1638"/>
      <c r="J88" s="1638"/>
      <c r="K88" s="1638"/>
      <c r="L88" s="347"/>
      <c r="M88" s="1037"/>
    </row>
    <row r="89" spans="1:13" s="152" customFormat="1" ht="24" customHeight="1" thickTop="1">
      <c r="A89" s="862">
        <v>7.2</v>
      </c>
      <c r="B89" s="1038" t="s">
        <v>2018</v>
      </c>
      <c r="C89" s="1039"/>
      <c r="D89" s="399"/>
      <c r="E89" s="907"/>
      <c r="F89" s="400"/>
      <c r="G89" s="400"/>
      <c r="H89" s="400"/>
      <c r="I89" s="400"/>
      <c r="J89" s="400"/>
      <c r="K89" s="1040"/>
      <c r="L89" s="347"/>
      <c r="M89" s="860"/>
    </row>
    <row r="90" spans="1:13" s="152" customFormat="1" ht="24" customHeight="1">
      <c r="A90" s="899" t="s">
        <v>632</v>
      </c>
      <c r="B90" s="2575" t="s">
        <v>963</v>
      </c>
      <c r="C90" s="2576"/>
      <c r="D90" s="488"/>
      <c r="E90" s="1041"/>
      <c r="F90" s="1042"/>
      <c r="G90" s="1042"/>
      <c r="H90" s="1042"/>
      <c r="I90" s="1042"/>
      <c r="J90" s="1042"/>
      <c r="K90" s="455"/>
      <c r="L90" s="1042"/>
      <c r="M90" s="860"/>
    </row>
    <row r="91" spans="1:13" ht="24" customHeight="1">
      <c r="A91" s="157"/>
      <c r="B91" s="1043" t="s">
        <v>427</v>
      </c>
      <c r="C91" s="1044" t="s">
        <v>964</v>
      </c>
      <c r="D91" s="1045">
        <v>1</v>
      </c>
      <c r="E91" s="901" t="s">
        <v>5</v>
      </c>
      <c r="F91" s="1046">
        <v>1800</v>
      </c>
      <c r="G91" s="1046">
        <v>200</v>
      </c>
      <c r="H91" s="296">
        <f t="shared" ref="H91:H110" si="7">D91*F91</f>
        <v>1800</v>
      </c>
      <c r="I91" s="296">
        <f t="shared" ref="I91:I110" si="8">D91*G91</f>
        <v>200</v>
      </c>
      <c r="J91" s="296">
        <f t="shared" ref="J91:J110" si="9">H91+I91</f>
        <v>2000</v>
      </c>
      <c r="K91" s="456"/>
      <c r="L91" s="1047" t="s">
        <v>1937</v>
      </c>
      <c r="M91" s="906" t="s">
        <v>276</v>
      </c>
    </row>
    <row r="92" spans="1:13" ht="24" customHeight="1">
      <c r="A92" s="157"/>
      <c r="B92" s="1043" t="s">
        <v>428</v>
      </c>
      <c r="C92" s="1044" t="s">
        <v>964</v>
      </c>
      <c r="D92" s="1045">
        <v>2</v>
      </c>
      <c r="E92" s="901" t="s">
        <v>5</v>
      </c>
      <c r="F92" s="1046">
        <v>2000</v>
      </c>
      <c r="G92" s="1046">
        <v>200</v>
      </c>
      <c r="H92" s="296">
        <f t="shared" si="7"/>
        <v>4000</v>
      </c>
      <c r="I92" s="296">
        <f t="shared" si="8"/>
        <v>400</v>
      </c>
      <c r="J92" s="296">
        <f t="shared" si="9"/>
        <v>4400</v>
      </c>
      <c r="K92" s="456"/>
      <c r="L92" s="1047" t="s">
        <v>1937</v>
      </c>
      <c r="M92" s="906" t="s">
        <v>276</v>
      </c>
    </row>
    <row r="93" spans="1:13" ht="24" customHeight="1">
      <c r="A93" s="157"/>
      <c r="B93" s="1043" t="s">
        <v>432</v>
      </c>
      <c r="C93" s="1044" t="s">
        <v>964</v>
      </c>
      <c r="D93" s="1045">
        <v>2</v>
      </c>
      <c r="E93" s="901" t="s">
        <v>5</v>
      </c>
      <c r="F93" s="1046">
        <v>1700</v>
      </c>
      <c r="G93" s="1046">
        <v>200</v>
      </c>
      <c r="H93" s="296">
        <f t="shared" si="7"/>
        <v>3400</v>
      </c>
      <c r="I93" s="296">
        <f t="shared" si="8"/>
        <v>400</v>
      </c>
      <c r="J93" s="296">
        <f t="shared" si="9"/>
        <v>3800</v>
      </c>
      <c r="K93" s="456"/>
      <c r="L93" s="1047" t="s">
        <v>1937</v>
      </c>
      <c r="M93" s="906" t="s">
        <v>276</v>
      </c>
    </row>
    <row r="94" spans="1:13" ht="24" customHeight="1">
      <c r="A94" s="157"/>
      <c r="B94" s="1043" t="s">
        <v>433</v>
      </c>
      <c r="C94" s="1044" t="s">
        <v>964</v>
      </c>
      <c r="D94" s="1045">
        <v>4</v>
      </c>
      <c r="E94" s="901" t="s">
        <v>5</v>
      </c>
      <c r="F94" s="1046">
        <v>2600</v>
      </c>
      <c r="G94" s="1046">
        <v>200</v>
      </c>
      <c r="H94" s="296">
        <f t="shared" si="7"/>
        <v>10400</v>
      </c>
      <c r="I94" s="296">
        <f t="shared" si="8"/>
        <v>800</v>
      </c>
      <c r="J94" s="296">
        <f t="shared" si="9"/>
        <v>11200</v>
      </c>
      <c r="K94" s="456"/>
      <c r="L94" s="1047" t="s">
        <v>1937</v>
      </c>
      <c r="M94" s="906" t="s">
        <v>276</v>
      </c>
    </row>
    <row r="95" spans="1:13" ht="24" customHeight="1">
      <c r="A95" s="157"/>
      <c r="B95" s="1043" t="s">
        <v>434</v>
      </c>
      <c r="C95" s="1044" t="s">
        <v>964</v>
      </c>
      <c r="D95" s="1045">
        <v>2</v>
      </c>
      <c r="E95" s="901" t="s">
        <v>5</v>
      </c>
      <c r="F95" s="1046">
        <v>2700</v>
      </c>
      <c r="G95" s="1046">
        <v>200</v>
      </c>
      <c r="H95" s="296">
        <f t="shared" si="7"/>
        <v>5400</v>
      </c>
      <c r="I95" s="296">
        <f t="shared" si="8"/>
        <v>400</v>
      </c>
      <c r="J95" s="296">
        <f t="shared" si="9"/>
        <v>5800</v>
      </c>
      <c r="K95" s="456"/>
      <c r="L95" s="1047" t="s">
        <v>1937</v>
      </c>
      <c r="M95" s="906" t="s">
        <v>276</v>
      </c>
    </row>
    <row r="96" spans="1:13" ht="24" customHeight="1">
      <c r="A96" s="157"/>
      <c r="B96" s="1043" t="s">
        <v>435</v>
      </c>
      <c r="C96" s="1044" t="s">
        <v>964</v>
      </c>
      <c r="D96" s="1045">
        <v>6</v>
      </c>
      <c r="E96" s="901" t="s">
        <v>5</v>
      </c>
      <c r="F96" s="1046">
        <v>2800</v>
      </c>
      <c r="G96" s="1046">
        <v>200</v>
      </c>
      <c r="H96" s="296">
        <f t="shared" si="7"/>
        <v>16800</v>
      </c>
      <c r="I96" s="296">
        <f t="shared" si="8"/>
        <v>1200</v>
      </c>
      <c r="J96" s="296">
        <f t="shared" si="9"/>
        <v>18000</v>
      </c>
      <c r="K96" s="456"/>
      <c r="L96" s="1047" t="s">
        <v>1937</v>
      </c>
      <c r="M96" s="906" t="s">
        <v>276</v>
      </c>
    </row>
    <row r="97" spans="1:13" ht="24" customHeight="1">
      <c r="A97" s="157"/>
      <c r="B97" s="1043" t="s">
        <v>437</v>
      </c>
      <c r="C97" s="1044" t="s">
        <v>964</v>
      </c>
      <c r="D97" s="1045">
        <v>6</v>
      </c>
      <c r="E97" s="901" t="s">
        <v>5</v>
      </c>
      <c r="F97" s="1046">
        <v>2800</v>
      </c>
      <c r="G97" s="1046">
        <v>200</v>
      </c>
      <c r="H97" s="296">
        <f t="shared" si="7"/>
        <v>16800</v>
      </c>
      <c r="I97" s="296">
        <f t="shared" si="8"/>
        <v>1200</v>
      </c>
      <c r="J97" s="296">
        <f t="shared" si="9"/>
        <v>18000</v>
      </c>
      <c r="K97" s="456"/>
      <c r="L97" s="1047" t="s">
        <v>1937</v>
      </c>
      <c r="M97" s="906" t="s">
        <v>276</v>
      </c>
    </row>
    <row r="98" spans="1:13" ht="24" customHeight="1">
      <c r="A98" s="170"/>
      <c r="B98" s="1048" t="s">
        <v>438</v>
      </c>
      <c r="C98" s="1049" t="s">
        <v>964</v>
      </c>
      <c r="D98" s="1050">
        <v>3</v>
      </c>
      <c r="E98" s="153" t="s">
        <v>5</v>
      </c>
      <c r="F98" s="1051">
        <v>2700</v>
      </c>
      <c r="G98" s="1051">
        <v>200</v>
      </c>
      <c r="H98" s="1052">
        <f t="shared" si="7"/>
        <v>8100</v>
      </c>
      <c r="I98" s="1052">
        <f t="shared" si="8"/>
        <v>600</v>
      </c>
      <c r="J98" s="1052">
        <f t="shared" si="9"/>
        <v>8700</v>
      </c>
      <c r="K98" s="456"/>
      <c r="L98" s="1047" t="s">
        <v>1937</v>
      </c>
      <c r="M98" s="906" t="s">
        <v>276</v>
      </c>
    </row>
    <row r="99" spans="1:13" ht="24" customHeight="1">
      <c r="A99" s="157"/>
      <c r="B99" s="1043" t="s">
        <v>439</v>
      </c>
      <c r="C99" s="1044" t="s">
        <v>964</v>
      </c>
      <c r="D99" s="1045">
        <v>2</v>
      </c>
      <c r="E99" s="901" t="s">
        <v>5</v>
      </c>
      <c r="F99" s="1046">
        <v>2800</v>
      </c>
      <c r="G99" s="1046">
        <v>200</v>
      </c>
      <c r="H99" s="296">
        <f t="shared" si="7"/>
        <v>5600</v>
      </c>
      <c r="I99" s="296">
        <f t="shared" si="8"/>
        <v>400</v>
      </c>
      <c r="J99" s="296">
        <f t="shared" si="9"/>
        <v>6000</v>
      </c>
      <c r="K99" s="456"/>
      <c r="L99" s="1047" t="s">
        <v>1937</v>
      </c>
      <c r="M99" s="906" t="s">
        <v>276</v>
      </c>
    </row>
    <row r="100" spans="1:13" ht="24" customHeight="1">
      <c r="A100" s="157"/>
      <c r="B100" s="1043" t="s">
        <v>440</v>
      </c>
      <c r="C100" s="1044" t="s">
        <v>964</v>
      </c>
      <c r="D100" s="1045">
        <v>4</v>
      </c>
      <c r="E100" s="901" t="s">
        <v>5</v>
      </c>
      <c r="F100" s="1046">
        <v>2900</v>
      </c>
      <c r="G100" s="1046">
        <v>200</v>
      </c>
      <c r="H100" s="296">
        <f t="shared" si="7"/>
        <v>11600</v>
      </c>
      <c r="I100" s="296">
        <f t="shared" si="8"/>
        <v>800</v>
      </c>
      <c r="J100" s="296">
        <f t="shared" si="9"/>
        <v>12400</v>
      </c>
      <c r="K100" s="456"/>
      <c r="L100" s="1047" t="s">
        <v>1937</v>
      </c>
      <c r="M100" s="906" t="s">
        <v>276</v>
      </c>
    </row>
    <row r="101" spans="1:13" ht="24" customHeight="1">
      <c r="A101" s="157"/>
      <c r="B101" s="1043" t="s">
        <v>965</v>
      </c>
      <c r="C101" s="1044" t="s">
        <v>964</v>
      </c>
      <c r="D101" s="1045">
        <v>2</v>
      </c>
      <c r="E101" s="901" t="s">
        <v>5</v>
      </c>
      <c r="F101" s="1046">
        <v>3100</v>
      </c>
      <c r="G101" s="1046">
        <v>200</v>
      </c>
      <c r="H101" s="296">
        <f t="shared" si="7"/>
        <v>6200</v>
      </c>
      <c r="I101" s="296">
        <f t="shared" si="8"/>
        <v>400</v>
      </c>
      <c r="J101" s="296">
        <f t="shared" si="9"/>
        <v>6600</v>
      </c>
      <c r="K101" s="456"/>
      <c r="L101" s="1047" t="s">
        <v>1937</v>
      </c>
      <c r="M101" s="906" t="s">
        <v>276</v>
      </c>
    </row>
    <row r="102" spans="1:13" ht="24" customHeight="1">
      <c r="A102" s="157"/>
      <c r="B102" s="1043" t="s">
        <v>974</v>
      </c>
      <c r="C102" s="1044" t="s">
        <v>964</v>
      </c>
      <c r="D102" s="1045">
        <v>2</v>
      </c>
      <c r="E102" s="901" t="s">
        <v>5</v>
      </c>
      <c r="F102" s="1046">
        <v>3200</v>
      </c>
      <c r="G102" s="1046">
        <v>200</v>
      </c>
      <c r="H102" s="296">
        <f t="shared" si="7"/>
        <v>6400</v>
      </c>
      <c r="I102" s="296">
        <f t="shared" si="8"/>
        <v>400</v>
      </c>
      <c r="J102" s="296">
        <f t="shared" si="9"/>
        <v>6800</v>
      </c>
      <c r="K102" s="456"/>
      <c r="L102" s="1047" t="s">
        <v>1937</v>
      </c>
      <c r="M102" s="906" t="s">
        <v>276</v>
      </c>
    </row>
    <row r="103" spans="1:13" ht="24" customHeight="1">
      <c r="A103" s="157"/>
      <c r="B103" s="1043" t="s">
        <v>982</v>
      </c>
      <c r="C103" s="1044" t="s">
        <v>964</v>
      </c>
      <c r="D103" s="1045">
        <v>1</v>
      </c>
      <c r="E103" s="901" t="s">
        <v>5</v>
      </c>
      <c r="F103" s="1046">
        <v>3800</v>
      </c>
      <c r="G103" s="1046">
        <v>200</v>
      </c>
      <c r="H103" s="296">
        <f t="shared" si="7"/>
        <v>3800</v>
      </c>
      <c r="I103" s="296">
        <f t="shared" si="8"/>
        <v>200</v>
      </c>
      <c r="J103" s="296">
        <f t="shared" si="9"/>
        <v>4000</v>
      </c>
      <c r="K103" s="456"/>
      <c r="L103" s="1047" t="s">
        <v>1937</v>
      </c>
      <c r="M103" s="906" t="s">
        <v>276</v>
      </c>
    </row>
    <row r="104" spans="1:13" ht="24" customHeight="1">
      <c r="A104" s="157"/>
      <c r="B104" s="1043" t="s">
        <v>989</v>
      </c>
      <c r="C104" s="1044" t="s">
        <v>964</v>
      </c>
      <c r="D104" s="1045">
        <v>1</v>
      </c>
      <c r="E104" s="901" t="s">
        <v>5</v>
      </c>
      <c r="F104" s="1046">
        <v>4500</v>
      </c>
      <c r="G104" s="1046">
        <v>200</v>
      </c>
      <c r="H104" s="296">
        <f t="shared" si="7"/>
        <v>4500</v>
      </c>
      <c r="I104" s="296">
        <f t="shared" si="8"/>
        <v>200</v>
      </c>
      <c r="J104" s="296">
        <f t="shared" si="9"/>
        <v>4700</v>
      </c>
      <c r="K104" s="456"/>
      <c r="L104" s="1047" t="s">
        <v>1937</v>
      </c>
      <c r="M104" s="906" t="s">
        <v>276</v>
      </c>
    </row>
    <row r="105" spans="1:13" ht="24" customHeight="1">
      <c r="A105" s="157"/>
      <c r="B105" s="1043" t="s">
        <v>1091</v>
      </c>
      <c r="C105" s="1044" t="s">
        <v>967</v>
      </c>
      <c r="D105" s="1045">
        <v>2</v>
      </c>
      <c r="E105" s="901" t="s">
        <v>5</v>
      </c>
      <c r="F105" s="1046">
        <v>2300</v>
      </c>
      <c r="G105" s="1046">
        <v>200</v>
      </c>
      <c r="H105" s="296">
        <f t="shared" si="7"/>
        <v>4600</v>
      </c>
      <c r="I105" s="296">
        <f t="shared" si="8"/>
        <v>400</v>
      </c>
      <c r="J105" s="296">
        <f t="shared" si="9"/>
        <v>5000</v>
      </c>
      <c r="K105" s="456"/>
      <c r="L105" s="1047" t="s">
        <v>1937</v>
      </c>
      <c r="M105" s="906" t="s">
        <v>276</v>
      </c>
    </row>
    <row r="106" spans="1:13" ht="24" customHeight="1">
      <c r="A106" s="157"/>
      <c r="B106" s="1043" t="s">
        <v>1092</v>
      </c>
      <c r="C106" s="1044" t="s">
        <v>969</v>
      </c>
      <c r="D106" s="1045">
        <v>1</v>
      </c>
      <c r="E106" s="901" t="s">
        <v>5</v>
      </c>
      <c r="F106" s="1046">
        <v>5600</v>
      </c>
      <c r="G106" s="1046">
        <v>2500</v>
      </c>
      <c r="H106" s="296">
        <f t="shared" si="7"/>
        <v>5600</v>
      </c>
      <c r="I106" s="296">
        <f t="shared" si="8"/>
        <v>2500</v>
      </c>
      <c r="J106" s="296">
        <f t="shared" si="9"/>
        <v>8100</v>
      </c>
      <c r="K106" s="456"/>
      <c r="L106" s="1047" t="s">
        <v>1937</v>
      </c>
      <c r="M106" s="906" t="s">
        <v>276</v>
      </c>
    </row>
    <row r="107" spans="1:13" ht="24" customHeight="1">
      <c r="A107" s="157"/>
      <c r="B107" s="1043" t="s">
        <v>1097</v>
      </c>
      <c r="C107" s="1044" t="s">
        <v>969</v>
      </c>
      <c r="D107" s="1045">
        <v>2</v>
      </c>
      <c r="E107" s="901" t="s">
        <v>5</v>
      </c>
      <c r="F107" s="1046">
        <v>5700</v>
      </c>
      <c r="G107" s="1046">
        <v>2500</v>
      </c>
      <c r="H107" s="296">
        <f t="shared" si="7"/>
        <v>11400</v>
      </c>
      <c r="I107" s="296">
        <f t="shared" si="8"/>
        <v>5000</v>
      </c>
      <c r="J107" s="296">
        <f t="shared" si="9"/>
        <v>16400</v>
      </c>
      <c r="K107" s="456"/>
      <c r="L107" s="1047" t="s">
        <v>1937</v>
      </c>
      <c r="M107" s="906" t="s">
        <v>276</v>
      </c>
    </row>
    <row r="108" spans="1:13" ht="24" customHeight="1">
      <c r="A108" s="157"/>
      <c r="B108" s="1043" t="s">
        <v>1093</v>
      </c>
      <c r="C108" s="1044" t="s">
        <v>969</v>
      </c>
      <c r="D108" s="1045">
        <v>4</v>
      </c>
      <c r="E108" s="901" t="s">
        <v>5</v>
      </c>
      <c r="F108" s="1046">
        <v>6900</v>
      </c>
      <c r="G108" s="1046">
        <v>2500</v>
      </c>
      <c r="H108" s="296">
        <f t="shared" si="7"/>
        <v>27600</v>
      </c>
      <c r="I108" s="296">
        <f t="shared" si="8"/>
        <v>10000</v>
      </c>
      <c r="J108" s="296">
        <f t="shared" si="9"/>
        <v>37600</v>
      </c>
      <c r="K108" s="456"/>
      <c r="L108" s="1047" t="s">
        <v>1937</v>
      </c>
      <c r="M108" s="906" t="s">
        <v>276</v>
      </c>
    </row>
    <row r="109" spans="1:13" ht="24" customHeight="1">
      <c r="A109" s="157"/>
      <c r="B109" s="1043" t="s">
        <v>1094</v>
      </c>
      <c r="C109" s="1044" t="s">
        <v>969</v>
      </c>
      <c r="D109" s="1045">
        <v>2</v>
      </c>
      <c r="E109" s="901" t="s">
        <v>5</v>
      </c>
      <c r="F109" s="1046">
        <v>7000</v>
      </c>
      <c r="G109" s="1046">
        <v>2500</v>
      </c>
      <c r="H109" s="296">
        <f t="shared" si="7"/>
        <v>14000</v>
      </c>
      <c r="I109" s="296">
        <f t="shared" si="8"/>
        <v>5000</v>
      </c>
      <c r="J109" s="296">
        <f t="shared" si="9"/>
        <v>19000</v>
      </c>
      <c r="K109" s="456"/>
      <c r="L109" s="1047" t="s">
        <v>1937</v>
      </c>
      <c r="M109" s="906" t="s">
        <v>276</v>
      </c>
    </row>
    <row r="110" spans="1:13" ht="24" customHeight="1" thickBot="1">
      <c r="A110" s="157"/>
      <c r="B110" s="1043"/>
      <c r="C110" s="1044" t="s">
        <v>991</v>
      </c>
      <c r="D110" s="1045">
        <f>SUM(D106:D109)</f>
        <v>9</v>
      </c>
      <c r="E110" s="901" t="s">
        <v>5</v>
      </c>
      <c r="F110" s="1046">
        <v>7500</v>
      </c>
      <c r="G110" s="1046">
        <v>0</v>
      </c>
      <c r="H110" s="296">
        <f t="shared" si="7"/>
        <v>67500</v>
      </c>
      <c r="I110" s="296">
        <f t="shared" si="8"/>
        <v>0</v>
      </c>
      <c r="J110" s="296">
        <f t="shared" si="9"/>
        <v>67500</v>
      </c>
      <c r="K110" s="456"/>
      <c r="L110" s="1047" t="s">
        <v>1937</v>
      </c>
      <c r="M110" s="906"/>
    </row>
    <row r="111" spans="1:13" ht="24" customHeight="1" thickTop="1">
      <c r="A111" s="1066"/>
      <c r="B111" s="1066"/>
      <c r="C111" s="1066"/>
      <c r="D111" s="1066"/>
      <c r="E111" s="1066"/>
      <c r="F111" s="1066"/>
      <c r="G111" s="1066"/>
      <c r="H111" s="1066"/>
      <c r="I111" s="1066"/>
      <c r="J111" s="1066"/>
      <c r="K111" s="1066"/>
      <c r="L111" s="1047"/>
      <c r="M111" s="906"/>
    </row>
    <row r="112" spans="1:13" ht="24" customHeight="1">
      <c r="A112" s="139"/>
      <c r="B112" s="881" t="s">
        <v>133</v>
      </c>
      <c r="C112" s="175"/>
      <c r="D112" s="1644"/>
      <c r="E112" s="177"/>
      <c r="F112" s="177"/>
      <c r="G112" s="265"/>
      <c r="H112" s="265"/>
      <c r="I112" s="265"/>
      <c r="J112" s="265"/>
      <c r="K112" s="265"/>
      <c r="L112" s="1047"/>
      <c r="M112" s="906"/>
    </row>
    <row r="113" spans="1:13" ht="24" customHeight="1">
      <c r="A113" s="139"/>
      <c r="B113" s="1638" t="s">
        <v>1769</v>
      </c>
      <c r="C113" s="137"/>
      <c r="D113" s="137"/>
      <c r="E113" s="173"/>
      <c r="F113" s="1638" t="s">
        <v>134</v>
      </c>
      <c r="G113" s="137"/>
      <c r="H113" s="137"/>
      <c r="I113" s="137"/>
      <c r="J113" s="137"/>
      <c r="K113" s="137"/>
      <c r="L113" s="1047"/>
      <c r="M113" s="906"/>
    </row>
    <row r="114" spans="1:13" ht="24" customHeight="1">
      <c r="A114" s="139"/>
      <c r="B114" s="174" t="s">
        <v>1970</v>
      </c>
      <c r="C114" s="137"/>
      <c r="D114" s="137"/>
      <c r="E114" s="1638"/>
      <c r="F114" s="227" t="s">
        <v>1971</v>
      </c>
      <c r="G114" s="137"/>
      <c r="H114" s="768"/>
      <c r="I114" s="768"/>
      <c r="J114" s="768"/>
      <c r="K114" s="768"/>
      <c r="L114" s="1047"/>
      <c r="M114" s="906"/>
    </row>
    <row r="115" spans="1:13" ht="24" customHeight="1">
      <c r="A115" s="139"/>
      <c r="B115" s="1638" t="s">
        <v>2031</v>
      </c>
      <c r="C115" s="137"/>
      <c r="D115" s="137"/>
      <c r="E115" s="174"/>
      <c r="F115" s="1638" t="s">
        <v>2031</v>
      </c>
      <c r="G115" s="137"/>
      <c r="H115" s="1638"/>
      <c r="I115" s="1638"/>
      <c r="J115" s="1638"/>
      <c r="K115" s="1638"/>
      <c r="L115" s="1047"/>
      <c r="M115" s="906"/>
    </row>
    <row r="116" spans="1:13" ht="24" customHeight="1">
      <c r="A116" s="139"/>
      <c r="B116" s="174" t="s">
        <v>1984</v>
      </c>
      <c r="C116" s="137"/>
      <c r="D116" s="137"/>
      <c r="E116" s="174"/>
      <c r="F116" s="174" t="s">
        <v>1985</v>
      </c>
      <c r="G116" s="137"/>
      <c r="L116" s="1047"/>
      <c r="M116" s="906"/>
    </row>
    <row r="117" spans="1:13" ht="24" customHeight="1">
      <c r="A117" s="139"/>
      <c r="B117" s="1638" t="s">
        <v>670</v>
      </c>
      <c r="D117" s="1638"/>
      <c r="E117" s="1638"/>
      <c r="F117" s="137"/>
      <c r="H117" s="137"/>
      <c r="I117" s="137"/>
      <c r="J117" s="137"/>
      <c r="K117" s="137"/>
      <c r="L117" s="1047"/>
      <c r="M117" s="906"/>
    </row>
    <row r="118" spans="1:13" ht="24" customHeight="1">
      <c r="A118" s="137"/>
      <c r="B118" s="174" t="s">
        <v>1972</v>
      </c>
      <c r="D118" s="174"/>
      <c r="E118" s="174"/>
      <c r="F118" s="1640"/>
      <c r="H118" s="1638"/>
      <c r="I118" s="1638"/>
      <c r="J118" s="1638"/>
      <c r="K118" s="1638"/>
      <c r="L118" s="1047"/>
      <c r="M118" s="906"/>
    </row>
    <row r="119" spans="1:13" s="152" customFormat="1" ht="24" customHeight="1">
      <c r="A119" s="163" t="s">
        <v>2019</v>
      </c>
      <c r="B119" s="2577" t="s">
        <v>973</v>
      </c>
      <c r="C119" s="2578"/>
      <c r="D119" s="185"/>
      <c r="E119" s="1053"/>
      <c r="F119" s="1054"/>
      <c r="G119" s="1054"/>
      <c r="H119" s="1054"/>
      <c r="I119" s="1054"/>
      <c r="J119" s="1055"/>
      <c r="K119" s="456"/>
      <c r="L119" s="229"/>
      <c r="M119" s="860"/>
    </row>
    <row r="120" spans="1:13" ht="24" customHeight="1">
      <c r="A120" s="157"/>
      <c r="B120" s="1043" t="s">
        <v>427</v>
      </c>
      <c r="C120" s="1044" t="s">
        <v>964</v>
      </c>
      <c r="D120" s="1045">
        <v>1</v>
      </c>
      <c r="E120" s="901" t="s">
        <v>5</v>
      </c>
      <c r="F120" s="1046">
        <v>1800</v>
      </c>
      <c r="G120" s="1046">
        <v>250</v>
      </c>
      <c r="H120" s="296">
        <f t="shared" ref="H120:H134" si="10">D120*F120</f>
        <v>1800</v>
      </c>
      <c r="I120" s="296">
        <f t="shared" ref="I120:I134" si="11">D120*G120</f>
        <v>250</v>
      </c>
      <c r="J120" s="296">
        <f t="shared" ref="J120:J134" si="12">H120+I120</f>
        <v>2050</v>
      </c>
      <c r="K120" s="456"/>
      <c r="L120" s="1047" t="s">
        <v>1937</v>
      </c>
      <c r="M120" s="906" t="s">
        <v>276</v>
      </c>
    </row>
    <row r="121" spans="1:13" ht="24" customHeight="1">
      <c r="A121" s="157"/>
      <c r="B121" s="1043" t="s">
        <v>429</v>
      </c>
      <c r="C121" s="1044" t="s">
        <v>964</v>
      </c>
      <c r="D121" s="1045">
        <v>2</v>
      </c>
      <c r="E121" s="901" t="s">
        <v>5</v>
      </c>
      <c r="F121" s="1046">
        <v>2000</v>
      </c>
      <c r="G121" s="1046">
        <v>250</v>
      </c>
      <c r="H121" s="296">
        <f t="shared" si="10"/>
        <v>4000</v>
      </c>
      <c r="I121" s="296">
        <f t="shared" si="11"/>
        <v>500</v>
      </c>
      <c r="J121" s="296">
        <f t="shared" si="12"/>
        <v>4500</v>
      </c>
      <c r="K121" s="456"/>
      <c r="L121" s="1047" t="s">
        <v>1937</v>
      </c>
      <c r="M121" s="906" t="s">
        <v>276</v>
      </c>
    </row>
    <row r="122" spans="1:13" ht="24" customHeight="1">
      <c r="A122" s="157"/>
      <c r="B122" s="1043" t="s">
        <v>430</v>
      </c>
      <c r="C122" s="1044" t="s">
        <v>964</v>
      </c>
      <c r="D122" s="1045">
        <v>2</v>
      </c>
      <c r="E122" s="901" t="s">
        <v>5</v>
      </c>
      <c r="F122" s="1046">
        <v>2400</v>
      </c>
      <c r="G122" s="1046">
        <v>250</v>
      </c>
      <c r="H122" s="296">
        <f t="shared" si="10"/>
        <v>4800</v>
      </c>
      <c r="I122" s="296">
        <f t="shared" si="11"/>
        <v>500</v>
      </c>
      <c r="J122" s="296">
        <f t="shared" si="12"/>
        <v>5300</v>
      </c>
      <c r="K122" s="456"/>
      <c r="L122" s="1047" t="s">
        <v>1937</v>
      </c>
      <c r="M122" s="906" t="s">
        <v>276</v>
      </c>
    </row>
    <row r="123" spans="1:13" ht="24" customHeight="1">
      <c r="A123" s="157"/>
      <c r="B123" s="1043" t="s">
        <v>432</v>
      </c>
      <c r="C123" s="1044" t="s">
        <v>964</v>
      </c>
      <c r="D123" s="1045">
        <v>2</v>
      </c>
      <c r="E123" s="901" t="s">
        <v>5</v>
      </c>
      <c r="F123" s="1046">
        <v>1700</v>
      </c>
      <c r="G123" s="1046">
        <v>250</v>
      </c>
      <c r="H123" s="296">
        <f t="shared" si="10"/>
        <v>3400</v>
      </c>
      <c r="I123" s="296">
        <f t="shared" si="11"/>
        <v>500</v>
      </c>
      <c r="J123" s="296">
        <f t="shared" si="12"/>
        <v>3900</v>
      </c>
      <c r="K123" s="456"/>
      <c r="L123" s="1047" t="s">
        <v>1937</v>
      </c>
      <c r="M123" s="906" t="s">
        <v>276</v>
      </c>
    </row>
    <row r="124" spans="1:13" ht="24" customHeight="1">
      <c r="A124" s="157"/>
      <c r="B124" s="1043" t="s">
        <v>433</v>
      </c>
      <c r="C124" s="1044" t="s">
        <v>964</v>
      </c>
      <c r="D124" s="1045">
        <v>12</v>
      </c>
      <c r="E124" s="901" t="s">
        <v>5</v>
      </c>
      <c r="F124" s="1046">
        <v>2600</v>
      </c>
      <c r="G124" s="1046">
        <v>250</v>
      </c>
      <c r="H124" s="296">
        <f t="shared" si="10"/>
        <v>31200</v>
      </c>
      <c r="I124" s="296">
        <f t="shared" si="11"/>
        <v>3000</v>
      </c>
      <c r="J124" s="296">
        <f t="shared" si="12"/>
        <v>34200</v>
      </c>
      <c r="K124" s="456"/>
      <c r="L124" s="1047" t="s">
        <v>1937</v>
      </c>
      <c r="M124" s="906" t="s">
        <v>276</v>
      </c>
    </row>
    <row r="125" spans="1:13" ht="24" customHeight="1">
      <c r="A125" s="157"/>
      <c r="B125" s="1043" t="s">
        <v>438</v>
      </c>
      <c r="C125" s="1044" t="s">
        <v>964</v>
      </c>
      <c r="D125" s="1045">
        <v>11</v>
      </c>
      <c r="E125" s="901" t="s">
        <v>5</v>
      </c>
      <c r="F125" s="1046">
        <v>2700</v>
      </c>
      <c r="G125" s="1046">
        <v>250</v>
      </c>
      <c r="H125" s="296">
        <f t="shared" si="10"/>
        <v>29700</v>
      </c>
      <c r="I125" s="296">
        <f t="shared" si="11"/>
        <v>2750</v>
      </c>
      <c r="J125" s="296">
        <f t="shared" si="12"/>
        <v>32450</v>
      </c>
      <c r="K125" s="456"/>
      <c r="L125" s="1047" t="s">
        <v>1937</v>
      </c>
      <c r="M125" s="906" t="s">
        <v>276</v>
      </c>
    </row>
    <row r="126" spans="1:13" ht="24" customHeight="1">
      <c r="A126" s="157"/>
      <c r="B126" s="1043" t="s">
        <v>965</v>
      </c>
      <c r="C126" s="1044" t="s">
        <v>964</v>
      </c>
      <c r="D126" s="1045">
        <v>8</v>
      </c>
      <c r="E126" s="901" t="s">
        <v>5</v>
      </c>
      <c r="F126" s="1046">
        <v>3100</v>
      </c>
      <c r="G126" s="1046">
        <v>250</v>
      </c>
      <c r="H126" s="296">
        <f t="shared" si="10"/>
        <v>24800</v>
      </c>
      <c r="I126" s="296">
        <f t="shared" si="11"/>
        <v>2000</v>
      </c>
      <c r="J126" s="296">
        <f t="shared" si="12"/>
        <v>26800</v>
      </c>
      <c r="K126" s="456"/>
      <c r="L126" s="1047" t="s">
        <v>1937</v>
      </c>
      <c r="M126" s="906" t="s">
        <v>276</v>
      </c>
    </row>
    <row r="127" spans="1:13" ht="24" customHeight="1">
      <c r="A127" s="157"/>
      <c r="B127" s="1043" t="s">
        <v>974</v>
      </c>
      <c r="C127" s="1044" t="s">
        <v>964</v>
      </c>
      <c r="D127" s="1045">
        <v>8</v>
      </c>
      <c r="E127" s="901" t="s">
        <v>5</v>
      </c>
      <c r="F127" s="1046">
        <v>3200</v>
      </c>
      <c r="G127" s="1046">
        <v>250</v>
      </c>
      <c r="H127" s="296">
        <f t="shared" si="10"/>
        <v>25600</v>
      </c>
      <c r="I127" s="296">
        <f t="shared" si="11"/>
        <v>2000</v>
      </c>
      <c r="J127" s="296">
        <f t="shared" si="12"/>
        <v>27600</v>
      </c>
      <c r="K127" s="456"/>
      <c r="L127" s="1047" t="s">
        <v>1937</v>
      </c>
      <c r="M127" s="906" t="s">
        <v>276</v>
      </c>
    </row>
    <row r="128" spans="1:13" ht="24" customHeight="1">
      <c r="A128" s="157"/>
      <c r="B128" s="1043" t="s">
        <v>977</v>
      </c>
      <c r="C128" s="1044" t="s">
        <v>964</v>
      </c>
      <c r="D128" s="1045">
        <v>1</v>
      </c>
      <c r="E128" s="901" t="s">
        <v>5</v>
      </c>
      <c r="F128" s="1046">
        <v>3400</v>
      </c>
      <c r="G128" s="1046">
        <v>250</v>
      </c>
      <c r="H128" s="296">
        <f t="shared" si="10"/>
        <v>3400</v>
      </c>
      <c r="I128" s="296">
        <f t="shared" si="11"/>
        <v>250</v>
      </c>
      <c r="J128" s="296">
        <f t="shared" si="12"/>
        <v>3650</v>
      </c>
      <c r="K128" s="456"/>
      <c r="L128" s="1047" t="s">
        <v>1937</v>
      </c>
      <c r="M128" s="906" t="s">
        <v>276</v>
      </c>
    </row>
    <row r="129" spans="1:13" ht="24" customHeight="1">
      <c r="A129" s="157"/>
      <c r="B129" s="1043" t="s">
        <v>982</v>
      </c>
      <c r="C129" s="1044" t="s">
        <v>964</v>
      </c>
      <c r="D129" s="1045">
        <v>1</v>
      </c>
      <c r="E129" s="901" t="s">
        <v>5</v>
      </c>
      <c r="F129" s="1046">
        <v>3800</v>
      </c>
      <c r="G129" s="1046">
        <v>250</v>
      </c>
      <c r="H129" s="296">
        <f t="shared" si="10"/>
        <v>3800</v>
      </c>
      <c r="I129" s="296">
        <f t="shared" si="11"/>
        <v>250</v>
      </c>
      <c r="J129" s="296">
        <f t="shared" si="12"/>
        <v>4050</v>
      </c>
      <c r="K129" s="456"/>
      <c r="L129" s="1047" t="s">
        <v>1937</v>
      </c>
      <c r="M129" s="906" t="s">
        <v>276</v>
      </c>
    </row>
    <row r="130" spans="1:13" ht="24" customHeight="1">
      <c r="A130" s="157"/>
      <c r="B130" s="1043" t="s">
        <v>968</v>
      </c>
      <c r="C130" s="1044" t="s">
        <v>964</v>
      </c>
      <c r="D130" s="1045">
        <v>8</v>
      </c>
      <c r="E130" s="901" t="s">
        <v>5</v>
      </c>
      <c r="F130" s="1046">
        <v>3900</v>
      </c>
      <c r="G130" s="1046">
        <v>250</v>
      </c>
      <c r="H130" s="296">
        <f t="shared" si="10"/>
        <v>31200</v>
      </c>
      <c r="I130" s="296">
        <f t="shared" si="11"/>
        <v>2000</v>
      </c>
      <c r="J130" s="296">
        <f t="shared" si="12"/>
        <v>33200</v>
      </c>
      <c r="K130" s="456"/>
      <c r="L130" s="1047" t="s">
        <v>1937</v>
      </c>
      <c r="M130" s="906" t="s">
        <v>276</v>
      </c>
    </row>
    <row r="131" spans="1:13" ht="24" customHeight="1">
      <c r="A131" s="157"/>
      <c r="B131" s="1043" t="s">
        <v>987</v>
      </c>
      <c r="C131" s="1044" t="s">
        <v>964</v>
      </c>
      <c r="D131" s="1045">
        <v>1</v>
      </c>
      <c r="E131" s="901" t="s">
        <v>5</v>
      </c>
      <c r="F131" s="1046">
        <v>4000</v>
      </c>
      <c r="G131" s="1046">
        <v>250</v>
      </c>
      <c r="H131" s="296">
        <f t="shared" si="10"/>
        <v>4000</v>
      </c>
      <c r="I131" s="296">
        <f t="shared" si="11"/>
        <v>250</v>
      </c>
      <c r="J131" s="296">
        <f t="shared" si="12"/>
        <v>4250</v>
      </c>
      <c r="K131" s="456"/>
      <c r="L131" s="1047" t="s">
        <v>1937</v>
      </c>
      <c r="M131" s="906" t="s">
        <v>276</v>
      </c>
    </row>
    <row r="132" spans="1:13" ht="24" customHeight="1">
      <c r="A132" s="157"/>
      <c r="B132" s="1043" t="s">
        <v>971</v>
      </c>
      <c r="C132" s="1044" t="s">
        <v>964</v>
      </c>
      <c r="D132" s="1045">
        <v>1</v>
      </c>
      <c r="E132" s="901" t="s">
        <v>5</v>
      </c>
      <c r="F132" s="1046">
        <v>4400</v>
      </c>
      <c r="G132" s="1046">
        <v>250</v>
      </c>
      <c r="H132" s="296">
        <f t="shared" si="10"/>
        <v>4400</v>
      </c>
      <c r="I132" s="296">
        <f t="shared" si="11"/>
        <v>250</v>
      </c>
      <c r="J132" s="296">
        <f t="shared" si="12"/>
        <v>4650</v>
      </c>
      <c r="K132" s="456"/>
      <c r="L132" s="1047" t="s">
        <v>1937</v>
      </c>
      <c r="M132" s="906" t="s">
        <v>276</v>
      </c>
    </row>
    <row r="133" spans="1:13" ht="24" customHeight="1">
      <c r="A133" s="157"/>
      <c r="B133" s="1043" t="s">
        <v>989</v>
      </c>
      <c r="C133" s="1044" t="s">
        <v>964</v>
      </c>
      <c r="D133" s="1045">
        <v>2</v>
      </c>
      <c r="E133" s="901" t="s">
        <v>5</v>
      </c>
      <c r="F133" s="1046">
        <v>4500</v>
      </c>
      <c r="G133" s="1046">
        <v>250</v>
      </c>
      <c r="H133" s="296">
        <f t="shared" si="10"/>
        <v>9000</v>
      </c>
      <c r="I133" s="296">
        <f t="shared" si="11"/>
        <v>500</v>
      </c>
      <c r="J133" s="296">
        <f t="shared" si="12"/>
        <v>9500</v>
      </c>
      <c r="K133" s="456"/>
      <c r="L133" s="1047" t="s">
        <v>1937</v>
      </c>
      <c r="M133" s="906" t="s">
        <v>276</v>
      </c>
    </row>
    <row r="134" spans="1:13" ht="24" customHeight="1">
      <c r="A134" s="157"/>
      <c r="B134" s="1043" t="s">
        <v>1095</v>
      </c>
      <c r="C134" s="1044" t="s">
        <v>964</v>
      </c>
      <c r="D134" s="1045">
        <v>2</v>
      </c>
      <c r="E134" s="901" t="s">
        <v>5</v>
      </c>
      <c r="F134" s="1046">
        <v>4600</v>
      </c>
      <c r="G134" s="1046">
        <v>250</v>
      </c>
      <c r="H134" s="296">
        <f t="shared" si="10"/>
        <v>9200</v>
      </c>
      <c r="I134" s="296">
        <f t="shared" si="11"/>
        <v>500</v>
      </c>
      <c r="J134" s="296">
        <f t="shared" si="12"/>
        <v>9700</v>
      </c>
      <c r="K134" s="456"/>
      <c r="L134" s="1047" t="s">
        <v>1937</v>
      </c>
      <c r="M134" s="906" t="s">
        <v>276</v>
      </c>
    </row>
    <row r="135" spans="1:13" ht="24" customHeight="1">
      <c r="A135" s="163" t="s">
        <v>2020</v>
      </c>
      <c r="B135" s="1056" t="s">
        <v>979</v>
      </c>
      <c r="C135" s="1044"/>
      <c r="D135" s="1045"/>
      <c r="E135" s="901"/>
      <c r="F135" s="1046"/>
      <c r="G135" s="1046"/>
      <c r="H135" s="296"/>
      <c r="I135" s="296"/>
      <c r="J135" s="296"/>
      <c r="K135" s="456"/>
      <c r="L135" s="1047"/>
      <c r="M135" s="906"/>
    </row>
    <row r="136" spans="1:13" ht="24" customHeight="1">
      <c r="A136" s="157"/>
      <c r="B136" s="1043" t="s">
        <v>430</v>
      </c>
      <c r="C136" s="1044" t="s">
        <v>964</v>
      </c>
      <c r="D136" s="1045">
        <v>7</v>
      </c>
      <c r="E136" s="901" t="s">
        <v>5</v>
      </c>
      <c r="F136" s="1046">
        <v>2400</v>
      </c>
      <c r="G136" s="1046">
        <v>250</v>
      </c>
      <c r="H136" s="296">
        <f t="shared" ref="H136:H156" si="13">D136*F136</f>
        <v>16800</v>
      </c>
      <c r="I136" s="296">
        <f t="shared" ref="I136:I156" si="14">D136*G136</f>
        <v>1750</v>
      </c>
      <c r="J136" s="296">
        <f t="shared" ref="J136:J156" si="15">H136+I136</f>
        <v>18550</v>
      </c>
      <c r="K136" s="456"/>
      <c r="L136" s="1047" t="s">
        <v>1937</v>
      </c>
      <c r="M136" s="906" t="s">
        <v>276</v>
      </c>
    </row>
    <row r="137" spans="1:13" ht="24" customHeight="1">
      <c r="A137" s="157"/>
      <c r="B137" s="1043" t="s">
        <v>432</v>
      </c>
      <c r="C137" s="1044" t="s">
        <v>964</v>
      </c>
      <c r="D137" s="1045">
        <v>2</v>
      </c>
      <c r="E137" s="901" t="s">
        <v>5</v>
      </c>
      <c r="F137" s="1046">
        <v>1700</v>
      </c>
      <c r="G137" s="1046">
        <v>250</v>
      </c>
      <c r="H137" s="296">
        <f t="shared" si="13"/>
        <v>3400</v>
      </c>
      <c r="I137" s="296">
        <f t="shared" si="14"/>
        <v>500</v>
      </c>
      <c r="J137" s="296">
        <f t="shared" si="15"/>
        <v>3900</v>
      </c>
      <c r="K137" s="456"/>
      <c r="L137" s="1047" t="s">
        <v>1937</v>
      </c>
      <c r="M137" s="906" t="s">
        <v>276</v>
      </c>
    </row>
    <row r="138" spans="1:13" ht="24" customHeight="1">
      <c r="A138" s="157"/>
      <c r="B138" s="1043" t="s">
        <v>435</v>
      </c>
      <c r="C138" s="1044" t="s">
        <v>964</v>
      </c>
      <c r="D138" s="1045">
        <v>13</v>
      </c>
      <c r="E138" s="901" t="s">
        <v>5</v>
      </c>
      <c r="F138" s="1046">
        <v>2800</v>
      </c>
      <c r="G138" s="1046">
        <v>250</v>
      </c>
      <c r="H138" s="296">
        <f t="shared" si="13"/>
        <v>36400</v>
      </c>
      <c r="I138" s="296">
        <f t="shared" si="14"/>
        <v>3250</v>
      </c>
      <c r="J138" s="296">
        <f t="shared" si="15"/>
        <v>39650</v>
      </c>
      <c r="K138" s="456"/>
      <c r="L138" s="1047" t="s">
        <v>1937</v>
      </c>
      <c r="M138" s="906" t="s">
        <v>276</v>
      </c>
    </row>
    <row r="139" spans="1:13" ht="24" customHeight="1">
      <c r="A139" s="157"/>
      <c r="B139" s="1043" t="s">
        <v>440</v>
      </c>
      <c r="C139" s="1044" t="s">
        <v>964</v>
      </c>
      <c r="D139" s="1045">
        <v>11</v>
      </c>
      <c r="E139" s="901" t="s">
        <v>5</v>
      </c>
      <c r="F139" s="1046">
        <v>2900</v>
      </c>
      <c r="G139" s="1046">
        <v>250</v>
      </c>
      <c r="H139" s="296">
        <f t="shared" si="13"/>
        <v>31900</v>
      </c>
      <c r="I139" s="296">
        <f t="shared" si="14"/>
        <v>2750</v>
      </c>
      <c r="J139" s="296">
        <f t="shared" si="15"/>
        <v>34650</v>
      </c>
      <c r="K139" s="456"/>
      <c r="L139" s="1047" t="s">
        <v>1937</v>
      </c>
      <c r="M139" s="906" t="s">
        <v>276</v>
      </c>
    </row>
    <row r="140" spans="1:13" ht="24" customHeight="1">
      <c r="A140" s="157"/>
      <c r="B140" s="1043" t="s">
        <v>965</v>
      </c>
      <c r="C140" s="1044" t="s">
        <v>964</v>
      </c>
      <c r="D140" s="1045">
        <v>8</v>
      </c>
      <c r="E140" s="901" t="s">
        <v>5</v>
      </c>
      <c r="F140" s="1046">
        <v>3100</v>
      </c>
      <c r="G140" s="1046">
        <v>250</v>
      </c>
      <c r="H140" s="296">
        <f t="shared" si="13"/>
        <v>24800</v>
      </c>
      <c r="I140" s="296">
        <f t="shared" si="14"/>
        <v>2000</v>
      </c>
      <c r="J140" s="296">
        <f t="shared" si="15"/>
        <v>26800</v>
      </c>
      <c r="K140" s="456"/>
      <c r="L140" s="1047" t="s">
        <v>1937</v>
      </c>
      <c r="M140" s="906" t="s">
        <v>276</v>
      </c>
    </row>
    <row r="141" spans="1:13" ht="24" customHeight="1">
      <c r="A141" s="157"/>
      <c r="B141" s="1043" t="s">
        <v>974</v>
      </c>
      <c r="C141" s="1044" t="s">
        <v>964</v>
      </c>
      <c r="D141" s="1045">
        <v>8</v>
      </c>
      <c r="E141" s="901" t="s">
        <v>5</v>
      </c>
      <c r="F141" s="1046">
        <v>3200</v>
      </c>
      <c r="G141" s="1046">
        <v>250</v>
      </c>
      <c r="H141" s="296">
        <f t="shared" si="13"/>
        <v>25600</v>
      </c>
      <c r="I141" s="296">
        <f t="shared" si="14"/>
        <v>2000</v>
      </c>
      <c r="J141" s="296">
        <f t="shared" si="15"/>
        <v>27600</v>
      </c>
      <c r="K141" s="456"/>
      <c r="L141" s="1047" t="s">
        <v>1937</v>
      </c>
      <c r="M141" s="906" t="s">
        <v>276</v>
      </c>
    </row>
    <row r="142" spans="1:13" ht="24" customHeight="1" thickBot="1">
      <c r="A142" s="157"/>
      <c r="B142" s="1043" t="s">
        <v>977</v>
      </c>
      <c r="C142" s="1044" t="s">
        <v>964</v>
      </c>
      <c r="D142" s="1045">
        <v>1</v>
      </c>
      <c r="E142" s="901" t="s">
        <v>5</v>
      </c>
      <c r="F142" s="1046">
        <v>3400</v>
      </c>
      <c r="G142" s="1046">
        <v>250</v>
      </c>
      <c r="H142" s="296">
        <f t="shared" si="13"/>
        <v>3400</v>
      </c>
      <c r="I142" s="296">
        <f t="shared" si="14"/>
        <v>250</v>
      </c>
      <c r="J142" s="296">
        <f t="shared" si="15"/>
        <v>3650</v>
      </c>
      <c r="K142" s="456"/>
      <c r="L142" s="1047" t="s">
        <v>1937</v>
      </c>
      <c r="M142" s="906" t="s">
        <v>276</v>
      </c>
    </row>
    <row r="143" spans="1:13" ht="24" customHeight="1" thickTop="1">
      <c r="A143" s="1066"/>
      <c r="B143" s="1066"/>
      <c r="C143" s="1066"/>
      <c r="D143" s="1066"/>
      <c r="E143" s="1066"/>
      <c r="F143" s="1066"/>
      <c r="G143" s="1066"/>
      <c r="H143" s="1066"/>
      <c r="I143" s="1066"/>
      <c r="J143" s="1066"/>
      <c r="K143" s="1066"/>
      <c r="L143" s="1047"/>
      <c r="M143" s="906"/>
    </row>
    <row r="144" spans="1:13" ht="24" customHeight="1">
      <c r="A144" s="139"/>
      <c r="B144" s="881" t="s">
        <v>133</v>
      </c>
      <c r="C144" s="175"/>
      <c r="D144" s="1644"/>
      <c r="E144" s="177"/>
      <c r="F144" s="177"/>
      <c r="G144" s="265"/>
      <c r="H144" s="265"/>
      <c r="I144" s="265"/>
      <c r="J144" s="265"/>
      <c r="K144" s="265"/>
      <c r="L144" s="1047"/>
      <c r="M144" s="906"/>
    </row>
    <row r="145" spans="1:13" ht="24" customHeight="1">
      <c r="A145" s="139"/>
      <c r="B145" s="1638" t="s">
        <v>1769</v>
      </c>
      <c r="C145" s="137"/>
      <c r="D145" s="137"/>
      <c r="E145" s="173"/>
      <c r="F145" s="1638" t="s">
        <v>134</v>
      </c>
      <c r="G145" s="137"/>
      <c r="H145" s="137"/>
      <c r="I145" s="137"/>
      <c r="J145" s="137"/>
      <c r="K145" s="137"/>
      <c r="L145" s="1047"/>
      <c r="M145" s="906"/>
    </row>
    <row r="146" spans="1:13" ht="24" customHeight="1">
      <c r="A146" s="139"/>
      <c r="B146" s="174" t="s">
        <v>1970</v>
      </c>
      <c r="C146" s="137"/>
      <c r="D146" s="137"/>
      <c r="E146" s="1638"/>
      <c r="F146" s="227" t="s">
        <v>1971</v>
      </c>
      <c r="G146" s="137"/>
      <c r="H146" s="768"/>
      <c r="I146" s="768"/>
      <c r="J146" s="768"/>
      <c r="K146" s="768"/>
      <c r="L146" s="1047"/>
      <c r="M146" s="906"/>
    </row>
    <row r="147" spans="1:13" ht="24" customHeight="1">
      <c r="A147" s="139"/>
      <c r="B147" s="1638" t="s">
        <v>2031</v>
      </c>
      <c r="C147" s="137"/>
      <c r="D147" s="137"/>
      <c r="E147" s="174"/>
      <c r="F147" s="1638" t="s">
        <v>2031</v>
      </c>
      <c r="G147" s="137"/>
      <c r="H147" s="1638"/>
      <c r="I147" s="1638"/>
      <c r="J147" s="1638"/>
      <c r="K147" s="1638"/>
      <c r="L147" s="1047"/>
      <c r="M147" s="906"/>
    </row>
    <row r="148" spans="1:13" ht="24" customHeight="1">
      <c r="A148" s="139"/>
      <c r="B148" s="174" t="s">
        <v>1984</v>
      </c>
      <c r="C148" s="137"/>
      <c r="D148" s="137"/>
      <c r="E148" s="174"/>
      <c r="F148" s="174" t="s">
        <v>1985</v>
      </c>
      <c r="G148" s="137"/>
      <c r="L148" s="1047"/>
      <c r="M148" s="906"/>
    </row>
    <row r="149" spans="1:13" ht="24" customHeight="1">
      <c r="A149" s="139"/>
      <c r="B149" s="1638" t="s">
        <v>670</v>
      </c>
      <c r="D149" s="1638"/>
      <c r="E149" s="1638"/>
      <c r="F149" s="137"/>
      <c r="H149" s="137"/>
      <c r="I149" s="137"/>
      <c r="J149" s="137"/>
      <c r="K149" s="137"/>
      <c r="L149" s="1047"/>
      <c r="M149" s="906"/>
    </row>
    <row r="150" spans="1:13" ht="24" customHeight="1">
      <c r="A150" s="137"/>
      <c r="B150" s="174" t="s">
        <v>1972</v>
      </c>
      <c r="D150" s="174"/>
      <c r="E150" s="174"/>
      <c r="F150" s="1640"/>
      <c r="H150" s="1638"/>
      <c r="I150" s="1638"/>
      <c r="J150" s="1638"/>
      <c r="K150" s="1638"/>
      <c r="L150" s="1047"/>
      <c r="M150" s="906"/>
    </row>
    <row r="151" spans="1:13" ht="24" customHeight="1">
      <c r="A151" s="157"/>
      <c r="B151" s="1043" t="s">
        <v>982</v>
      </c>
      <c r="C151" s="1044" t="s">
        <v>964</v>
      </c>
      <c r="D151" s="1045">
        <v>1</v>
      </c>
      <c r="E151" s="901" t="s">
        <v>5</v>
      </c>
      <c r="F151" s="1046">
        <v>3800</v>
      </c>
      <c r="G151" s="1046">
        <v>250</v>
      </c>
      <c r="H151" s="296">
        <f t="shared" si="13"/>
        <v>3800</v>
      </c>
      <c r="I151" s="296">
        <f t="shared" si="14"/>
        <v>250</v>
      </c>
      <c r="J151" s="296">
        <f t="shared" si="15"/>
        <v>4050</v>
      </c>
      <c r="K151" s="456"/>
      <c r="L151" s="1047" t="s">
        <v>1937</v>
      </c>
      <c r="M151" s="906" t="s">
        <v>276</v>
      </c>
    </row>
    <row r="152" spans="1:13" ht="24" customHeight="1">
      <c r="A152" s="157"/>
      <c r="B152" s="1043" t="s">
        <v>968</v>
      </c>
      <c r="C152" s="1044" t="s">
        <v>964</v>
      </c>
      <c r="D152" s="1045">
        <v>8</v>
      </c>
      <c r="E152" s="901" t="s">
        <v>5</v>
      </c>
      <c r="F152" s="1046">
        <v>3900</v>
      </c>
      <c r="G152" s="1046">
        <v>250</v>
      </c>
      <c r="H152" s="296">
        <f t="shared" si="13"/>
        <v>31200</v>
      </c>
      <c r="I152" s="296">
        <f t="shared" si="14"/>
        <v>2000</v>
      </c>
      <c r="J152" s="296">
        <f t="shared" si="15"/>
        <v>33200</v>
      </c>
      <c r="K152" s="456"/>
      <c r="L152" s="1047" t="s">
        <v>1937</v>
      </c>
      <c r="M152" s="906" t="s">
        <v>276</v>
      </c>
    </row>
    <row r="153" spans="1:13" ht="24" customHeight="1">
      <c r="A153" s="157"/>
      <c r="B153" s="1043" t="s">
        <v>987</v>
      </c>
      <c r="C153" s="1044" t="s">
        <v>964</v>
      </c>
      <c r="D153" s="1045">
        <v>1</v>
      </c>
      <c r="E153" s="901" t="s">
        <v>5</v>
      </c>
      <c r="F153" s="1046">
        <v>4000</v>
      </c>
      <c r="G153" s="1046">
        <v>250</v>
      </c>
      <c r="H153" s="296">
        <f t="shared" si="13"/>
        <v>4000</v>
      </c>
      <c r="I153" s="296">
        <f t="shared" si="14"/>
        <v>250</v>
      </c>
      <c r="J153" s="296">
        <f t="shared" si="15"/>
        <v>4250</v>
      </c>
      <c r="K153" s="456"/>
      <c r="L153" s="1047" t="s">
        <v>1937</v>
      </c>
      <c r="M153" s="906" t="s">
        <v>276</v>
      </c>
    </row>
    <row r="154" spans="1:13" ht="24" customHeight="1">
      <c r="A154" s="157"/>
      <c r="B154" s="1043" t="s">
        <v>971</v>
      </c>
      <c r="C154" s="1044" t="s">
        <v>964</v>
      </c>
      <c r="D154" s="1045">
        <v>1</v>
      </c>
      <c r="E154" s="901" t="s">
        <v>5</v>
      </c>
      <c r="F154" s="1046">
        <v>4400</v>
      </c>
      <c r="G154" s="1046">
        <v>250</v>
      </c>
      <c r="H154" s="296">
        <f t="shared" si="13"/>
        <v>4400</v>
      </c>
      <c r="I154" s="296">
        <f t="shared" si="14"/>
        <v>250</v>
      </c>
      <c r="J154" s="296">
        <f t="shared" si="15"/>
        <v>4650</v>
      </c>
      <c r="K154" s="456"/>
      <c r="L154" s="1047" t="s">
        <v>1937</v>
      </c>
      <c r="M154" s="906" t="s">
        <v>276</v>
      </c>
    </row>
    <row r="155" spans="1:13" ht="24" customHeight="1">
      <c r="A155" s="157"/>
      <c r="B155" s="1043" t="s">
        <v>989</v>
      </c>
      <c r="C155" s="1044" t="s">
        <v>964</v>
      </c>
      <c r="D155" s="1045">
        <v>2</v>
      </c>
      <c r="E155" s="901" t="s">
        <v>5</v>
      </c>
      <c r="F155" s="1046">
        <v>4500</v>
      </c>
      <c r="G155" s="1046">
        <v>250</v>
      </c>
      <c r="H155" s="296">
        <f t="shared" si="13"/>
        <v>9000</v>
      </c>
      <c r="I155" s="296">
        <f t="shared" si="14"/>
        <v>500</v>
      </c>
      <c r="J155" s="296">
        <f t="shared" si="15"/>
        <v>9500</v>
      </c>
      <c r="K155" s="456"/>
      <c r="L155" s="1047" t="s">
        <v>1937</v>
      </c>
      <c r="M155" s="906" t="s">
        <v>276</v>
      </c>
    </row>
    <row r="156" spans="1:13" ht="24" customHeight="1">
      <c r="A156" s="157"/>
      <c r="B156" s="1043" t="s">
        <v>1095</v>
      </c>
      <c r="C156" s="1044" t="s">
        <v>964</v>
      </c>
      <c r="D156" s="1045">
        <v>2</v>
      </c>
      <c r="E156" s="901" t="s">
        <v>5</v>
      </c>
      <c r="F156" s="1046">
        <v>4600</v>
      </c>
      <c r="G156" s="1046">
        <v>250</v>
      </c>
      <c r="H156" s="296">
        <f t="shared" si="13"/>
        <v>9200</v>
      </c>
      <c r="I156" s="296">
        <f t="shared" si="14"/>
        <v>500</v>
      </c>
      <c r="J156" s="296">
        <f t="shared" si="15"/>
        <v>9700</v>
      </c>
      <c r="K156" s="456"/>
      <c r="L156" s="1047" t="s">
        <v>1937</v>
      </c>
      <c r="M156" s="906" t="s">
        <v>276</v>
      </c>
    </row>
    <row r="157" spans="1:13" s="152" customFormat="1" ht="24" customHeight="1">
      <c r="A157" s="163" t="s">
        <v>2021</v>
      </c>
      <c r="B157" s="2577" t="s">
        <v>980</v>
      </c>
      <c r="C157" s="2578"/>
      <c r="D157" s="185"/>
      <c r="E157" s="1053"/>
      <c r="F157" s="1054"/>
      <c r="G157" s="1054"/>
      <c r="H157" s="1055"/>
      <c r="I157" s="1055"/>
      <c r="J157" s="1055"/>
      <c r="K157" s="456"/>
      <c r="L157" s="229"/>
      <c r="M157" s="860"/>
    </row>
    <row r="158" spans="1:13" ht="24" customHeight="1">
      <c r="A158" s="157"/>
      <c r="B158" s="1043" t="s">
        <v>430</v>
      </c>
      <c r="C158" s="1044" t="s">
        <v>964</v>
      </c>
      <c r="D158" s="1045">
        <v>8</v>
      </c>
      <c r="E158" s="901" t="s">
        <v>5</v>
      </c>
      <c r="F158" s="1046">
        <v>2400</v>
      </c>
      <c r="G158" s="1046">
        <v>250</v>
      </c>
      <c r="H158" s="296">
        <f t="shared" ref="H158:H186" si="16">D158*F158</f>
        <v>19200</v>
      </c>
      <c r="I158" s="296">
        <f t="shared" ref="I158:I186" si="17">D158*G158</f>
        <v>2000</v>
      </c>
      <c r="J158" s="296">
        <f t="shared" ref="J158:J186" si="18">H158+I158</f>
        <v>21200</v>
      </c>
      <c r="K158" s="456"/>
      <c r="L158" s="1047" t="s">
        <v>1937</v>
      </c>
      <c r="M158" s="906" t="s">
        <v>276</v>
      </c>
    </row>
    <row r="159" spans="1:13" ht="24" customHeight="1">
      <c r="A159" s="157"/>
      <c r="B159" s="1043" t="s">
        <v>431</v>
      </c>
      <c r="C159" s="1044" t="s">
        <v>964</v>
      </c>
      <c r="D159" s="1045">
        <v>2</v>
      </c>
      <c r="E159" s="901" t="s">
        <v>5</v>
      </c>
      <c r="F159" s="1046">
        <v>2600</v>
      </c>
      <c r="G159" s="1046">
        <v>250</v>
      </c>
      <c r="H159" s="296">
        <f t="shared" si="16"/>
        <v>5200</v>
      </c>
      <c r="I159" s="296">
        <f t="shared" si="17"/>
        <v>500</v>
      </c>
      <c r="J159" s="296">
        <f t="shared" si="18"/>
        <v>5700</v>
      </c>
      <c r="K159" s="456"/>
      <c r="L159" s="1047" t="s">
        <v>1937</v>
      </c>
      <c r="M159" s="906" t="s">
        <v>276</v>
      </c>
    </row>
    <row r="160" spans="1:13" ht="24" customHeight="1">
      <c r="A160" s="157"/>
      <c r="B160" s="1043" t="s">
        <v>432</v>
      </c>
      <c r="C160" s="1044" t="s">
        <v>964</v>
      </c>
      <c r="D160" s="1045">
        <v>2</v>
      </c>
      <c r="E160" s="901" t="s">
        <v>5</v>
      </c>
      <c r="F160" s="1046">
        <v>1700</v>
      </c>
      <c r="G160" s="1046">
        <v>250</v>
      </c>
      <c r="H160" s="296">
        <f t="shared" si="16"/>
        <v>3400</v>
      </c>
      <c r="I160" s="296">
        <f t="shared" si="17"/>
        <v>500</v>
      </c>
      <c r="J160" s="296">
        <f t="shared" si="18"/>
        <v>3900</v>
      </c>
      <c r="K160" s="456"/>
      <c r="L160" s="1047" t="s">
        <v>1937</v>
      </c>
      <c r="M160" s="906" t="s">
        <v>276</v>
      </c>
    </row>
    <row r="161" spans="1:13" ht="24" customHeight="1">
      <c r="A161" s="157"/>
      <c r="B161" s="1043" t="s">
        <v>435</v>
      </c>
      <c r="C161" s="1044" t="s">
        <v>964</v>
      </c>
      <c r="D161" s="1045">
        <v>8</v>
      </c>
      <c r="E161" s="901" t="s">
        <v>5</v>
      </c>
      <c r="F161" s="1046">
        <v>2800</v>
      </c>
      <c r="G161" s="1046">
        <v>250</v>
      </c>
      <c r="H161" s="296">
        <f t="shared" si="16"/>
        <v>22400</v>
      </c>
      <c r="I161" s="296">
        <f t="shared" si="17"/>
        <v>2000</v>
      </c>
      <c r="J161" s="296">
        <f t="shared" si="18"/>
        <v>24400</v>
      </c>
      <c r="K161" s="456"/>
      <c r="L161" s="1047" t="s">
        <v>1937</v>
      </c>
      <c r="M161" s="906" t="s">
        <v>276</v>
      </c>
    </row>
    <row r="162" spans="1:13" ht="24" customHeight="1">
      <c r="A162" s="157"/>
      <c r="B162" s="1043" t="s">
        <v>436</v>
      </c>
      <c r="C162" s="1044" t="s">
        <v>964</v>
      </c>
      <c r="D162" s="1045">
        <v>4</v>
      </c>
      <c r="E162" s="901" t="s">
        <v>5</v>
      </c>
      <c r="F162" s="1046">
        <v>2700</v>
      </c>
      <c r="G162" s="1046">
        <v>250</v>
      </c>
      <c r="H162" s="296">
        <f t="shared" si="16"/>
        <v>10800</v>
      </c>
      <c r="I162" s="296">
        <f t="shared" si="17"/>
        <v>1000</v>
      </c>
      <c r="J162" s="296">
        <f t="shared" si="18"/>
        <v>11800</v>
      </c>
      <c r="K162" s="456"/>
      <c r="L162" s="1047" t="s">
        <v>1937</v>
      </c>
      <c r="M162" s="906" t="s">
        <v>276</v>
      </c>
    </row>
    <row r="163" spans="1:13" ht="24" customHeight="1">
      <c r="A163" s="157"/>
      <c r="B163" s="1043" t="s">
        <v>440</v>
      </c>
      <c r="C163" s="1044" t="s">
        <v>964</v>
      </c>
      <c r="D163" s="1045">
        <v>8</v>
      </c>
      <c r="E163" s="901" t="s">
        <v>5</v>
      </c>
      <c r="F163" s="1046">
        <v>2900</v>
      </c>
      <c r="G163" s="1046">
        <v>250</v>
      </c>
      <c r="H163" s="296">
        <f t="shared" si="16"/>
        <v>23200</v>
      </c>
      <c r="I163" s="296">
        <f t="shared" si="17"/>
        <v>2000</v>
      </c>
      <c r="J163" s="296">
        <f t="shared" si="18"/>
        <v>25200</v>
      </c>
      <c r="K163" s="456"/>
      <c r="L163" s="1047" t="s">
        <v>1937</v>
      </c>
      <c r="M163" s="906" t="s">
        <v>276</v>
      </c>
    </row>
    <row r="164" spans="1:13" ht="24" customHeight="1">
      <c r="A164" s="157"/>
      <c r="B164" s="1043" t="s">
        <v>441</v>
      </c>
      <c r="C164" s="1044" t="s">
        <v>964</v>
      </c>
      <c r="D164" s="1045">
        <v>4</v>
      </c>
      <c r="E164" s="901" t="s">
        <v>5</v>
      </c>
      <c r="F164" s="1046">
        <v>2900</v>
      </c>
      <c r="G164" s="1046">
        <v>250</v>
      </c>
      <c r="H164" s="296">
        <f t="shared" si="16"/>
        <v>11600</v>
      </c>
      <c r="I164" s="296">
        <f t="shared" si="17"/>
        <v>1000</v>
      </c>
      <c r="J164" s="296">
        <f t="shared" si="18"/>
        <v>12600</v>
      </c>
      <c r="K164" s="456"/>
      <c r="L164" s="1047" t="s">
        <v>1937</v>
      </c>
      <c r="M164" s="906" t="s">
        <v>276</v>
      </c>
    </row>
    <row r="165" spans="1:13" ht="24" customHeight="1">
      <c r="A165" s="157"/>
      <c r="B165" s="1043" t="s">
        <v>965</v>
      </c>
      <c r="C165" s="1044" t="s">
        <v>964</v>
      </c>
      <c r="D165" s="1045">
        <v>6</v>
      </c>
      <c r="E165" s="901" t="s">
        <v>5</v>
      </c>
      <c r="F165" s="1046">
        <v>3100</v>
      </c>
      <c r="G165" s="1046">
        <v>250</v>
      </c>
      <c r="H165" s="296">
        <f t="shared" si="16"/>
        <v>18600</v>
      </c>
      <c r="I165" s="296">
        <f t="shared" si="17"/>
        <v>1500</v>
      </c>
      <c r="J165" s="296">
        <f t="shared" si="18"/>
        <v>20100</v>
      </c>
      <c r="K165" s="456"/>
      <c r="L165" s="1047" t="s">
        <v>1937</v>
      </c>
      <c r="M165" s="906" t="s">
        <v>276</v>
      </c>
    </row>
    <row r="166" spans="1:13" ht="24" customHeight="1">
      <c r="A166" s="157"/>
      <c r="B166" s="1043" t="s">
        <v>974</v>
      </c>
      <c r="C166" s="1044" t="s">
        <v>964</v>
      </c>
      <c r="D166" s="1045">
        <v>6</v>
      </c>
      <c r="E166" s="901" t="s">
        <v>5</v>
      </c>
      <c r="F166" s="1046">
        <v>3200</v>
      </c>
      <c r="G166" s="1046">
        <v>250</v>
      </c>
      <c r="H166" s="296">
        <f t="shared" si="16"/>
        <v>19200</v>
      </c>
      <c r="I166" s="296">
        <f t="shared" si="17"/>
        <v>1500</v>
      </c>
      <c r="J166" s="296">
        <f t="shared" si="18"/>
        <v>20700</v>
      </c>
      <c r="K166" s="456"/>
      <c r="L166" s="1047" t="s">
        <v>1937</v>
      </c>
      <c r="M166" s="906" t="s">
        <v>276</v>
      </c>
    </row>
    <row r="167" spans="1:13" ht="24" customHeight="1">
      <c r="A167" s="157"/>
      <c r="B167" s="1043" t="s">
        <v>975</v>
      </c>
      <c r="C167" s="1044" t="s">
        <v>964</v>
      </c>
      <c r="D167" s="1045">
        <v>2</v>
      </c>
      <c r="E167" s="901" t="s">
        <v>5</v>
      </c>
      <c r="F167" s="1046">
        <v>3300</v>
      </c>
      <c r="G167" s="1046">
        <v>250</v>
      </c>
      <c r="H167" s="296">
        <f t="shared" si="16"/>
        <v>6600</v>
      </c>
      <c r="I167" s="296">
        <f t="shared" si="17"/>
        <v>500</v>
      </c>
      <c r="J167" s="296">
        <f t="shared" si="18"/>
        <v>7100</v>
      </c>
      <c r="K167" s="456"/>
      <c r="L167" s="1047" t="s">
        <v>1937</v>
      </c>
      <c r="M167" s="906" t="s">
        <v>276</v>
      </c>
    </row>
    <row r="168" spans="1:13" ht="24" customHeight="1">
      <c r="A168" s="157"/>
      <c r="B168" s="1043" t="s">
        <v>977</v>
      </c>
      <c r="C168" s="1044" t="s">
        <v>964</v>
      </c>
      <c r="D168" s="1045">
        <v>3</v>
      </c>
      <c r="E168" s="901" t="s">
        <v>5</v>
      </c>
      <c r="F168" s="1046">
        <v>3400</v>
      </c>
      <c r="G168" s="1046">
        <v>250</v>
      </c>
      <c r="H168" s="296">
        <f t="shared" si="16"/>
        <v>10200</v>
      </c>
      <c r="I168" s="296">
        <f t="shared" si="17"/>
        <v>750</v>
      </c>
      <c r="J168" s="296">
        <f t="shared" si="18"/>
        <v>10950</v>
      </c>
      <c r="K168" s="456"/>
      <c r="L168" s="1047" t="s">
        <v>1937</v>
      </c>
      <c r="M168" s="906" t="s">
        <v>276</v>
      </c>
    </row>
    <row r="169" spans="1:13" ht="24" customHeight="1">
      <c r="A169" s="157"/>
      <c r="B169" s="1043" t="s">
        <v>978</v>
      </c>
      <c r="C169" s="1044" t="s">
        <v>964</v>
      </c>
      <c r="D169" s="1045">
        <v>2</v>
      </c>
      <c r="E169" s="901" t="s">
        <v>5</v>
      </c>
      <c r="F169" s="1046">
        <v>3500</v>
      </c>
      <c r="G169" s="1046">
        <v>250</v>
      </c>
      <c r="H169" s="296">
        <f t="shared" si="16"/>
        <v>7000</v>
      </c>
      <c r="I169" s="296">
        <f t="shared" si="17"/>
        <v>500</v>
      </c>
      <c r="J169" s="296">
        <f t="shared" si="18"/>
        <v>7500</v>
      </c>
      <c r="K169" s="456"/>
      <c r="L169" s="1047" t="s">
        <v>1937</v>
      </c>
      <c r="M169" s="906" t="s">
        <v>276</v>
      </c>
    </row>
    <row r="170" spans="1:13" ht="24" customHeight="1">
      <c r="A170" s="157"/>
      <c r="B170" s="1043" t="s">
        <v>981</v>
      </c>
      <c r="C170" s="1044" t="s">
        <v>964</v>
      </c>
      <c r="D170" s="1045">
        <v>2</v>
      </c>
      <c r="E170" s="901" t="s">
        <v>5</v>
      </c>
      <c r="F170" s="1046">
        <v>3500</v>
      </c>
      <c r="G170" s="1046">
        <v>250</v>
      </c>
      <c r="H170" s="296">
        <f t="shared" si="16"/>
        <v>7000</v>
      </c>
      <c r="I170" s="296">
        <f t="shared" si="17"/>
        <v>500</v>
      </c>
      <c r="J170" s="296">
        <f t="shared" si="18"/>
        <v>7500</v>
      </c>
      <c r="K170" s="456"/>
      <c r="L170" s="1047" t="s">
        <v>1937</v>
      </c>
      <c r="M170" s="906" t="s">
        <v>276</v>
      </c>
    </row>
    <row r="171" spans="1:13" ht="24" customHeight="1">
      <c r="A171" s="157"/>
      <c r="B171" s="1043" t="s">
        <v>982</v>
      </c>
      <c r="C171" s="1044" t="s">
        <v>964</v>
      </c>
      <c r="D171" s="1045">
        <v>1</v>
      </c>
      <c r="E171" s="901" t="s">
        <v>5</v>
      </c>
      <c r="F171" s="1046">
        <v>3800</v>
      </c>
      <c r="G171" s="1046">
        <v>250</v>
      </c>
      <c r="H171" s="296">
        <f t="shared" si="16"/>
        <v>3800</v>
      </c>
      <c r="I171" s="296">
        <f t="shared" si="17"/>
        <v>250</v>
      </c>
      <c r="J171" s="296">
        <f t="shared" si="18"/>
        <v>4050</v>
      </c>
      <c r="K171" s="456"/>
      <c r="L171" s="1047" t="s">
        <v>1937</v>
      </c>
      <c r="M171" s="906" t="s">
        <v>276</v>
      </c>
    </row>
    <row r="172" spans="1:13" ht="24" customHeight="1">
      <c r="A172" s="157"/>
      <c r="B172" s="1043" t="s">
        <v>968</v>
      </c>
      <c r="C172" s="1044" t="s">
        <v>964</v>
      </c>
      <c r="D172" s="1045">
        <v>8</v>
      </c>
      <c r="E172" s="901" t="s">
        <v>5</v>
      </c>
      <c r="F172" s="1046">
        <v>3900</v>
      </c>
      <c r="G172" s="1046">
        <v>250</v>
      </c>
      <c r="H172" s="296">
        <f t="shared" si="16"/>
        <v>31200</v>
      </c>
      <c r="I172" s="296">
        <f t="shared" si="17"/>
        <v>2000</v>
      </c>
      <c r="J172" s="296">
        <f t="shared" si="18"/>
        <v>33200</v>
      </c>
      <c r="K172" s="456"/>
      <c r="L172" s="1047" t="s">
        <v>1937</v>
      </c>
      <c r="M172" s="906" t="s">
        <v>276</v>
      </c>
    </row>
    <row r="173" spans="1:13" ht="24" customHeight="1">
      <c r="A173" s="157"/>
      <c r="B173" s="1043" t="s">
        <v>987</v>
      </c>
      <c r="C173" s="1044" t="s">
        <v>964</v>
      </c>
      <c r="D173" s="1045">
        <v>1</v>
      </c>
      <c r="E173" s="901" t="s">
        <v>5</v>
      </c>
      <c r="F173" s="1046">
        <v>4000</v>
      </c>
      <c r="G173" s="1046">
        <v>250</v>
      </c>
      <c r="H173" s="296">
        <f t="shared" si="16"/>
        <v>4000</v>
      </c>
      <c r="I173" s="296">
        <f t="shared" si="17"/>
        <v>250</v>
      </c>
      <c r="J173" s="296">
        <f t="shared" si="18"/>
        <v>4250</v>
      </c>
      <c r="K173" s="456"/>
      <c r="L173" s="1047" t="s">
        <v>1937</v>
      </c>
      <c r="M173" s="906" t="s">
        <v>276</v>
      </c>
    </row>
    <row r="174" spans="1:13" ht="24" customHeight="1" thickBot="1">
      <c r="A174" s="157"/>
      <c r="B174" s="1043" t="s">
        <v>971</v>
      </c>
      <c r="C174" s="1044" t="s">
        <v>964</v>
      </c>
      <c r="D174" s="1045">
        <v>1</v>
      </c>
      <c r="E174" s="901" t="s">
        <v>5</v>
      </c>
      <c r="F174" s="1046">
        <v>4400</v>
      </c>
      <c r="G174" s="1046">
        <v>250</v>
      </c>
      <c r="H174" s="296">
        <f t="shared" si="16"/>
        <v>4400</v>
      </c>
      <c r="I174" s="296">
        <f t="shared" si="17"/>
        <v>250</v>
      </c>
      <c r="J174" s="296">
        <f t="shared" si="18"/>
        <v>4650</v>
      </c>
      <c r="K174" s="456"/>
      <c r="L174" s="1047" t="s">
        <v>1937</v>
      </c>
      <c r="M174" s="906" t="s">
        <v>276</v>
      </c>
    </row>
    <row r="175" spans="1:13" ht="24" customHeight="1" thickTop="1">
      <c r="A175" s="1066"/>
      <c r="B175" s="1066"/>
      <c r="C175" s="1066"/>
      <c r="D175" s="1066"/>
      <c r="E175" s="1066"/>
      <c r="F175" s="1066"/>
      <c r="G175" s="1066"/>
      <c r="H175" s="1066"/>
      <c r="I175" s="1066"/>
      <c r="J175" s="1066"/>
      <c r="K175" s="1066"/>
      <c r="L175" s="1047"/>
      <c r="M175" s="906"/>
    </row>
    <row r="176" spans="1:13" ht="24" customHeight="1">
      <c r="A176" s="139"/>
      <c r="B176" s="881" t="s">
        <v>133</v>
      </c>
      <c r="C176" s="175"/>
      <c r="D176" s="1644"/>
      <c r="E176" s="177"/>
      <c r="F176" s="177"/>
      <c r="G176" s="265"/>
      <c r="H176" s="265"/>
      <c r="I176" s="265"/>
      <c r="J176" s="265"/>
      <c r="K176" s="265"/>
      <c r="L176" s="1047"/>
      <c r="M176" s="906"/>
    </row>
    <row r="177" spans="1:13" ht="24" customHeight="1">
      <c r="A177" s="139"/>
      <c r="B177" s="1638" t="s">
        <v>1769</v>
      </c>
      <c r="C177" s="137"/>
      <c r="D177" s="137"/>
      <c r="E177" s="173"/>
      <c r="F177" s="1638" t="s">
        <v>134</v>
      </c>
      <c r="G177" s="137"/>
      <c r="H177" s="137"/>
      <c r="I177" s="137"/>
      <c r="J177" s="137"/>
      <c r="K177" s="137"/>
      <c r="L177" s="1047"/>
      <c r="M177" s="906"/>
    </row>
    <row r="178" spans="1:13" ht="24" customHeight="1">
      <c r="A178" s="139"/>
      <c r="B178" s="174" t="s">
        <v>1970</v>
      </c>
      <c r="C178" s="137"/>
      <c r="D178" s="137"/>
      <c r="E178" s="1638"/>
      <c r="F178" s="227" t="s">
        <v>1971</v>
      </c>
      <c r="G178" s="137"/>
      <c r="H178" s="768"/>
      <c r="I178" s="768"/>
      <c r="J178" s="768"/>
      <c r="K178" s="768"/>
      <c r="L178" s="1047"/>
      <c r="M178" s="906"/>
    </row>
    <row r="179" spans="1:13" ht="24" customHeight="1">
      <c r="A179" s="139"/>
      <c r="B179" s="1638" t="s">
        <v>2031</v>
      </c>
      <c r="C179" s="137"/>
      <c r="D179" s="137"/>
      <c r="E179" s="174"/>
      <c r="F179" s="1638" t="s">
        <v>2031</v>
      </c>
      <c r="G179" s="137"/>
      <c r="H179" s="1638"/>
      <c r="I179" s="1638"/>
      <c r="J179" s="1638"/>
      <c r="K179" s="1638"/>
      <c r="L179" s="1047"/>
      <c r="M179" s="906"/>
    </row>
    <row r="180" spans="1:13" ht="24" customHeight="1">
      <c r="A180" s="139"/>
      <c r="B180" s="174" t="s">
        <v>1984</v>
      </c>
      <c r="C180" s="137"/>
      <c r="D180" s="137"/>
      <c r="E180" s="174"/>
      <c r="F180" s="174" t="s">
        <v>1985</v>
      </c>
      <c r="G180" s="137"/>
      <c r="L180" s="1047"/>
      <c r="M180" s="906"/>
    </row>
    <row r="181" spans="1:13" ht="24" customHeight="1">
      <c r="A181" s="139"/>
      <c r="B181" s="1638" t="s">
        <v>670</v>
      </c>
      <c r="D181" s="1638"/>
      <c r="E181" s="1638"/>
      <c r="F181" s="137"/>
      <c r="H181" s="137"/>
      <c r="I181" s="137"/>
      <c r="J181" s="137"/>
      <c r="K181" s="137"/>
      <c r="L181" s="1047"/>
      <c r="M181" s="906"/>
    </row>
    <row r="182" spans="1:13" ht="24" customHeight="1">
      <c r="A182" s="137"/>
      <c r="B182" s="174" t="s">
        <v>1972</v>
      </c>
      <c r="D182" s="174"/>
      <c r="E182" s="174"/>
      <c r="F182" s="1640"/>
      <c r="H182" s="1638"/>
      <c r="I182" s="1638"/>
      <c r="J182" s="1638"/>
      <c r="K182" s="1638"/>
      <c r="L182" s="1047"/>
      <c r="M182" s="906"/>
    </row>
    <row r="183" spans="1:13" ht="24" customHeight="1">
      <c r="A183" s="157"/>
      <c r="B183" s="1043" t="s">
        <v>989</v>
      </c>
      <c r="C183" s="1044" t="s">
        <v>964</v>
      </c>
      <c r="D183" s="1045">
        <v>2</v>
      </c>
      <c r="E183" s="901" t="s">
        <v>5</v>
      </c>
      <c r="F183" s="1046">
        <v>4500</v>
      </c>
      <c r="G183" s="1046">
        <v>250</v>
      </c>
      <c r="H183" s="296">
        <f t="shared" si="16"/>
        <v>9000</v>
      </c>
      <c r="I183" s="296">
        <f t="shared" si="17"/>
        <v>500</v>
      </c>
      <c r="J183" s="296">
        <f t="shared" si="18"/>
        <v>9500</v>
      </c>
      <c r="K183" s="456"/>
      <c r="L183" s="1047" t="s">
        <v>1937</v>
      </c>
      <c r="M183" s="906" t="s">
        <v>276</v>
      </c>
    </row>
    <row r="184" spans="1:13" ht="24" customHeight="1">
      <c r="A184" s="170"/>
      <c r="B184" s="1048" t="s">
        <v>1095</v>
      </c>
      <c r="C184" s="1049" t="s">
        <v>964</v>
      </c>
      <c r="D184" s="1050">
        <v>2</v>
      </c>
      <c r="E184" s="153" t="s">
        <v>5</v>
      </c>
      <c r="F184" s="1051">
        <v>4600</v>
      </c>
      <c r="G184" s="1051">
        <v>250</v>
      </c>
      <c r="H184" s="1052">
        <f t="shared" si="16"/>
        <v>9200</v>
      </c>
      <c r="I184" s="1052">
        <f t="shared" si="17"/>
        <v>500</v>
      </c>
      <c r="J184" s="1052">
        <f t="shared" si="18"/>
        <v>9700</v>
      </c>
      <c r="K184" s="456"/>
      <c r="L184" s="1047" t="s">
        <v>1937</v>
      </c>
      <c r="M184" s="906" t="s">
        <v>276</v>
      </c>
    </row>
    <row r="185" spans="1:13" ht="24" customHeight="1">
      <c r="A185" s="157"/>
      <c r="B185" s="1043" t="s">
        <v>1096</v>
      </c>
      <c r="C185" s="1044" t="s">
        <v>964</v>
      </c>
      <c r="D185" s="1045">
        <v>4</v>
      </c>
      <c r="E185" s="901" t="s">
        <v>5</v>
      </c>
      <c r="F185" s="1046">
        <v>4800</v>
      </c>
      <c r="G185" s="1046">
        <v>250</v>
      </c>
      <c r="H185" s="296">
        <f t="shared" si="16"/>
        <v>19200</v>
      </c>
      <c r="I185" s="296">
        <f t="shared" si="17"/>
        <v>1000</v>
      </c>
      <c r="J185" s="296">
        <f t="shared" si="18"/>
        <v>20200</v>
      </c>
      <c r="K185" s="456"/>
      <c r="L185" s="1047" t="s">
        <v>1937</v>
      </c>
      <c r="M185" s="906" t="s">
        <v>276</v>
      </c>
    </row>
    <row r="186" spans="1:13" ht="24" customHeight="1">
      <c r="A186" s="157"/>
      <c r="B186" s="1043" t="s">
        <v>1090</v>
      </c>
      <c r="C186" s="1044" t="s">
        <v>964</v>
      </c>
      <c r="D186" s="1045">
        <v>1</v>
      </c>
      <c r="E186" s="901" t="s">
        <v>5</v>
      </c>
      <c r="F186" s="1046">
        <v>5300</v>
      </c>
      <c r="G186" s="1046">
        <v>250</v>
      </c>
      <c r="H186" s="296">
        <f t="shared" si="16"/>
        <v>5300</v>
      </c>
      <c r="I186" s="296">
        <f t="shared" si="17"/>
        <v>250</v>
      </c>
      <c r="J186" s="296">
        <f t="shared" si="18"/>
        <v>5550</v>
      </c>
      <c r="K186" s="456"/>
      <c r="L186" s="1047" t="s">
        <v>1937</v>
      </c>
      <c r="M186" s="906" t="s">
        <v>276</v>
      </c>
    </row>
    <row r="187" spans="1:13" s="152" customFormat="1" ht="24" customHeight="1">
      <c r="A187" s="163" t="s">
        <v>2022</v>
      </c>
      <c r="B187" s="2577" t="s">
        <v>983</v>
      </c>
      <c r="C187" s="2578"/>
      <c r="D187" s="185"/>
      <c r="E187" s="1053"/>
      <c r="F187" s="1054"/>
      <c r="G187" s="1054"/>
      <c r="H187" s="1055"/>
      <c r="I187" s="1055"/>
      <c r="J187" s="1055"/>
      <c r="K187" s="456"/>
      <c r="L187" s="229"/>
      <c r="M187" s="860"/>
    </row>
    <row r="188" spans="1:13" ht="24" customHeight="1">
      <c r="A188" s="157"/>
      <c r="B188" s="1043" t="s">
        <v>430</v>
      </c>
      <c r="C188" s="1044" t="s">
        <v>964</v>
      </c>
      <c r="D188" s="1045">
        <v>8</v>
      </c>
      <c r="E188" s="901" t="s">
        <v>5</v>
      </c>
      <c r="F188" s="1046">
        <v>2400</v>
      </c>
      <c r="G188" s="1046">
        <v>250</v>
      </c>
      <c r="H188" s="296">
        <f t="shared" ref="H188:H216" si="19">D188*F188</f>
        <v>19200</v>
      </c>
      <c r="I188" s="296">
        <f t="shared" ref="I188:I216" si="20">D188*G188</f>
        <v>2000</v>
      </c>
      <c r="J188" s="296">
        <f t="shared" ref="J188:J216" si="21">H188+I188</f>
        <v>21200</v>
      </c>
      <c r="K188" s="456"/>
      <c r="L188" s="1047" t="s">
        <v>1937</v>
      </c>
      <c r="M188" s="906" t="s">
        <v>276</v>
      </c>
    </row>
    <row r="189" spans="1:13" ht="24" customHeight="1">
      <c r="A189" s="157"/>
      <c r="B189" s="1043" t="s">
        <v>431</v>
      </c>
      <c r="C189" s="1044" t="s">
        <v>964</v>
      </c>
      <c r="D189" s="1045">
        <v>2</v>
      </c>
      <c r="E189" s="901" t="s">
        <v>5</v>
      </c>
      <c r="F189" s="1046">
        <v>2600</v>
      </c>
      <c r="G189" s="1046">
        <v>250</v>
      </c>
      <c r="H189" s="296">
        <f t="shared" si="19"/>
        <v>5200</v>
      </c>
      <c r="I189" s="296">
        <f t="shared" si="20"/>
        <v>500</v>
      </c>
      <c r="J189" s="296">
        <f t="shared" si="21"/>
        <v>5700</v>
      </c>
      <c r="K189" s="456"/>
      <c r="L189" s="1047" t="s">
        <v>1937</v>
      </c>
      <c r="M189" s="906" t="s">
        <v>276</v>
      </c>
    </row>
    <row r="190" spans="1:13" ht="24" customHeight="1">
      <c r="A190" s="157"/>
      <c r="B190" s="1043" t="s">
        <v>432</v>
      </c>
      <c r="C190" s="1044" t="s">
        <v>964</v>
      </c>
      <c r="D190" s="1045">
        <v>2</v>
      </c>
      <c r="E190" s="901" t="s">
        <v>5</v>
      </c>
      <c r="F190" s="1046">
        <v>1700</v>
      </c>
      <c r="G190" s="1046">
        <v>250</v>
      </c>
      <c r="H190" s="296">
        <f t="shared" si="19"/>
        <v>3400</v>
      </c>
      <c r="I190" s="296">
        <f t="shared" si="20"/>
        <v>500</v>
      </c>
      <c r="J190" s="296">
        <f t="shared" si="21"/>
        <v>3900</v>
      </c>
      <c r="K190" s="456"/>
      <c r="L190" s="1047" t="s">
        <v>1937</v>
      </c>
      <c r="M190" s="906" t="s">
        <v>276</v>
      </c>
    </row>
    <row r="191" spans="1:13" ht="24" customHeight="1">
      <c r="A191" s="157"/>
      <c r="B191" s="1043" t="s">
        <v>435</v>
      </c>
      <c r="C191" s="1044" t="s">
        <v>964</v>
      </c>
      <c r="D191" s="1045">
        <v>8</v>
      </c>
      <c r="E191" s="901" t="s">
        <v>5</v>
      </c>
      <c r="F191" s="1046">
        <v>2800</v>
      </c>
      <c r="G191" s="1046">
        <v>250</v>
      </c>
      <c r="H191" s="296">
        <f t="shared" si="19"/>
        <v>22400</v>
      </c>
      <c r="I191" s="296">
        <f t="shared" si="20"/>
        <v>2000</v>
      </c>
      <c r="J191" s="296">
        <f t="shared" si="21"/>
        <v>24400</v>
      </c>
      <c r="K191" s="456"/>
      <c r="L191" s="1047" t="s">
        <v>1937</v>
      </c>
      <c r="M191" s="906" t="s">
        <v>276</v>
      </c>
    </row>
    <row r="192" spans="1:13" ht="24" customHeight="1">
      <c r="A192" s="157"/>
      <c r="B192" s="1043" t="s">
        <v>436</v>
      </c>
      <c r="C192" s="1044" t="s">
        <v>964</v>
      </c>
      <c r="D192" s="1045">
        <v>4</v>
      </c>
      <c r="E192" s="901" t="s">
        <v>5</v>
      </c>
      <c r="F192" s="1046">
        <v>2700</v>
      </c>
      <c r="G192" s="1046">
        <v>250</v>
      </c>
      <c r="H192" s="296">
        <f t="shared" si="19"/>
        <v>10800</v>
      </c>
      <c r="I192" s="296">
        <f t="shared" si="20"/>
        <v>1000</v>
      </c>
      <c r="J192" s="296">
        <f t="shared" si="21"/>
        <v>11800</v>
      </c>
      <c r="K192" s="456"/>
      <c r="L192" s="1047" t="s">
        <v>1937</v>
      </c>
      <c r="M192" s="906" t="s">
        <v>276</v>
      </c>
    </row>
    <row r="193" spans="1:13" ht="24" customHeight="1">
      <c r="A193" s="157"/>
      <c r="B193" s="1043" t="s">
        <v>440</v>
      </c>
      <c r="C193" s="1044" t="s">
        <v>964</v>
      </c>
      <c r="D193" s="1045">
        <v>8</v>
      </c>
      <c r="E193" s="901" t="s">
        <v>5</v>
      </c>
      <c r="F193" s="1046">
        <v>2900</v>
      </c>
      <c r="G193" s="1046">
        <v>250</v>
      </c>
      <c r="H193" s="296">
        <f t="shared" si="19"/>
        <v>23200</v>
      </c>
      <c r="I193" s="296">
        <f t="shared" si="20"/>
        <v>2000</v>
      </c>
      <c r="J193" s="296">
        <f t="shared" si="21"/>
        <v>25200</v>
      </c>
      <c r="K193" s="456"/>
      <c r="L193" s="1047" t="s">
        <v>1937</v>
      </c>
      <c r="M193" s="906" t="s">
        <v>276</v>
      </c>
    </row>
    <row r="194" spans="1:13" ht="24" customHeight="1">
      <c r="A194" s="157"/>
      <c r="B194" s="1043" t="s">
        <v>441</v>
      </c>
      <c r="C194" s="1044" t="s">
        <v>964</v>
      </c>
      <c r="D194" s="1045">
        <v>4</v>
      </c>
      <c r="E194" s="901" t="s">
        <v>5</v>
      </c>
      <c r="F194" s="1046">
        <v>2900</v>
      </c>
      <c r="G194" s="1046">
        <v>250</v>
      </c>
      <c r="H194" s="296">
        <f t="shared" si="19"/>
        <v>11600</v>
      </c>
      <c r="I194" s="296">
        <f t="shared" si="20"/>
        <v>1000</v>
      </c>
      <c r="J194" s="296">
        <f t="shared" si="21"/>
        <v>12600</v>
      </c>
      <c r="K194" s="456"/>
      <c r="L194" s="1047" t="s">
        <v>1937</v>
      </c>
      <c r="M194" s="906" t="s">
        <v>276</v>
      </c>
    </row>
    <row r="195" spans="1:13" ht="24" customHeight="1">
      <c r="A195" s="157"/>
      <c r="B195" s="1043" t="s">
        <v>965</v>
      </c>
      <c r="C195" s="1044" t="s">
        <v>964</v>
      </c>
      <c r="D195" s="1045">
        <v>6</v>
      </c>
      <c r="E195" s="901" t="s">
        <v>5</v>
      </c>
      <c r="F195" s="1046">
        <v>3100</v>
      </c>
      <c r="G195" s="1046">
        <v>250</v>
      </c>
      <c r="H195" s="296">
        <f t="shared" si="19"/>
        <v>18600</v>
      </c>
      <c r="I195" s="296">
        <f t="shared" si="20"/>
        <v>1500</v>
      </c>
      <c r="J195" s="296">
        <f t="shared" si="21"/>
        <v>20100</v>
      </c>
      <c r="K195" s="456"/>
      <c r="L195" s="1047" t="s">
        <v>1937</v>
      </c>
      <c r="M195" s="906" t="s">
        <v>276</v>
      </c>
    </row>
    <row r="196" spans="1:13" ht="24" customHeight="1">
      <c r="A196" s="157"/>
      <c r="B196" s="1043" t="s">
        <v>974</v>
      </c>
      <c r="C196" s="1044" t="s">
        <v>964</v>
      </c>
      <c r="D196" s="1045">
        <v>6</v>
      </c>
      <c r="E196" s="901" t="s">
        <v>5</v>
      </c>
      <c r="F196" s="1046">
        <v>3200</v>
      </c>
      <c r="G196" s="1046">
        <v>250</v>
      </c>
      <c r="H196" s="296">
        <f t="shared" si="19"/>
        <v>19200</v>
      </c>
      <c r="I196" s="296">
        <f t="shared" si="20"/>
        <v>1500</v>
      </c>
      <c r="J196" s="296">
        <f t="shared" si="21"/>
        <v>20700</v>
      </c>
      <c r="K196" s="456"/>
      <c r="L196" s="1047" t="s">
        <v>1937</v>
      </c>
      <c r="M196" s="906" t="s">
        <v>276</v>
      </c>
    </row>
    <row r="197" spans="1:13" ht="24" customHeight="1">
      <c r="A197" s="157"/>
      <c r="B197" s="1043" t="s">
        <v>975</v>
      </c>
      <c r="C197" s="1044" t="s">
        <v>964</v>
      </c>
      <c r="D197" s="1045">
        <v>2</v>
      </c>
      <c r="E197" s="901" t="s">
        <v>5</v>
      </c>
      <c r="F197" s="1046">
        <v>3300</v>
      </c>
      <c r="G197" s="1046">
        <v>250</v>
      </c>
      <c r="H197" s="296">
        <f t="shared" si="19"/>
        <v>6600</v>
      </c>
      <c r="I197" s="296">
        <f t="shared" si="20"/>
        <v>500</v>
      </c>
      <c r="J197" s="296">
        <f t="shared" si="21"/>
        <v>7100</v>
      </c>
      <c r="K197" s="456"/>
      <c r="L197" s="1047" t="s">
        <v>1937</v>
      </c>
      <c r="M197" s="906" t="s">
        <v>276</v>
      </c>
    </row>
    <row r="198" spans="1:13" ht="24" customHeight="1">
      <c r="A198" s="157"/>
      <c r="B198" s="1043" t="s">
        <v>977</v>
      </c>
      <c r="C198" s="1044" t="s">
        <v>964</v>
      </c>
      <c r="D198" s="1045">
        <v>3</v>
      </c>
      <c r="E198" s="901" t="s">
        <v>5</v>
      </c>
      <c r="F198" s="1046">
        <v>3400</v>
      </c>
      <c r="G198" s="1046">
        <v>250</v>
      </c>
      <c r="H198" s="296">
        <f t="shared" si="19"/>
        <v>10200</v>
      </c>
      <c r="I198" s="296">
        <f t="shared" si="20"/>
        <v>750</v>
      </c>
      <c r="J198" s="296">
        <f t="shared" si="21"/>
        <v>10950</v>
      </c>
      <c r="K198" s="456"/>
      <c r="L198" s="1047" t="s">
        <v>1937</v>
      </c>
      <c r="M198" s="906" t="s">
        <v>276</v>
      </c>
    </row>
    <row r="199" spans="1:13" ht="24" customHeight="1">
      <c r="A199" s="157"/>
      <c r="B199" s="1043" t="s">
        <v>978</v>
      </c>
      <c r="C199" s="1044" t="s">
        <v>964</v>
      </c>
      <c r="D199" s="1045">
        <v>2</v>
      </c>
      <c r="E199" s="901" t="s">
        <v>5</v>
      </c>
      <c r="F199" s="1046">
        <v>3500</v>
      </c>
      <c r="G199" s="1046">
        <v>250</v>
      </c>
      <c r="H199" s="296">
        <f t="shared" si="19"/>
        <v>7000</v>
      </c>
      <c r="I199" s="296">
        <f t="shared" si="20"/>
        <v>500</v>
      </c>
      <c r="J199" s="296">
        <f t="shared" si="21"/>
        <v>7500</v>
      </c>
      <c r="K199" s="456"/>
      <c r="L199" s="1047" t="s">
        <v>1937</v>
      </c>
      <c r="M199" s="906" t="s">
        <v>276</v>
      </c>
    </row>
    <row r="200" spans="1:13" ht="24" customHeight="1">
      <c r="A200" s="157"/>
      <c r="B200" s="1043" t="s">
        <v>981</v>
      </c>
      <c r="C200" s="1044" t="s">
        <v>964</v>
      </c>
      <c r="D200" s="1045">
        <v>2</v>
      </c>
      <c r="E200" s="901" t="s">
        <v>5</v>
      </c>
      <c r="F200" s="1046">
        <v>3500</v>
      </c>
      <c r="G200" s="1046">
        <v>250</v>
      </c>
      <c r="H200" s="296">
        <f t="shared" si="19"/>
        <v>7000</v>
      </c>
      <c r="I200" s="296">
        <f t="shared" si="20"/>
        <v>500</v>
      </c>
      <c r="J200" s="296">
        <f t="shared" si="21"/>
        <v>7500</v>
      </c>
      <c r="K200" s="456"/>
      <c r="L200" s="1047" t="s">
        <v>1937</v>
      </c>
      <c r="M200" s="906" t="s">
        <v>276</v>
      </c>
    </row>
    <row r="201" spans="1:13" ht="24" customHeight="1">
      <c r="A201" s="157"/>
      <c r="B201" s="1043" t="s">
        <v>982</v>
      </c>
      <c r="C201" s="1044" t="s">
        <v>964</v>
      </c>
      <c r="D201" s="1045">
        <v>1</v>
      </c>
      <c r="E201" s="901" t="s">
        <v>5</v>
      </c>
      <c r="F201" s="1046">
        <v>3800</v>
      </c>
      <c r="G201" s="1046">
        <v>250</v>
      </c>
      <c r="H201" s="296">
        <f t="shared" si="19"/>
        <v>3800</v>
      </c>
      <c r="I201" s="296">
        <f t="shared" si="20"/>
        <v>250</v>
      </c>
      <c r="J201" s="296">
        <f t="shared" si="21"/>
        <v>4050</v>
      </c>
      <c r="K201" s="456"/>
      <c r="L201" s="1047" t="s">
        <v>1937</v>
      </c>
      <c r="M201" s="906" t="s">
        <v>276</v>
      </c>
    </row>
    <row r="202" spans="1:13" ht="24" customHeight="1">
      <c r="A202" s="157"/>
      <c r="B202" s="1043" t="s">
        <v>968</v>
      </c>
      <c r="C202" s="1044" t="s">
        <v>964</v>
      </c>
      <c r="D202" s="1045">
        <v>8</v>
      </c>
      <c r="E202" s="901" t="s">
        <v>5</v>
      </c>
      <c r="F202" s="1046">
        <v>3900</v>
      </c>
      <c r="G202" s="1046">
        <v>250</v>
      </c>
      <c r="H202" s="296">
        <f t="shared" si="19"/>
        <v>31200</v>
      </c>
      <c r="I202" s="296">
        <f t="shared" si="20"/>
        <v>2000</v>
      </c>
      <c r="J202" s="296">
        <f t="shared" si="21"/>
        <v>33200</v>
      </c>
      <c r="K202" s="456"/>
      <c r="L202" s="1047" t="s">
        <v>1937</v>
      </c>
      <c r="M202" s="906" t="s">
        <v>276</v>
      </c>
    </row>
    <row r="203" spans="1:13" ht="24" customHeight="1">
      <c r="A203" s="157"/>
      <c r="B203" s="1043" t="s">
        <v>987</v>
      </c>
      <c r="C203" s="1044" t="s">
        <v>964</v>
      </c>
      <c r="D203" s="1045">
        <v>1</v>
      </c>
      <c r="E203" s="901" t="s">
        <v>5</v>
      </c>
      <c r="F203" s="1046">
        <v>4000</v>
      </c>
      <c r="G203" s="1046">
        <v>250</v>
      </c>
      <c r="H203" s="296">
        <f t="shared" si="19"/>
        <v>4000</v>
      </c>
      <c r="I203" s="296">
        <f t="shared" si="20"/>
        <v>250</v>
      </c>
      <c r="J203" s="296">
        <f t="shared" si="21"/>
        <v>4250</v>
      </c>
      <c r="K203" s="456"/>
      <c r="L203" s="1047" t="s">
        <v>1937</v>
      </c>
      <c r="M203" s="906" t="s">
        <v>276</v>
      </c>
    </row>
    <row r="204" spans="1:13" ht="24" customHeight="1">
      <c r="A204" s="157"/>
      <c r="B204" s="1043" t="s">
        <v>971</v>
      </c>
      <c r="C204" s="1044" t="s">
        <v>964</v>
      </c>
      <c r="D204" s="1045">
        <v>1</v>
      </c>
      <c r="E204" s="901" t="s">
        <v>5</v>
      </c>
      <c r="F204" s="1046">
        <v>4400</v>
      </c>
      <c r="G204" s="1046">
        <v>250</v>
      </c>
      <c r="H204" s="296">
        <f t="shared" si="19"/>
        <v>4400</v>
      </c>
      <c r="I204" s="296">
        <f t="shared" si="20"/>
        <v>250</v>
      </c>
      <c r="J204" s="296">
        <f t="shared" si="21"/>
        <v>4650</v>
      </c>
      <c r="K204" s="456"/>
      <c r="L204" s="1047" t="s">
        <v>1937</v>
      </c>
      <c r="M204" s="906" t="s">
        <v>276</v>
      </c>
    </row>
    <row r="205" spans="1:13" ht="24" customHeight="1">
      <c r="A205" s="157"/>
      <c r="B205" s="1043" t="s">
        <v>989</v>
      </c>
      <c r="C205" s="1044" t="s">
        <v>964</v>
      </c>
      <c r="D205" s="1045">
        <v>2</v>
      </c>
      <c r="E205" s="901" t="s">
        <v>5</v>
      </c>
      <c r="F205" s="1046">
        <v>4500</v>
      </c>
      <c r="G205" s="1046">
        <v>250</v>
      </c>
      <c r="H205" s="296">
        <f t="shared" si="19"/>
        <v>9000</v>
      </c>
      <c r="I205" s="296">
        <f t="shared" si="20"/>
        <v>500</v>
      </c>
      <c r="J205" s="296">
        <f t="shared" si="21"/>
        <v>9500</v>
      </c>
      <c r="K205" s="456"/>
      <c r="L205" s="1047" t="s">
        <v>1937</v>
      </c>
      <c r="M205" s="906" t="s">
        <v>276</v>
      </c>
    </row>
    <row r="206" spans="1:13" ht="24" customHeight="1" thickBot="1">
      <c r="A206" s="157"/>
      <c r="B206" s="1043" t="s">
        <v>1095</v>
      </c>
      <c r="C206" s="1044" t="s">
        <v>964</v>
      </c>
      <c r="D206" s="1045">
        <v>2</v>
      </c>
      <c r="E206" s="901" t="s">
        <v>5</v>
      </c>
      <c r="F206" s="1046">
        <v>4600</v>
      </c>
      <c r="G206" s="1046">
        <v>250</v>
      </c>
      <c r="H206" s="296">
        <f t="shared" si="19"/>
        <v>9200</v>
      </c>
      <c r="I206" s="296">
        <f t="shared" si="20"/>
        <v>500</v>
      </c>
      <c r="J206" s="296">
        <f t="shared" si="21"/>
        <v>9700</v>
      </c>
      <c r="K206" s="456"/>
      <c r="L206" s="1047" t="s">
        <v>1937</v>
      </c>
      <c r="M206" s="906" t="s">
        <v>276</v>
      </c>
    </row>
    <row r="207" spans="1:13" ht="24" customHeight="1" thickTop="1">
      <c r="A207" s="1066"/>
      <c r="B207" s="1066"/>
      <c r="C207" s="1066"/>
      <c r="D207" s="1066"/>
      <c r="E207" s="1066"/>
      <c r="F207" s="1066"/>
      <c r="G207" s="1066"/>
      <c r="H207" s="1066"/>
      <c r="I207" s="1066"/>
      <c r="J207" s="1066"/>
      <c r="K207" s="1066"/>
      <c r="L207" s="1047"/>
      <c r="M207" s="906"/>
    </row>
    <row r="208" spans="1:13" ht="24" customHeight="1">
      <c r="A208" s="139"/>
      <c r="B208" s="881" t="s">
        <v>133</v>
      </c>
      <c r="C208" s="175"/>
      <c r="D208" s="1644"/>
      <c r="E208" s="177"/>
      <c r="F208" s="177"/>
      <c r="G208" s="265"/>
      <c r="H208" s="265"/>
      <c r="I208" s="265"/>
      <c r="J208" s="265"/>
      <c r="K208" s="265"/>
      <c r="L208" s="1047"/>
      <c r="M208" s="906"/>
    </row>
    <row r="209" spans="1:13" ht="24" customHeight="1">
      <c r="A209" s="139"/>
      <c r="B209" s="1638" t="s">
        <v>1769</v>
      </c>
      <c r="C209" s="137"/>
      <c r="D209" s="137"/>
      <c r="E209" s="173"/>
      <c r="F209" s="1638" t="s">
        <v>134</v>
      </c>
      <c r="G209" s="137"/>
      <c r="H209" s="137"/>
      <c r="I209" s="137"/>
      <c r="J209" s="137"/>
      <c r="K209" s="137"/>
      <c r="L209" s="1047"/>
      <c r="M209" s="906"/>
    </row>
    <row r="210" spans="1:13" ht="24" customHeight="1">
      <c r="A210" s="139"/>
      <c r="B210" s="174" t="s">
        <v>1970</v>
      </c>
      <c r="C210" s="137"/>
      <c r="D210" s="137"/>
      <c r="E210" s="1638"/>
      <c r="F210" s="227" t="s">
        <v>1971</v>
      </c>
      <c r="G210" s="137"/>
      <c r="H210" s="768"/>
      <c r="I210" s="768"/>
      <c r="J210" s="768"/>
      <c r="K210" s="768"/>
      <c r="L210" s="1047"/>
      <c r="M210" s="906"/>
    </row>
    <row r="211" spans="1:13" ht="24" customHeight="1">
      <c r="A211" s="139"/>
      <c r="B211" s="1638" t="s">
        <v>2031</v>
      </c>
      <c r="C211" s="137"/>
      <c r="D211" s="137"/>
      <c r="E211" s="174"/>
      <c r="F211" s="1638" t="s">
        <v>2031</v>
      </c>
      <c r="G211" s="137"/>
      <c r="H211" s="1638"/>
      <c r="I211" s="1638"/>
      <c r="J211" s="1638"/>
      <c r="K211" s="1638"/>
      <c r="L211" s="1047"/>
      <c r="M211" s="906"/>
    </row>
    <row r="212" spans="1:13" ht="24" customHeight="1">
      <c r="A212" s="139"/>
      <c r="B212" s="174" t="s">
        <v>1984</v>
      </c>
      <c r="C212" s="137"/>
      <c r="D212" s="137"/>
      <c r="E212" s="174"/>
      <c r="F212" s="174" t="s">
        <v>1985</v>
      </c>
      <c r="G212" s="137"/>
      <c r="L212" s="1047"/>
      <c r="M212" s="906"/>
    </row>
    <row r="213" spans="1:13" ht="24" customHeight="1">
      <c r="A213" s="139"/>
      <c r="B213" s="1638" t="s">
        <v>670</v>
      </c>
      <c r="D213" s="1638"/>
      <c r="E213" s="1638"/>
      <c r="F213" s="137"/>
      <c r="H213" s="137"/>
      <c r="I213" s="137"/>
      <c r="J213" s="137"/>
      <c r="K213" s="137"/>
      <c r="L213" s="1047"/>
      <c r="M213" s="906"/>
    </row>
    <row r="214" spans="1:13" ht="24" customHeight="1">
      <c r="A214" s="137"/>
      <c r="B214" s="174" t="s">
        <v>1972</v>
      </c>
      <c r="D214" s="174"/>
      <c r="E214" s="174"/>
      <c r="F214" s="1640"/>
      <c r="H214" s="1638"/>
      <c r="I214" s="1638"/>
      <c r="J214" s="1638"/>
      <c r="K214" s="1638"/>
      <c r="L214" s="1047"/>
      <c r="M214" s="906"/>
    </row>
    <row r="215" spans="1:13" ht="24" customHeight="1">
      <c r="A215" s="157"/>
      <c r="B215" s="1043" t="s">
        <v>1096</v>
      </c>
      <c r="C215" s="1044" t="s">
        <v>964</v>
      </c>
      <c r="D215" s="1045">
        <v>4</v>
      </c>
      <c r="E215" s="901" t="s">
        <v>5</v>
      </c>
      <c r="F215" s="1046">
        <v>4800</v>
      </c>
      <c r="G215" s="1046">
        <v>250</v>
      </c>
      <c r="H215" s="296">
        <f t="shared" si="19"/>
        <v>19200</v>
      </c>
      <c r="I215" s="296">
        <f t="shared" si="20"/>
        <v>1000</v>
      </c>
      <c r="J215" s="296">
        <f t="shared" si="21"/>
        <v>20200</v>
      </c>
      <c r="K215" s="456"/>
      <c r="L215" s="1047" t="s">
        <v>1937</v>
      </c>
      <c r="M215" s="906" t="s">
        <v>276</v>
      </c>
    </row>
    <row r="216" spans="1:13" ht="24" customHeight="1">
      <c r="A216" s="157"/>
      <c r="B216" s="1043" t="s">
        <v>1090</v>
      </c>
      <c r="C216" s="1044" t="s">
        <v>964</v>
      </c>
      <c r="D216" s="1045">
        <v>1</v>
      </c>
      <c r="E216" s="901" t="s">
        <v>5</v>
      </c>
      <c r="F216" s="1046">
        <v>5300</v>
      </c>
      <c r="G216" s="1046">
        <v>250</v>
      </c>
      <c r="H216" s="296">
        <f t="shared" si="19"/>
        <v>5300</v>
      </c>
      <c r="I216" s="296">
        <f t="shared" si="20"/>
        <v>250</v>
      </c>
      <c r="J216" s="296">
        <f t="shared" si="21"/>
        <v>5550</v>
      </c>
      <c r="K216" s="456"/>
      <c r="L216" s="1047" t="s">
        <v>1937</v>
      </c>
      <c r="M216" s="906" t="s">
        <v>276</v>
      </c>
    </row>
    <row r="217" spans="1:13" s="152" customFormat="1" ht="24" customHeight="1">
      <c r="A217" s="163" t="s">
        <v>2023</v>
      </c>
      <c r="B217" s="2577" t="s">
        <v>984</v>
      </c>
      <c r="C217" s="2578"/>
      <c r="D217" s="185"/>
      <c r="E217" s="1053"/>
      <c r="F217" s="1054"/>
      <c r="G217" s="1054"/>
      <c r="H217" s="1055"/>
      <c r="I217" s="1055"/>
      <c r="J217" s="1055"/>
      <c r="K217" s="456"/>
      <c r="L217" s="229"/>
      <c r="M217" s="860"/>
    </row>
    <row r="218" spans="1:13" ht="24" customHeight="1">
      <c r="A218" s="157"/>
      <c r="B218" s="1043" t="s">
        <v>430</v>
      </c>
      <c r="C218" s="1044" t="s">
        <v>964</v>
      </c>
      <c r="D218" s="1045">
        <v>8</v>
      </c>
      <c r="E218" s="901" t="s">
        <v>5</v>
      </c>
      <c r="F218" s="1046">
        <v>2400</v>
      </c>
      <c r="G218" s="1046">
        <v>250</v>
      </c>
      <c r="H218" s="296">
        <f t="shared" ref="H218:H236" si="22">D218*F218</f>
        <v>19200</v>
      </c>
      <c r="I218" s="296">
        <f t="shared" ref="I218:I236" si="23">D218*G218</f>
        <v>2000</v>
      </c>
      <c r="J218" s="296">
        <f t="shared" ref="J218:J236" si="24">H218+I218</f>
        <v>21200</v>
      </c>
      <c r="K218" s="456"/>
      <c r="L218" s="1047" t="s">
        <v>1937</v>
      </c>
      <c r="M218" s="906" t="s">
        <v>276</v>
      </c>
    </row>
    <row r="219" spans="1:13" ht="24" customHeight="1">
      <c r="A219" s="157"/>
      <c r="B219" s="1043" t="s">
        <v>432</v>
      </c>
      <c r="C219" s="1044" t="s">
        <v>964</v>
      </c>
      <c r="D219" s="1045">
        <v>2</v>
      </c>
      <c r="E219" s="901" t="s">
        <v>5</v>
      </c>
      <c r="F219" s="1046">
        <v>1700</v>
      </c>
      <c r="G219" s="1046">
        <v>250</v>
      </c>
      <c r="H219" s="296">
        <f t="shared" si="22"/>
        <v>3400</v>
      </c>
      <c r="I219" s="296">
        <f t="shared" si="23"/>
        <v>500</v>
      </c>
      <c r="J219" s="296">
        <f t="shared" si="24"/>
        <v>3900</v>
      </c>
      <c r="K219" s="456"/>
      <c r="L219" s="1047" t="s">
        <v>1937</v>
      </c>
      <c r="M219" s="906" t="s">
        <v>276</v>
      </c>
    </row>
    <row r="220" spans="1:13" ht="24" customHeight="1">
      <c r="A220" s="157"/>
      <c r="B220" s="1043" t="s">
        <v>435</v>
      </c>
      <c r="C220" s="1044" t="s">
        <v>964</v>
      </c>
      <c r="D220" s="1045">
        <v>8</v>
      </c>
      <c r="E220" s="901" t="s">
        <v>5</v>
      </c>
      <c r="F220" s="1046">
        <v>2800</v>
      </c>
      <c r="G220" s="1046">
        <v>250</v>
      </c>
      <c r="H220" s="296">
        <f t="shared" si="22"/>
        <v>22400</v>
      </c>
      <c r="I220" s="296">
        <f t="shared" si="23"/>
        <v>2000</v>
      </c>
      <c r="J220" s="296">
        <f t="shared" si="24"/>
        <v>24400</v>
      </c>
      <c r="K220" s="456"/>
      <c r="L220" s="1047" t="s">
        <v>1937</v>
      </c>
      <c r="M220" s="906" t="s">
        <v>276</v>
      </c>
    </row>
    <row r="221" spans="1:13" ht="24" customHeight="1">
      <c r="A221" s="157"/>
      <c r="B221" s="1043" t="s">
        <v>436</v>
      </c>
      <c r="C221" s="1044" t="s">
        <v>964</v>
      </c>
      <c r="D221" s="1045">
        <v>4</v>
      </c>
      <c r="E221" s="901" t="s">
        <v>5</v>
      </c>
      <c r="F221" s="1046">
        <v>2700</v>
      </c>
      <c r="G221" s="1046">
        <v>250</v>
      </c>
      <c r="H221" s="296">
        <f t="shared" si="22"/>
        <v>10800</v>
      </c>
      <c r="I221" s="296">
        <f t="shared" si="23"/>
        <v>1000</v>
      </c>
      <c r="J221" s="296">
        <f t="shared" si="24"/>
        <v>11800</v>
      </c>
      <c r="K221" s="456"/>
      <c r="L221" s="1047" t="s">
        <v>1937</v>
      </c>
      <c r="M221" s="906" t="s">
        <v>276</v>
      </c>
    </row>
    <row r="222" spans="1:13" ht="24" customHeight="1">
      <c r="A222" s="157"/>
      <c r="B222" s="1043" t="s">
        <v>440</v>
      </c>
      <c r="C222" s="1044" t="s">
        <v>964</v>
      </c>
      <c r="D222" s="1045">
        <v>8</v>
      </c>
      <c r="E222" s="901" t="s">
        <v>5</v>
      </c>
      <c r="F222" s="1046">
        <v>2900</v>
      </c>
      <c r="G222" s="1046">
        <v>250</v>
      </c>
      <c r="H222" s="296">
        <f t="shared" si="22"/>
        <v>23200</v>
      </c>
      <c r="I222" s="296">
        <f t="shared" si="23"/>
        <v>2000</v>
      </c>
      <c r="J222" s="296">
        <f t="shared" si="24"/>
        <v>25200</v>
      </c>
      <c r="K222" s="456"/>
      <c r="L222" s="1047" t="s">
        <v>1937</v>
      </c>
      <c r="M222" s="906" t="s">
        <v>276</v>
      </c>
    </row>
    <row r="223" spans="1:13" ht="24" customHeight="1">
      <c r="A223" s="170"/>
      <c r="B223" s="1048" t="s">
        <v>441</v>
      </c>
      <c r="C223" s="1049" t="s">
        <v>964</v>
      </c>
      <c r="D223" s="1050">
        <v>4</v>
      </c>
      <c r="E223" s="153" t="s">
        <v>5</v>
      </c>
      <c r="F223" s="1051">
        <v>2900</v>
      </c>
      <c r="G223" s="1051">
        <v>250</v>
      </c>
      <c r="H223" s="1052">
        <f t="shared" si="22"/>
        <v>11600</v>
      </c>
      <c r="I223" s="1052">
        <f t="shared" si="23"/>
        <v>1000</v>
      </c>
      <c r="J223" s="1052">
        <f t="shared" si="24"/>
        <v>12600</v>
      </c>
      <c r="K223" s="456"/>
      <c r="L223" s="1047" t="s">
        <v>1937</v>
      </c>
      <c r="M223" s="906" t="s">
        <v>276</v>
      </c>
    </row>
    <row r="224" spans="1:13" ht="24" customHeight="1">
      <c r="A224" s="157"/>
      <c r="B224" s="1043" t="s">
        <v>965</v>
      </c>
      <c r="C224" s="1044" t="s">
        <v>964</v>
      </c>
      <c r="D224" s="1045">
        <v>8</v>
      </c>
      <c r="E224" s="901" t="s">
        <v>5</v>
      </c>
      <c r="F224" s="1046">
        <v>3100</v>
      </c>
      <c r="G224" s="1046">
        <v>250</v>
      </c>
      <c r="H224" s="296">
        <f t="shared" si="22"/>
        <v>24800</v>
      </c>
      <c r="I224" s="296">
        <f t="shared" si="23"/>
        <v>2000</v>
      </c>
      <c r="J224" s="296">
        <f t="shared" si="24"/>
        <v>26800</v>
      </c>
      <c r="K224" s="456"/>
      <c r="L224" s="1047" t="s">
        <v>1937</v>
      </c>
      <c r="M224" s="906" t="s">
        <v>276</v>
      </c>
    </row>
    <row r="225" spans="1:13" ht="24" customHeight="1">
      <c r="A225" s="157"/>
      <c r="B225" s="1043" t="s">
        <v>974</v>
      </c>
      <c r="C225" s="1044" t="s">
        <v>964</v>
      </c>
      <c r="D225" s="1045">
        <v>8</v>
      </c>
      <c r="E225" s="901" t="s">
        <v>5</v>
      </c>
      <c r="F225" s="1046">
        <v>3200</v>
      </c>
      <c r="G225" s="1046">
        <v>250</v>
      </c>
      <c r="H225" s="296">
        <f t="shared" si="22"/>
        <v>25600</v>
      </c>
      <c r="I225" s="296">
        <f t="shared" si="23"/>
        <v>2000</v>
      </c>
      <c r="J225" s="296">
        <f t="shared" si="24"/>
        <v>27600</v>
      </c>
      <c r="K225" s="456"/>
      <c r="L225" s="1047" t="s">
        <v>1937</v>
      </c>
      <c r="M225" s="906" t="s">
        <v>276</v>
      </c>
    </row>
    <row r="226" spans="1:13" ht="24" customHeight="1">
      <c r="A226" s="157"/>
      <c r="B226" s="1043" t="s">
        <v>975</v>
      </c>
      <c r="C226" s="1044" t="s">
        <v>964</v>
      </c>
      <c r="D226" s="1045">
        <v>2</v>
      </c>
      <c r="E226" s="901" t="s">
        <v>5</v>
      </c>
      <c r="F226" s="1046">
        <v>3300</v>
      </c>
      <c r="G226" s="1046">
        <v>250</v>
      </c>
      <c r="H226" s="296">
        <f t="shared" si="22"/>
        <v>6600</v>
      </c>
      <c r="I226" s="296">
        <f t="shared" si="23"/>
        <v>500</v>
      </c>
      <c r="J226" s="296">
        <f t="shared" si="24"/>
        <v>7100</v>
      </c>
      <c r="K226" s="456"/>
      <c r="L226" s="1047" t="s">
        <v>1937</v>
      </c>
      <c r="M226" s="906" t="s">
        <v>276</v>
      </c>
    </row>
    <row r="227" spans="1:13" ht="24" customHeight="1">
      <c r="A227" s="157"/>
      <c r="B227" s="1043" t="s">
        <v>977</v>
      </c>
      <c r="C227" s="1044" t="s">
        <v>964</v>
      </c>
      <c r="D227" s="1045">
        <v>3</v>
      </c>
      <c r="E227" s="901" t="s">
        <v>5</v>
      </c>
      <c r="F227" s="1046">
        <v>3400</v>
      </c>
      <c r="G227" s="1046">
        <v>250</v>
      </c>
      <c r="H227" s="296">
        <f t="shared" si="22"/>
        <v>10200</v>
      </c>
      <c r="I227" s="296">
        <f t="shared" si="23"/>
        <v>750</v>
      </c>
      <c r="J227" s="296">
        <f t="shared" si="24"/>
        <v>10950</v>
      </c>
      <c r="K227" s="456"/>
      <c r="L227" s="1047" t="s">
        <v>1937</v>
      </c>
      <c r="M227" s="906" t="s">
        <v>276</v>
      </c>
    </row>
    <row r="228" spans="1:13" ht="24" customHeight="1">
      <c r="A228" s="157"/>
      <c r="B228" s="1043" t="s">
        <v>981</v>
      </c>
      <c r="C228" s="1044" t="s">
        <v>964</v>
      </c>
      <c r="D228" s="1045">
        <v>2</v>
      </c>
      <c r="E228" s="901" t="s">
        <v>5</v>
      </c>
      <c r="F228" s="1046">
        <v>3500</v>
      </c>
      <c r="G228" s="1046">
        <v>250</v>
      </c>
      <c r="H228" s="296">
        <f t="shared" si="22"/>
        <v>7000</v>
      </c>
      <c r="I228" s="296">
        <f t="shared" si="23"/>
        <v>500</v>
      </c>
      <c r="J228" s="296">
        <f t="shared" si="24"/>
        <v>7500</v>
      </c>
      <c r="K228" s="456"/>
      <c r="L228" s="1047" t="s">
        <v>1937</v>
      </c>
      <c r="M228" s="906" t="s">
        <v>276</v>
      </c>
    </row>
    <row r="229" spans="1:13" ht="24" customHeight="1">
      <c r="A229" s="157"/>
      <c r="B229" s="1043" t="s">
        <v>982</v>
      </c>
      <c r="C229" s="1044" t="s">
        <v>964</v>
      </c>
      <c r="D229" s="1045">
        <v>1</v>
      </c>
      <c r="E229" s="901" t="s">
        <v>5</v>
      </c>
      <c r="F229" s="1046">
        <v>3800</v>
      </c>
      <c r="G229" s="1046">
        <v>250</v>
      </c>
      <c r="H229" s="296">
        <f t="shared" si="22"/>
        <v>3800</v>
      </c>
      <c r="I229" s="296">
        <f t="shared" si="23"/>
        <v>250</v>
      </c>
      <c r="J229" s="296">
        <f t="shared" si="24"/>
        <v>4050</v>
      </c>
      <c r="K229" s="456"/>
      <c r="L229" s="1047" t="s">
        <v>1937</v>
      </c>
      <c r="M229" s="906" t="s">
        <v>276</v>
      </c>
    </row>
    <row r="230" spans="1:13" ht="24" customHeight="1">
      <c r="A230" s="157"/>
      <c r="B230" s="1043" t="s">
        <v>968</v>
      </c>
      <c r="C230" s="1044" t="s">
        <v>964</v>
      </c>
      <c r="D230" s="1045">
        <v>8</v>
      </c>
      <c r="E230" s="901" t="s">
        <v>5</v>
      </c>
      <c r="F230" s="1046">
        <v>3900</v>
      </c>
      <c r="G230" s="1046">
        <v>250</v>
      </c>
      <c r="H230" s="296">
        <f t="shared" si="22"/>
        <v>31200</v>
      </c>
      <c r="I230" s="296">
        <f t="shared" si="23"/>
        <v>2000</v>
      </c>
      <c r="J230" s="296">
        <f t="shared" si="24"/>
        <v>33200</v>
      </c>
      <c r="K230" s="456"/>
      <c r="L230" s="1047" t="s">
        <v>1937</v>
      </c>
      <c r="M230" s="906" t="s">
        <v>276</v>
      </c>
    </row>
    <row r="231" spans="1:13" ht="24" customHeight="1">
      <c r="A231" s="157"/>
      <c r="B231" s="1043" t="s">
        <v>987</v>
      </c>
      <c r="C231" s="1044" t="s">
        <v>964</v>
      </c>
      <c r="D231" s="1045">
        <v>1</v>
      </c>
      <c r="E231" s="901" t="s">
        <v>5</v>
      </c>
      <c r="F231" s="1046">
        <v>4000</v>
      </c>
      <c r="G231" s="1046">
        <v>250</v>
      </c>
      <c r="H231" s="296">
        <f t="shared" si="22"/>
        <v>4000</v>
      </c>
      <c r="I231" s="296">
        <f t="shared" si="23"/>
        <v>250</v>
      </c>
      <c r="J231" s="296">
        <f t="shared" si="24"/>
        <v>4250</v>
      </c>
      <c r="K231" s="456"/>
      <c r="L231" s="1047" t="s">
        <v>1937</v>
      </c>
      <c r="M231" s="906" t="s">
        <v>276</v>
      </c>
    </row>
    <row r="232" spans="1:13" ht="24" customHeight="1">
      <c r="A232" s="157"/>
      <c r="B232" s="1043" t="s">
        <v>971</v>
      </c>
      <c r="C232" s="1044" t="s">
        <v>964</v>
      </c>
      <c r="D232" s="1045">
        <v>1</v>
      </c>
      <c r="E232" s="901" t="s">
        <v>5</v>
      </c>
      <c r="F232" s="1046">
        <v>4400</v>
      </c>
      <c r="G232" s="1046">
        <v>250</v>
      </c>
      <c r="H232" s="296">
        <f t="shared" si="22"/>
        <v>4400</v>
      </c>
      <c r="I232" s="296">
        <f t="shared" si="23"/>
        <v>250</v>
      </c>
      <c r="J232" s="296">
        <f t="shared" si="24"/>
        <v>4650</v>
      </c>
      <c r="K232" s="456"/>
      <c r="L232" s="1047" t="s">
        <v>1937</v>
      </c>
      <c r="M232" s="906" t="s">
        <v>276</v>
      </c>
    </row>
    <row r="233" spans="1:13" ht="24" customHeight="1">
      <c r="A233" s="157"/>
      <c r="B233" s="1043" t="s">
        <v>989</v>
      </c>
      <c r="C233" s="1044" t="s">
        <v>964</v>
      </c>
      <c r="D233" s="1045">
        <v>2</v>
      </c>
      <c r="E233" s="901" t="s">
        <v>5</v>
      </c>
      <c r="F233" s="1046">
        <v>4500</v>
      </c>
      <c r="G233" s="1046">
        <v>250</v>
      </c>
      <c r="H233" s="296">
        <f t="shared" si="22"/>
        <v>9000</v>
      </c>
      <c r="I233" s="296">
        <f t="shared" si="23"/>
        <v>500</v>
      </c>
      <c r="J233" s="296">
        <f t="shared" si="24"/>
        <v>9500</v>
      </c>
      <c r="K233" s="456"/>
      <c r="L233" s="1047" t="s">
        <v>1937</v>
      </c>
      <c r="M233" s="906" t="s">
        <v>276</v>
      </c>
    </row>
    <row r="234" spans="1:13" ht="24" customHeight="1">
      <c r="A234" s="157"/>
      <c r="B234" s="1043" t="s">
        <v>1095</v>
      </c>
      <c r="C234" s="1044" t="s">
        <v>964</v>
      </c>
      <c r="D234" s="1045">
        <v>2</v>
      </c>
      <c r="E234" s="901" t="s">
        <v>5</v>
      </c>
      <c r="F234" s="1046">
        <v>4600</v>
      </c>
      <c r="G234" s="1046">
        <v>250</v>
      </c>
      <c r="H234" s="296">
        <f t="shared" si="22"/>
        <v>9200</v>
      </c>
      <c r="I234" s="296">
        <f t="shared" si="23"/>
        <v>500</v>
      </c>
      <c r="J234" s="296">
        <f t="shared" si="24"/>
        <v>9700</v>
      </c>
      <c r="K234" s="456"/>
      <c r="L234" s="1047" t="s">
        <v>1937</v>
      </c>
      <c r="M234" s="906" t="s">
        <v>276</v>
      </c>
    </row>
    <row r="235" spans="1:13" ht="24" customHeight="1">
      <c r="A235" s="157"/>
      <c r="B235" s="1043" t="s">
        <v>1096</v>
      </c>
      <c r="C235" s="1044" t="s">
        <v>964</v>
      </c>
      <c r="D235" s="1045">
        <v>4</v>
      </c>
      <c r="E235" s="901" t="s">
        <v>5</v>
      </c>
      <c r="F235" s="1046">
        <v>4800</v>
      </c>
      <c r="G235" s="1046">
        <v>250</v>
      </c>
      <c r="H235" s="296">
        <f t="shared" si="22"/>
        <v>19200</v>
      </c>
      <c r="I235" s="296">
        <f t="shared" si="23"/>
        <v>1000</v>
      </c>
      <c r="J235" s="296">
        <f t="shared" si="24"/>
        <v>20200</v>
      </c>
      <c r="K235" s="456"/>
      <c r="L235" s="1047" t="s">
        <v>1937</v>
      </c>
      <c r="M235" s="906" t="s">
        <v>276</v>
      </c>
    </row>
    <row r="236" spans="1:13" ht="24" customHeight="1" thickBot="1">
      <c r="A236" s="157"/>
      <c r="B236" s="1043" t="s">
        <v>1090</v>
      </c>
      <c r="C236" s="1044" t="s">
        <v>964</v>
      </c>
      <c r="D236" s="1045">
        <v>1</v>
      </c>
      <c r="E236" s="901" t="s">
        <v>5</v>
      </c>
      <c r="F236" s="1046">
        <v>5300</v>
      </c>
      <c r="G236" s="1046">
        <v>250</v>
      </c>
      <c r="H236" s="296">
        <f t="shared" si="22"/>
        <v>5300</v>
      </c>
      <c r="I236" s="296">
        <f t="shared" si="23"/>
        <v>250</v>
      </c>
      <c r="J236" s="296">
        <f t="shared" si="24"/>
        <v>5550</v>
      </c>
      <c r="K236" s="456"/>
      <c r="L236" s="1047" t="s">
        <v>1937</v>
      </c>
      <c r="M236" s="906" t="s">
        <v>276</v>
      </c>
    </row>
    <row r="237" spans="1:13" ht="24" customHeight="1" thickTop="1">
      <c r="A237" s="1066"/>
      <c r="B237" s="1066"/>
      <c r="C237" s="1066"/>
      <c r="D237" s="1066"/>
      <c r="E237" s="1066"/>
      <c r="F237" s="1066"/>
      <c r="G237" s="1066"/>
      <c r="H237" s="1066"/>
      <c r="I237" s="1066"/>
      <c r="J237" s="1066"/>
      <c r="K237" s="1066"/>
      <c r="L237" s="1047"/>
      <c r="M237" s="906"/>
    </row>
    <row r="238" spans="1:13" ht="24" customHeight="1">
      <c r="A238" s="139"/>
      <c r="B238" s="881" t="s">
        <v>133</v>
      </c>
      <c r="C238" s="175"/>
      <c r="D238" s="1644"/>
      <c r="E238" s="177"/>
      <c r="F238" s="177"/>
      <c r="G238" s="265"/>
      <c r="H238" s="265"/>
      <c r="I238" s="265"/>
      <c r="J238" s="265"/>
      <c r="K238" s="265"/>
      <c r="L238" s="1047"/>
      <c r="M238" s="906"/>
    </row>
    <row r="239" spans="1:13" ht="24" customHeight="1">
      <c r="A239" s="139"/>
      <c r="B239" s="1638" t="s">
        <v>1769</v>
      </c>
      <c r="C239" s="137"/>
      <c r="D239" s="137"/>
      <c r="E239" s="173"/>
      <c r="F239" s="1638" t="s">
        <v>134</v>
      </c>
      <c r="G239" s="137"/>
      <c r="H239" s="137"/>
      <c r="I239" s="137"/>
      <c r="J239" s="137"/>
      <c r="K239" s="137"/>
      <c r="L239" s="1047"/>
      <c r="M239" s="906"/>
    </row>
    <row r="240" spans="1:13" ht="24" customHeight="1">
      <c r="A240" s="139"/>
      <c r="B240" s="174" t="s">
        <v>1970</v>
      </c>
      <c r="C240" s="137"/>
      <c r="D240" s="137"/>
      <c r="E240" s="1638"/>
      <c r="F240" s="227" t="s">
        <v>1971</v>
      </c>
      <c r="G240" s="137"/>
      <c r="H240" s="768"/>
      <c r="I240" s="768"/>
      <c r="J240" s="768"/>
      <c r="K240" s="768"/>
      <c r="L240" s="1047"/>
      <c r="M240" s="906"/>
    </row>
    <row r="241" spans="1:13" ht="24" customHeight="1">
      <c r="A241" s="139"/>
      <c r="B241" s="1638" t="s">
        <v>2031</v>
      </c>
      <c r="C241" s="137"/>
      <c r="D241" s="137"/>
      <c r="E241" s="174"/>
      <c r="F241" s="1638" t="s">
        <v>2031</v>
      </c>
      <c r="G241" s="137"/>
      <c r="H241" s="1638"/>
      <c r="I241" s="1638"/>
      <c r="J241" s="1638"/>
      <c r="K241" s="1638"/>
      <c r="L241" s="1047"/>
      <c r="M241" s="906"/>
    </row>
    <row r="242" spans="1:13" ht="24" customHeight="1">
      <c r="A242" s="139"/>
      <c r="B242" s="174" t="s">
        <v>1984</v>
      </c>
      <c r="C242" s="137"/>
      <c r="D242" s="137"/>
      <c r="E242" s="174"/>
      <c r="F242" s="174" t="s">
        <v>1985</v>
      </c>
      <c r="G242" s="137"/>
      <c r="L242" s="1047"/>
      <c r="M242" s="906"/>
    </row>
    <row r="243" spans="1:13" ht="24" customHeight="1">
      <c r="A243" s="139"/>
      <c r="B243" s="1638" t="s">
        <v>670</v>
      </c>
      <c r="D243" s="1638"/>
      <c r="E243" s="1638"/>
      <c r="F243" s="137"/>
      <c r="H243" s="137"/>
      <c r="I243" s="137"/>
      <c r="J243" s="137"/>
      <c r="K243" s="137"/>
      <c r="L243" s="1047"/>
      <c r="M243" s="906"/>
    </row>
    <row r="244" spans="1:13" ht="24" customHeight="1">
      <c r="A244" s="137"/>
      <c r="B244" s="174" t="s">
        <v>1972</v>
      </c>
      <c r="D244" s="174"/>
      <c r="E244" s="174"/>
      <c r="F244" s="1640"/>
      <c r="H244" s="1638"/>
      <c r="I244" s="1638"/>
      <c r="J244" s="1638"/>
      <c r="K244" s="1638"/>
      <c r="L244" s="1047"/>
      <c r="M244" s="906"/>
    </row>
    <row r="245" spans="1:13" s="152" customFormat="1" ht="24" customHeight="1">
      <c r="A245" s="163" t="s">
        <v>2024</v>
      </c>
      <c r="B245" s="2577" t="s">
        <v>985</v>
      </c>
      <c r="C245" s="2578"/>
      <c r="D245" s="185"/>
      <c r="E245" s="1053"/>
      <c r="F245" s="1054"/>
      <c r="G245" s="1054"/>
      <c r="H245" s="1055"/>
      <c r="I245" s="1055"/>
      <c r="J245" s="1055"/>
      <c r="K245" s="456"/>
      <c r="L245" s="229"/>
      <c r="M245" s="860"/>
    </row>
    <row r="246" spans="1:13" ht="24" customHeight="1">
      <c r="A246" s="157"/>
      <c r="B246" s="1043" t="s">
        <v>430</v>
      </c>
      <c r="C246" s="1044" t="s">
        <v>964</v>
      </c>
      <c r="D246" s="1045">
        <v>8</v>
      </c>
      <c r="E246" s="901" t="s">
        <v>5</v>
      </c>
      <c r="F246" s="1046">
        <v>2400</v>
      </c>
      <c r="G246" s="1046">
        <v>250</v>
      </c>
      <c r="H246" s="296">
        <f t="shared" ref="H246:H265" si="25">D246*F246</f>
        <v>19200</v>
      </c>
      <c r="I246" s="296">
        <f t="shared" ref="I246:I265" si="26">D246*G246</f>
        <v>2000</v>
      </c>
      <c r="J246" s="296">
        <f t="shared" ref="J246:J265" si="27">H246+I246</f>
        <v>21200</v>
      </c>
      <c r="K246" s="456"/>
      <c r="L246" s="1047" t="s">
        <v>1937</v>
      </c>
      <c r="M246" s="906" t="s">
        <v>276</v>
      </c>
    </row>
    <row r="247" spans="1:13" ht="24" customHeight="1">
      <c r="A247" s="157"/>
      <c r="B247" s="1043" t="s">
        <v>432</v>
      </c>
      <c r="C247" s="1044" t="s">
        <v>964</v>
      </c>
      <c r="D247" s="1045">
        <v>2</v>
      </c>
      <c r="E247" s="901" t="s">
        <v>5</v>
      </c>
      <c r="F247" s="1046">
        <v>1700</v>
      </c>
      <c r="G247" s="1046">
        <v>250</v>
      </c>
      <c r="H247" s="296">
        <f t="shared" si="25"/>
        <v>3400</v>
      </c>
      <c r="I247" s="296">
        <f t="shared" si="26"/>
        <v>500</v>
      </c>
      <c r="J247" s="296">
        <f t="shared" si="27"/>
        <v>3900</v>
      </c>
      <c r="K247" s="456"/>
      <c r="L247" s="1047" t="s">
        <v>1937</v>
      </c>
      <c r="M247" s="906" t="s">
        <v>276</v>
      </c>
    </row>
    <row r="248" spans="1:13" ht="24" customHeight="1">
      <c r="A248" s="157"/>
      <c r="B248" s="1043" t="s">
        <v>435</v>
      </c>
      <c r="C248" s="1044" t="s">
        <v>964</v>
      </c>
      <c r="D248" s="1045">
        <v>8</v>
      </c>
      <c r="E248" s="901" t="s">
        <v>5</v>
      </c>
      <c r="F248" s="1046">
        <v>2800</v>
      </c>
      <c r="G248" s="1046">
        <v>250</v>
      </c>
      <c r="H248" s="296">
        <f t="shared" si="25"/>
        <v>22400</v>
      </c>
      <c r="I248" s="296">
        <f t="shared" si="26"/>
        <v>2000</v>
      </c>
      <c r="J248" s="296">
        <f t="shared" si="27"/>
        <v>24400</v>
      </c>
      <c r="K248" s="456"/>
      <c r="L248" s="1047" t="s">
        <v>1937</v>
      </c>
      <c r="M248" s="906" t="s">
        <v>276</v>
      </c>
    </row>
    <row r="249" spans="1:13" ht="24" customHeight="1">
      <c r="A249" s="157"/>
      <c r="B249" s="1043" t="s">
        <v>436</v>
      </c>
      <c r="C249" s="1044" t="s">
        <v>964</v>
      </c>
      <c r="D249" s="1045">
        <v>4</v>
      </c>
      <c r="E249" s="901" t="s">
        <v>5</v>
      </c>
      <c r="F249" s="1046">
        <v>2700</v>
      </c>
      <c r="G249" s="1046">
        <v>250</v>
      </c>
      <c r="H249" s="296">
        <f t="shared" si="25"/>
        <v>10800</v>
      </c>
      <c r="I249" s="296">
        <f t="shared" si="26"/>
        <v>1000</v>
      </c>
      <c r="J249" s="296">
        <f t="shared" si="27"/>
        <v>11800</v>
      </c>
      <c r="K249" s="456"/>
      <c r="L249" s="1047" t="s">
        <v>1937</v>
      </c>
      <c r="M249" s="906" t="s">
        <v>276</v>
      </c>
    </row>
    <row r="250" spans="1:13" ht="24" customHeight="1">
      <c r="A250" s="157"/>
      <c r="B250" s="1043" t="s">
        <v>440</v>
      </c>
      <c r="C250" s="1044" t="s">
        <v>964</v>
      </c>
      <c r="D250" s="1045">
        <v>8</v>
      </c>
      <c r="E250" s="901" t="s">
        <v>5</v>
      </c>
      <c r="F250" s="1046">
        <v>2900</v>
      </c>
      <c r="G250" s="1046">
        <v>250</v>
      </c>
      <c r="H250" s="296">
        <f t="shared" si="25"/>
        <v>23200</v>
      </c>
      <c r="I250" s="296">
        <f t="shared" si="26"/>
        <v>2000</v>
      </c>
      <c r="J250" s="296">
        <f t="shared" si="27"/>
        <v>25200</v>
      </c>
      <c r="K250" s="456"/>
      <c r="L250" s="1047" t="s">
        <v>1937</v>
      </c>
      <c r="M250" s="906" t="s">
        <v>276</v>
      </c>
    </row>
    <row r="251" spans="1:13" ht="24" customHeight="1">
      <c r="A251" s="157"/>
      <c r="B251" s="1043" t="s">
        <v>441</v>
      </c>
      <c r="C251" s="1044" t="s">
        <v>964</v>
      </c>
      <c r="D251" s="1045">
        <v>4</v>
      </c>
      <c r="E251" s="901" t="s">
        <v>5</v>
      </c>
      <c r="F251" s="1046">
        <v>2900</v>
      </c>
      <c r="G251" s="1046">
        <v>250</v>
      </c>
      <c r="H251" s="296">
        <f t="shared" si="25"/>
        <v>11600</v>
      </c>
      <c r="I251" s="296">
        <f t="shared" si="26"/>
        <v>1000</v>
      </c>
      <c r="J251" s="296">
        <f t="shared" si="27"/>
        <v>12600</v>
      </c>
      <c r="K251" s="456"/>
      <c r="L251" s="1047" t="s">
        <v>1937</v>
      </c>
      <c r="M251" s="906" t="s">
        <v>276</v>
      </c>
    </row>
    <row r="252" spans="1:13" ht="24" customHeight="1">
      <c r="A252" s="157"/>
      <c r="B252" s="1043" t="s">
        <v>965</v>
      </c>
      <c r="C252" s="1044" t="s">
        <v>964</v>
      </c>
      <c r="D252" s="1045">
        <v>8</v>
      </c>
      <c r="E252" s="901" t="s">
        <v>5</v>
      </c>
      <c r="F252" s="1046">
        <v>3100</v>
      </c>
      <c r="G252" s="1046">
        <v>250</v>
      </c>
      <c r="H252" s="296">
        <f t="shared" si="25"/>
        <v>24800</v>
      </c>
      <c r="I252" s="296">
        <f t="shared" si="26"/>
        <v>2000</v>
      </c>
      <c r="J252" s="296">
        <f t="shared" si="27"/>
        <v>26800</v>
      </c>
      <c r="K252" s="456"/>
      <c r="L252" s="1047" t="s">
        <v>1937</v>
      </c>
      <c r="M252" s="906" t="s">
        <v>276</v>
      </c>
    </row>
    <row r="253" spans="1:13" ht="24" customHeight="1">
      <c r="A253" s="157"/>
      <c r="B253" s="1043" t="s">
        <v>974</v>
      </c>
      <c r="C253" s="1044" t="s">
        <v>964</v>
      </c>
      <c r="D253" s="1045">
        <v>8</v>
      </c>
      <c r="E253" s="901" t="s">
        <v>5</v>
      </c>
      <c r="F253" s="1046">
        <v>3200</v>
      </c>
      <c r="G253" s="1046">
        <v>250</v>
      </c>
      <c r="H253" s="296">
        <f t="shared" si="25"/>
        <v>25600</v>
      </c>
      <c r="I253" s="296">
        <f t="shared" si="26"/>
        <v>2000</v>
      </c>
      <c r="J253" s="296">
        <f t="shared" si="27"/>
        <v>27600</v>
      </c>
      <c r="K253" s="456"/>
      <c r="L253" s="1047" t="s">
        <v>1937</v>
      </c>
      <c r="M253" s="906" t="s">
        <v>276</v>
      </c>
    </row>
    <row r="254" spans="1:13" ht="24" customHeight="1">
      <c r="A254" s="157"/>
      <c r="B254" s="1043" t="s">
        <v>975</v>
      </c>
      <c r="C254" s="1044" t="s">
        <v>964</v>
      </c>
      <c r="D254" s="1045">
        <v>2</v>
      </c>
      <c r="E254" s="901" t="s">
        <v>5</v>
      </c>
      <c r="F254" s="1046">
        <v>3300</v>
      </c>
      <c r="G254" s="1046">
        <v>250</v>
      </c>
      <c r="H254" s="296">
        <f t="shared" si="25"/>
        <v>6600</v>
      </c>
      <c r="I254" s="296">
        <f t="shared" si="26"/>
        <v>500</v>
      </c>
      <c r="J254" s="296">
        <f t="shared" si="27"/>
        <v>7100</v>
      </c>
      <c r="K254" s="456"/>
      <c r="L254" s="1047" t="s">
        <v>1937</v>
      </c>
      <c r="M254" s="906" t="s">
        <v>276</v>
      </c>
    </row>
    <row r="255" spans="1:13" ht="24" customHeight="1">
      <c r="A255" s="157"/>
      <c r="B255" s="1043" t="s">
        <v>976</v>
      </c>
      <c r="C255" s="1044" t="s">
        <v>964</v>
      </c>
      <c r="D255" s="1045">
        <v>1</v>
      </c>
      <c r="E255" s="901" t="s">
        <v>5</v>
      </c>
      <c r="F255" s="1046">
        <v>3200</v>
      </c>
      <c r="G255" s="1046">
        <v>250</v>
      </c>
      <c r="H255" s="296">
        <f t="shared" si="25"/>
        <v>3200</v>
      </c>
      <c r="I255" s="296">
        <f t="shared" si="26"/>
        <v>250</v>
      </c>
      <c r="J255" s="296">
        <f t="shared" si="27"/>
        <v>3450</v>
      </c>
      <c r="K255" s="456"/>
      <c r="L255" s="1047" t="s">
        <v>1937</v>
      </c>
      <c r="M255" s="906" t="s">
        <v>276</v>
      </c>
    </row>
    <row r="256" spans="1:13" ht="24" customHeight="1">
      <c r="A256" s="157"/>
      <c r="B256" s="1043" t="s">
        <v>977</v>
      </c>
      <c r="C256" s="1044" t="s">
        <v>964</v>
      </c>
      <c r="D256" s="1045">
        <v>2</v>
      </c>
      <c r="E256" s="901" t="s">
        <v>5</v>
      </c>
      <c r="F256" s="1046">
        <v>3400</v>
      </c>
      <c r="G256" s="1046">
        <v>250</v>
      </c>
      <c r="H256" s="296">
        <f t="shared" si="25"/>
        <v>6800</v>
      </c>
      <c r="I256" s="296">
        <f t="shared" si="26"/>
        <v>500</v>
      </c>
      <c r="J256" s="296">
        <f t="shared" si="27"/>
        <v>7300</v>
      </c>
      <c r="K256" s="456"/>
      <c r="L256" s="1047" t="s">
        <v>1937</v>
      </c>
      <c r="M256" s="906" t="s">
        <v>276</v>
      </c>
    </row>
    <row r="257" spans="1:13" ht="24" customHeight="1">
      <c r="A257" s="157"/>
      <c r="B257" s="1043" t="s">
        <v>981</v>
      </c>
      <c r="C257" s="1044" t="s">
        <v>964</v>
      </c>
      <c r="D257" s="1045">
        <v>2</v>
      </c>
      <c r="E257" s="901" t="s">
        <v>5</v>
      </c>
      <c r="F257" s="1046">
        <v>3500</v>
      </c>
      <c r="G257" s="1046">
        <v>250</v>
      </c>
      <c r="H257" s="296">
        <f t="shared" si="25"/>
        <v>7000</v>
      </c>
      <c r="I257" s="296">
        <f t="shared" si="26"/>
        <v>500</v>
      </c>
      <c r="J257" s="296">
        <f t="shared" si="27"/>
        <v>7500</v>
      </c>
      <c r="K257" s="456"/>
      <c r="L257" s="1047" t="s">
        <v>1937</v>
      </c>
      <c r="M257" s="906" t="s">
        <v>276</v>
      </c>
    </row>
    <row r="258" spans="1:13" ht="24" customHeight="1">
      <c r="A258" s="157"/>
      <c r="B258" s="1043" t="s">
        <v>982</v>
      </c>
      <c r="C258" s="1044" t="s">
        <v>964</v>
      </c>
      <c r="D258" s="1045">
        <v>1</v>
      </c>
      <c r="E258" s="901" t="s">
        <v>5</v>
      </c>
      <c r="F258" s="1046">
        <v>3800</v>
      </c>
      <c r="G258" s="1046">
        <v>250</v>
      </c>
      <c r="H258" s="296">
        <f t="shared" si="25"/>
        <v>3800</v>
      </c>
      <c r="I258" s="296">
        <f t="shared" si="26"/>
        <v>250</v>
      </c>
      <c r="J258" s="296">
        <f t="shared" si="27"/>
        <v>4050</v>
      </c>
      <c r="K258" s="456"/>
      <c r="L258" s="1047" t="s">
        <v>1937</v>
      </c>
      <c r="M258" s="906" t="s">
        <v>276</v>
      </c>
    </row>
    <row r="259" spans="1:13" ht="24" customHeight="1">
      <c r="A259" s="157"/>
      <c r="B259" s="1043" t="s">
        <v>966</v>
      </c>
      <c r="C259" s="1044" t="s">
        <v>964</v>
      </c>
      <c r="D259" s="1045">
        <v>8</v>
      </c>
      <c r="E259" s="901" t="s">
        <v>5</v>
      </c>
      <c r="F259" s="1046">
        <v>3700</v>
      </c>
      <c r="G259" s="1046">
        <v>250</v>
      </c>
      <c r="H259" s="296">
        <f t="shared" si="25"/>
        <v>29600</v>
      </c>
      <c r="I259" s="296">
        <f t="shared" si="26"/>
        <v>2000</v>
      </c>
      <c r="J259" s="296">
        <f t="shared" si="27"/>
        <v>31600</v>
      </c>
      <c r="K259" s="456"/>
      <c r="L259" s="1047" t="s">
        <v>1937</v>
      </c>
      <c r="M259" s="906" t="s">
        <v>276</v>
      </c>
    </row>
    <row r="260" spans="1:13" ht="24" customHeight="1">
      <c r="A260" s="157"/>
      <c r="B260" s="1043" t="s">
        <v>970</v>
      </c>
      <c r="C260" s="1044" t="s">
        <v>964</v>
      </c>
      <c r="D260" s="1045">
        <v>1</v>
      </c>
      <c r="E260" s="901" t="s">
        <v>5</v>
      </c>
      <c r="F260" s="1046">
        <v>3800</v>
      </c>
      <c r="G260" s="1046">
        <v>250</v>
      </c>
      <c r="H260" s="296">
        <f t="shared" si="25"/>
        <v>3800</v>
      </c>
      <c r="I260" s="296">
        <f t="shared" si="26"/>
        <v>250</v>
      </c>
      <c r="J260" s="296">
        <f t="shared" si="27"/>
        <v>4050</v>
      </c>
      <c r="K260" s="456"/>
      <c r="L260" s="1047" t="s">
        <v>1937</v>
      </c>
      <c r="M260" s="906" t="s">
        <v>276</v>
      </c>
    </row>
    <row r="261" spans="1:13" ht="24" customHeight="1">
      <c r="A261" s="157"/>
      <c r="B261" s="1043" t="s">
        <v>988</v>
      </c>
      <c r="C261" s="1044" t="s">
        <v>964</v>
      </c>
      <c r="D261" s="1045">
        <v>1</v>
      </c>
      <c r="E261" s="901" t="s">
        <v>5</v>
      </c>
      <c r="F261" s="1046">
        <v>4200</v>
      </c>
      <c r="G261" s="1046">
        <v>250</v>
      </c>
      <c r="H261" s="296">
        <f t="shared" si="25"/>
        <v>4200</v>
      </c>
      <c r="I261" s="296">
        <f t="shared" si="26"/>
        <v>250</v>
      </c>
      <c r="J261" s="296">
        <f t="shared" si="27"/>
        <v>4450</v>
      </c>
      <c r="K261" s="456"/>
      <c r="L261" s="1047" t="s">
        <v>1937</v>
      </c>
      <c r="M261" s="906" t="s">
        <v>276</v>
      </c>
    </row>
    <row r="262" spans="1:13" ht="24" customHeight="1">
      <c r="A262" s="170"/>
      <c r="B262" s="1048" t="s">
        <v>972</v>
      </c>
      <c r="C262" s="1049" t="s">
        <v>964</v>
      </c>
      <c r="D262" s="1050">
        <v>2</v>
      </c>
      <c r="E262" s="153" t="s">
        <v>5</v>
      </c>
      <c r="F262" s="1051">
        <v>4300</v>
      </c>
      <c r="G262" s="1051">
        <v>250</v>
      </c>
      <c r="H262" s="1052">
        <f t="shared" si="25"/>
        <v>8600</v>
      </c>
      <c r="I262" s="1052">
        <f t="shared" si="26"/>
        <v>500</v>
      </c>
      <c r="J262" s="1052">
        <f t="shared" si="27"/>
        <v>9100</v>
      </c>
      <c r="K262" s="456"/>
      <c r="L262" s="1047" t="s">
        <v>1937</v>
      </c>
      <c r="M262" s="906" t="s">
        <v>276</v>
      </c>
    </row>
    <row r="263" spans="1:13" ht="24" customHeight="1">
      <c r="A263" s="157"/>
      <c r="B263" s="1043" t="s">
        <v>1098</v>
      </c>
      <c r="C263" s="1044" t="s">
        <v>964</v>
      </c>
      <c r="D263" s="1045">
        <v>2</v>
      </c>
      <c r="E263" s="901" t="s">
        <v>5</v>
      </c>
      <c r="F263" s="1046">
        <v>4400</v>
      </c>
      <c r="G263" s="1046">
        <v>250</v>
      </c>
      <c r="H263" s="296">
        <f t="shared" si="25"/>
        <v>8800</v>
      </c>
      <c r="I263" s="296">
        <f t="shared" si="26"/>
        <v>500</v>
      </c>
      <c r="J263" s="296">
        <f t="shared" si="27"/>
        <v>9300</v>
      </c>
      <c r="K263" s="456"/>
      <c r="L263" s="1047" t="s">
        <v>1937</v>
      </c>
      <c r="M263" s="906" t="s">
        <v>276</v>
      </c>
    </row>
    <row r="264" spans="1:13" ht="24" customHeight="1">
      <c r="A264" s="157"/>
      <c r="B264" s="1043" t="s">
        <v>1096</v>
      </c>
      <c r="C264" s="1044" t="s">
        <v>964</v>
      </c>
      <c r="D264" s="1045">
        <v>4</v>
      </c>
      <c r="E264" s="901" t="s">
        <v>5</v>
      </c>
      <c r="F264" s="1046">
        <v>4800</v>
      </c>
      <c r="G264" s="1046">
        <v>250</v>
      </c>
      <c r="H264" s="296">
        <f t="shared" si="25"/>
        <v>19200</v>
      </c>
      <c r="I264" s="296">
        <f t="shared" si="26"/>
        <v>1000</v>
      </c>
      <c r="J264" s="296">
        <f t="shared" si="27"/>
        <v>20200</v>
      </c>
      <c r="K264" s="456"/>
      <c r="L264" s="1047" t="s">
        <v>1937</v>
      </c>
      <c r="M264" s="906" t="s">
        <v>276</v>
      </c>
    </row>
    <row r="265" spans="1:13" ht="24" customHeight="1" thickBot="1">
      <c r="A265" s="157"/>
      <c r="B265" s="1043" t="s">
        <v>1090</v>
      </c>
      <c r="C265" s="1044" t="s">
        <v>964</v>
      </c>
      <c r="D265" s="1045">
        <v>1</v>
      </c>
      <c r="E265" s="901" t="s">
        <v>5</v>
      </c>
      <c r="F265" s="1046">
        <v>5300</v>
      </c>
      <c r="G265" s="1046">
        <v>250</v>
      </c>
      <c r="H265" s="296">
        <f t="shared" si="25"/>
        <v>5300</v>
      </c>
      <c r="I265" s="296">
        <f t="shared" si="26"/>
        <v>250</v>
      </c>
      <c r="J265" s="296">
        <f t="shared" si="27"/>
        <v>5550</v>
      </c>
      <c r="K265" s="456"/>
      <c r="L265" s="1047" t="s">
        <v>1937</v>
      </c>
      <c r="M265" s="906" t="s">
        <v>276</v>
      </c>
    </row>
    <row r="266" spans="1:13" ht="24" customHeight="1" thickTop="1">
      <c r="A266" s="1066"/>
      <c r="B266" s="1066"/>
      <c r="C266" s="1066"/>
      <c r="D266" s="1066"/>
      <c r="E266" s="1066"/>
      <c r="F266" s="1066"/>
      <c r="G266" s="1066"/>
      <c r="H266" s="1066"/>
      <c r="I266" s="1066"/>
      <c r="J266" s="1066"/>
      <c r="K266" s="1066"/>
      <c r="L266" s="1047"/>
      <c r="M266" s="906"/>
    </row>
    <row r="267" spans="1:13" ht="24" customHeight="1">
      <c r="A267" s="139"/>
      <c r="B267" s="881" t="s">
        <v>133</v>
      </c>
      <c r="C267" s="175"/>
      <c r="D267" s="1644"/>
      <c r="E267" s="177"/>
      <c r="F267" s="177"/>
      <c r="G267" s="265"/>
      <c r="H267" s="265"/>
      <c r="I267" s="265"/>
      <c r="J267" s="265"/>
      <c r="K267" s="265"/>
      <c r="L267" s="1047"/>
      <c r="M267" s="906"/>
    </row>
    <row r="268" spans="1:13" ht="24" customHeight="1">
      <c r="A268" s="139"/>
      <c r="B268" s="1638" t="s">
        <v>1769</v>
      </c>
      <c r="C268" s="137"/>
      <c r="D268" s="137"/>
      <c r="E268" s="173"/>
      <c r="F268" s="1638" t="s">
        <v>134</v>
      </c>
      <c r="G268" s="137"/>
      <c r="H268" s="137"/>
      <c r="I268" s="137"/>
      <c r="J268" s="137"/>
      <c r="K268" s="137"/>
      <c r="L268" s="1047"/>
      <c r="M268" s="906"/>
    </row>
    <row r="269" spans="1:13" ht="24" customHeight="1">
      <c r="A269" s="139"/>
      <c r="B269" s="174" t="s">
        <v>1970</v>
      </c>
      <c r="C269" s="137"/>
      <c r="D269" s="137"/>
      <c r="E269" s="1638"/>
      <c r="F269" s="227" t="s">
        <v>1971</v>
      </c>
      <c r="G269" s="137"/>
      <c r="H269" s="768"/>
      <c r="I269" s="768"/>
      <c r="J269" s="768"/>
      <c r="K269" s="768"/>
      <c r="L269" s="1047"/>
      <c r="M269" s="906"/>
    </row>
    <row r="270" spans="1:13" ht="24" customHeight="1">
      <c r="A270" s="139"/>
      <c r="B270" s="1638" t="s">
        <v>2031</v>
      </c>
      <c r="C270" s="137"/>
      <c r="D270" s="137"/>
      <c r="E270" s="174"/>
      <c r="F270" s="1638" t="s">
        <v>2031</v>
      </c>
      <c r="G270" s="137"/>
      <c r="H270" s="1638"/>
      <c r="I270" s="1638"/>
      <c r="J270" s="1638"/>
      <c r="K270" s="1638"/>
      <c r="L270" s="1047"/>
      <c r="M270" s="906"/>
    </row>
    <row r="271" spans="1:13" ht="24" customHeight="1">
      <c r="A271" s="139"/>
      <c r="B271" s="174" t="s">
        <v>1984</v>
      </c>
      <c r="C271" s="137"/>
      <c r="D271" s="137"/>
      <c r="E271" s="174"/>
      <c r="F271" s="174" t="s">
        <v>1985</v>
      </c>
      <c r="G271" s="137"/>
      <c r="L271" s="1047"/>
      <c r="M271" s="906"/>
    </row>
    <row r="272" spans="1:13" ht="24" customHeight="1">
      <c r="A272" s="139"/>
      <c r="B272" s="1638" t="s">
        <v>670</v>
      </c>
      <c r="D272" s="1638"/>
      <c r="E272" s="1638"/>
      <c r="F272" s="137"/>
      <c r="H272" s="137"/>
      <c r="I272" s="137"/>
      <c r="J272" s="137"/>
      <c r="K272" s="137"/>
      <c r="L272" s="1047"/>
      <c r="M272" s="906"/>
    </row>
    <row r="273" spans="1:13" ht="24" customHeight="1">
      <c r="A273" s="137"/>
      <c r="B273" s="174" t="s">
        <v>1972</v>
      </c>
      <c r="D273" s="174"/>
      <c r="E273" s="174"/>
      <c r="F273" s="1640"/>
      <c r="H273" s="1638"/>
      <c r="I273" s="1638"/>
      <c r="J273" s="1638"/>
      <c r="K273" s="1638"/>
      <c r="L273" s="1047"/>
      <c r="M273" s="906"/>
    </row>
    <row r="274" spans="1:13" s="152" customFormat="1" ht="24" customHeight="1">
      <c r="A274" s="163" t="s">
        <v>2025</v>
      </c>
      <c r="B274" s="2577" t="s">
        <v>986</v>
      </c>
      <c r="C274" s="2578"/>
      <c r="D274" s="185"/>
      <c r="E274" s="1053"/>
      <c r="F274" s="1054"/>
      <c r="G274" s="1054"/>
      <c r="H274" s="1055"/>
      <c r="I274" s="1055"/>
      <c r="J274" s="1055"/>
      <c r="K274" s="456"/>
      <c r="L274" s="229"/>
      <c r="M274" s="860"/>
    </row>
    <row r="275" spans="1:13" ht="24" customHeight="1">
      <c r="A275" s="157"/>
      <c r="B275" s="1043" t="s">
        <v>1099</v>
      </c>
      <c r="C275" s="1044" t="s">
        <v>969</v>
      </c>
      <c r="D275" s="1045">
        <v>3</v>
      </c>
      <c r="E275" s="901" t="s">
        <v>5</v>
      </c>
      <c r="F275" s="1046">
        <v>6400</v>
      </c>
      <c r="G275" s="1046">
        <v>2500</v>
      </c>
      <c r="H275" s="296">
        <f>D275*F275</f>
        <v>19200</v>
      </c>
      <c r="I275" s="296">
        <f>D275*G275</f>
        <v>7500</v>
      </c>
      <c r="J275" s="296">
        <f>H275+I275</f>
        <v>26700</v>
      </c>
      <c r="K275" s="456"/>
      <c r="L275" s="1047" t="s">
        <v>1937</v>
      </c>
      <c r="M275" s="906" t="s">
        <v>276</v>
      </c>
    </row>
    <row r="276" spans="1:13" ht="24" customHeight="1">
      <c r="A276" s="157"/>
      <c r="B276" s="1043" t="s">
        <v>1100</v>
      </c>
      <c r="C276" s="1044" t="s">
        <v>969</v>
      </c>
      <c r="D276" s="1045">
        <v>3</v>
      </c>
      <c r="E276" s="901" t="s">
        <v>5</v>
      </c>
      <c r="F276" s="1046">
        <v>6400</v>
      </c>
      <c r="G276" s="1046">
        <v>2500</v>
      </c>
      <c r="H276" s="296">
        <f>D276*F276</f>
        <v>19200</v>
      </c>
      <c r="I276" s="296">
        <f>D276*G276</f>
        <v>7500</v>
      </c>
      <c r="J276" s="296">
        <f>H276+I276</f>
        <v>26700</v>
      </c>
      <c r="K276" s="456"/>
      <c r="L276" s="1047" t="s">
        <v>1937</v>
      </c>
      <c r="M276" s="906" t="s">
        <v>276</v>
      </c>
    </row>
    <row r="277" spans="1:13" ht="24" customHeight="1">
      <c r="A277" s="157"/>
      <c r="B277" s="1043" t="s">
        <v>1101</v>
      </c>
      <c r="C277" s="1044" t="s">
        <v>969</v>
      </c>
      <c r="D277" s="1045">
        <v>2</v>
      </c>
      <c r="E277" s="901" t="s">
        <v>5</v>
      </c>
      <c r="F277" s="1046">
        <v>7200</v>
      </c>
      <c r="G277" s="1046">
        <v>2500</v>
      </c>
      <c r="H277" s="296">
        <f>D277*F277</f>
        <v>14400</v>
      </c>
      <c r="I277" s="296">
        <f>D277*G277</f>
        <v>5000</v>
      </c>
      <c r="J277" s="296">
        <f>H277+I277</f>
        <v>19400</v>
      </c>
      <c r="K277" s="456"/>
      <c r="L277" s="1047" t="s">
        <v>1937</v>
      </c>
      <c r="M277" s="906" t="s">
        <v>276</v>
      </c>
    </row>
    <row r="278" spans="1:13" ht="24" customHeight="1">
      <c r="A278" s="157"/>
      <c r="B278" s="1043"/>
      <c r="C278" s="1044" t="s">
        <v>991</v>
      </c>
      <c r="D278" s="1045">
        <f>D275+D276+D277</f>
        <v>8</v>
      </c>
      <c r="E278" s="901" t="s">
        <v>5</v>
      </c>
      <c r="F278" s="1046">
        <v>7500</v>
      </c>
      <c r="G278" s="1046">
        <v>0</v>
      </c>
      <c r="H278" s="296">
        <f>D278*F278</f>
        <v>60000</v>
      </c>
      <c r="I278" s="296">
        <f>D278*G278</f>
        <v>0</v>
      </c>
      <c r="J278" s="296">
        <f>H278+I278</f>
        <v>60000</v>
      </c>
      <c r="K278" s="456"/>
      <c r="L278" s="1047" t="s">
        <v>1937</v>
      </c>
      <c r="M278" s="906" t="s">
        <v>276</v>
      </c>
    </row>
    <row r="279" spans="1:13" ht="24" customHeight="1">
      <c r="A279" s="157"/>
      <c r="B279" s="1043"/>
      <c r="C279" s="1044"/>
      <c r="D279" s="1045"/>
      <c r="E279" s="901"/>
      <c r="F279" s="1046"/>
      <c r="G279" s="1046"/>
      <c r="H279" s="296"/>
      <c r="I279" s="296"/>
      <c r="J279" s="296"/>
      <c r="K279" s="456"/>
      <c r="L279" s="1047"/>
      <c r="M279" s="906"/>
    </row>
    <row r="280" spans="1:13" s="881" customFormat="1" ht="24" customHeight="1" thickBot="1">
      <c r="A280" s="1035"/>
      <c r="B280" s="2571" t="str">
        <f>"รวมราคา "&amp;B89</f>
        <v>รวมราคา งานม่าน</v>
      </c>
      <c r="C280" s="2572"/>
      <c r="D280" s="349"/>
      <c r="E280" s="766"/>
      <c r="F280" s="350"/>
      <c r="G280" s="350"/>
      <c r="H280" s="350">
        <f>SUM(H91:H278)</f>
        <v>1742300</v>
      </c>
      <c r="I280" s="350">
        <f>SUM(I91:I278)</f>
        <v>159250</v>
      </c>
      <c r="J280" s="350">
        <f>SUM(J91:J278)</f>
        <v>1901550</v>
      </c>
      <c r="K280" s="1036"/>
      <c r="L280" s="347"/>
      <c r="M280" s="155"/>
    </row>
    <row r="281" spans="1:13" s="152" customFormat="1" ht="24" customHeight="1" thickTop="1">
      <c r="A281" s="862">
        <v>7.3</v>
      </c>
      <c r="B281" s="2573" t="s">
        <v>2026</v>
      </c>
      <c r="C281" s="2574"/>
      <c r="D281" s="399"/>
      <c r="E281" s="907"/>
      <c r="F281" s="400"/>
      <c r="G281" s="400"/>
      <c r="H281" s="400"/>
      <c r="I281" s="400"/>
      <c r="J281" s="400"/>
      <c r="K281" s="455"/>
      <c r="L281" s="347"/>
      <c r="M281" s="230"/>
    </row>
    <row r="282" spans="1:13" ht="24" customHeight="1">
      <c r="A282" s="1057" t="s">
        <v>633</v>
      </c>
      <c r="B282" s="2569" t="s">
        <v>718</v>
      </c>
      <c r="C282" s="2570"/>
      <c r="D282" s="1058"/>
      <c r="E282" s="1059"/>
      <c r="F282" s="1027"/>
      <c r="G282" s="1027"/>
      <c r="H282" s="1027"/>
      <c r="I282" s="1027"/>
      <c r="J282" s="1027"/>
      <c r="K282" s="456"/>
      <c r="L282" s="154"/>
      <c r="M282" s="174"/>
    </row>
    <row r="283" spans="1:13" ht="24" customHeight="1">
      <c r="A283" s="157"/>
      <c r="B283" s="1034" t="s">
        <v>678</v>
      </c>
      <c r="C283" s="1060" t="s">
        <v>681</v>
      </c>
      <c r="D283" s="1061">
        <v>1</v>
      </c>
      <c r="E283" s="901" t="s">
        <v>5</v>
      </c>
      <c r="F283" s="165">
        <v>15400</v>
      </c>
      <c r="G283" s="1046">
        <f>F283*0.3</f>
        <v>4620</v>
      </c>
      <c r="H283" s="296">
        <f t="shared" ref="H283:H290" si="28">D283*F283</f>
        <v>15400</v>
      </c>
      <c r="I283" s="296">
        <f t="shared" ref="I283:I290" si="29">D283*G283</f>
        <v>4620</v>
      </c>
      <c r="J283" s="296">
        <f t="shared" ref="J283:J290" si="30">H283+I283</f>
        <v>20020</v>
      </c>
      <c r="K283" s="456"/>
      <c r="L283" s="1062" t="s">
        <v>1917</v>
      </c>
      <c r="M283" s="906" t="s">
        <v>276</v>
      </c>
    </row>
    <row r="284" spans="1:13" s="900" customFormat="1" ht="24" customHeight="1">
      <c r="A284" s="207"/>
      <c r="B284" s="1034" t="s">
        <v>679</v>
      </c>
      <c r="C284" s="1060" t="s">
        <v>732</v>
      </c>
      <c r="D284" s="1061">
        <v>1</v>
      </c>
      <c r="E284" s="901" t="s">
        <v>5</v>
      </c>
      <c r="F284" s="165">
        <v>450</v>
      </c>
      <c r="G284" s="1046">
        <f t="shared" ref="G284:G290" si="31">F284*0.3</f>
        <v>135</v>
      </c>
      <c r="H284" s="296">
        <f t="shared" si="28"/>
        <v>450</v>
      </c>
      <c r="I284" s="296">
        <f t="shared" si="29"/>
        <v>135</v>
      </c>
      <c r="J284" s="296">
        <f t="shared" si="30"/>
        <v>585</v>
      </c>
      <c r="K284" s="456"/>
      <c r="L284" s="1062" t="s">
        <v>1917</v>
      </c>
      <c r="M284" s="906" t="s">
        <v>276</v>
      </c>
    </row>
    <row r="285" spans="1:13" s="900" customFormat="1" ht="24" customHeight="1">
      <c r="A285" s="207"/>
      <c r="B285" s="1034" t="s">
        <v>682</v>
      </c>
      <c r="C285" s="1060" t="s">
        <v>1201</v>
      </c>
      <c r="D285" s="1061">
        <v>1</v>
      </c>
      <c r="E285" s="901" t="s">
        <v>5</v>
      </c>
      <c r="F285" s="165">
        <v>4500</v>
      </c>
      <c r="G285" s="1046">
        <f t="shared" si="31"/>
        <v>1350</v>
      </c>
      <c r="H285" s="296">
        <f t="shared" si="28"/>
        <v>4500</v>
      </c>
      <c r="I285" s="296">
        <f t="shared" si="29"/>
        <v>1350</v>
      </c>
      <c r="J285" s="296">
        <f t="shared" si="30"/>
        <v>5850</v>
      </c>
      <c r="K285" s="456"/>
      <c r="L285" s="1062" t="s">
        <v>1917</v>
      </c>
      <c r="M285" s="906" t="s">
        <v>276</v>
      </c>
    </row>
    <row r="286" spans="1:13" ht="24" customHeight="1">
      <c r="A286" s="157"/>
      <c r="B286" s="1034" t="s">
        <v>680</v>
      </c>
      <c r="C286" s="1060" t="s">
        <v>1886</v>
      </c>
      <c r="D286" s="1061">
        <v>5</v>
      </c>
      <c r="E286" s="901" t="s">
        <v>5</v>
      </c>
      <c r="F286" s="165">
        <v>635</v>
      </c>
      <c r="G286" s="1046">
        <f t="shared" si="31"/>
        <v>190.5</v>
      </c>
      <c r="H286" s="296">
        <f t="shared" si="28"/>
        <v>3175</v>
      </c>
      <c r="I286" s="296">
        <f t="shared" si="29"/>
        <v>952.5</v>
      </c>
      <c r="J286" s="296">
        <f t="shared" si="30"/>
        <v>4127.5</v>
      </c>
      <c r="K286" s="456"/>
      <c r="L286" s="1062" t="s">
        <v>1917</v>
      </c>
      <c r="M286" s="906" t="s">
        <v>276</v>
      </c>
    </row>
    <row r="287" spans="1:13" ht="24" customHeight="1">
      <c r="A287" s="157"/>
      <c r="B287" s="1034" t="s">
        <v>680</v>
      </c>
      <c r="C287" s="1060" t="s">
        <v>1887</v>
      </c>
      <c r="D287" s="1061">
        <v>3</v>
      </c>
      <c r="E287" s="901" t="s">
        <v>5</v>
      </c>
      <c r="F287" s="165">
        <v>725</v>
      </c>
      <c r="G287" s="1046">
        <f t="shared" si="31"/>
        <v>217.5</v>
      </c>
      <c r="H287" s="296">
        <f t="shared" ref="H287" si="32">D287*F287</f>
        <v>2175</v>
      </c>
      <c r="I287" s="296">
        <f t="shared" ref="I287" si="33">D287*G287</f>
        <v>652.5</v>
      </c>
      <c r="J287" s="296">
        <f t="shared" ref="J287" si="34">H287+I287</f>
        <v>2827.5</v>
      </c>
      <c r="K287" s="456"/>
      <c r="L287" s="1062" t="s">
        <v>1917</v>
      </c>
      <c r="M287" s="906" t="s">
        <v>276</v>
      </c>
    </row>
    <row r="288" spans="1:13" ht="24" customHeight="1">
      <c r="A288" s="157"/>
      <c r="B288" s="1034" t="s">
        <v>672</v>
      </c>
      <c r="C288" s="1060" t="s">
        <v>676</v>
      </c>
      <c r="D288" s="1061">
        <v>4</v>
      </c>
      <c r="E288" s="901" t="s">
        <v>5</v>
      </c>
      <c r="F288" s="165">
        <v>5075</v>
      </c>
      <c r="G288" s="1046">
        <f t="shared" si="31"/>
        <v>1522.5</v>
      </c>
      <c r="H288" s="296">
        <f t="shared" si="28"/>
        <v>20300</v>
      </c>
      <c r="I288" s="296">
        <f t="shared" si="29"/>
        <v>6090</v>
      </c>
      <c r="J288" s="296">
        <f t="shared" si="30"/>
        <v>26390</v>
      </c>
      <c r="K288" s="456"/>
      <c r="L288" s="1062" t="s">
        <v>1917</v>
      </c>
      <c r="M288" s="906" t="s">
        <v>276</v>
      </c>
    </row>
    <row r="289" spans="1:13" ht="24" customHeight="1">
      <c r="A289" s="157"/>
      <c r="B289" s="1034" t="s">
        <v>673</v>
      </c>
      <c r="C289" s="1060" t="s">
        <v>675</v>
      </c>
      <c r="D289" s="1061">
        <v>4</v>
      </c>
      <c r="E289" s="901" t="s">
        <v>5</v>
      </c>
      <c r="F289" s="165">
        <v>6960</v>
      </c>
      <c r="G289" s="1046">
        <f t="shared" si="31"/>
        <v>2088</v>
      </c>
      <c r="H289" s="296">
        <f t="shared" si="28"/>
        <v>27840</v>
      </c>
      <c r="I289" s="296">
        <f t="shared" si="29"/>
        <v>8352</v>
      </c>
      <c r="J289" s="296">
        <f t="shared" si="30"/>
        <v>36192</v>
      </c>
      <c r="K289" s="456"/>
      <c r="L289" s="1062" t="s">
        <v>1917</v>
      </c>
      <c r="M289" s="906" t="s">
        <v>276</v>
      </c>
    </row>
    <row r="290" spans="1:13" ht="24" customHeight="1">
      <c r="A290" s="157"/>
      <c r="B290" s="1034" t="s">
        <v>703</v>
      </c>
      <c r="C290" s="1060" t="s">
        <v>707</v>
      </c>
      <c r="D290" s="1061">
        <v>1</v>
      </c>
      <c r="E290" s="901" t="s">
        <v>5</v>
      </c>
      <c r="F290" s="165">
        <v>595</v>
      </c>
      <c r="G290" s="1046">
        <f t="shared" si="31"/>
        <v>178.5</v>
      </c>
      <c r="H290" s="296">
        <f t="shared" si="28"/>
        <v>595</v>
      </c>
      <c r="I290" s="296">
        <f t="shared" si="29"/>
        <v>178.5</v>
      </c>
      <c r="J290" s="296">
        <f t="shared" si="30"/>
        <v>773.5</v>
      </c>
      <c r="K290" s="456"/>
      <c r="L290" s="1062" t="s">
        <v>1917</v>
      </c>
      <c r="M290" s="906" t="s">
        <v>276</v>
      </c>
    </row>
    <row r="291" spans="1:13" ht="24" customHeight="1">
      <c r="A291" s="163" t="s">
        <v>634</v>
      </c>
      <c r="B291" s="863" t="s">
        <v>717</v>
      </c>
      <c r="C291" s="1060"/>
      <c r="D291" s="1061"/>
      <c r="E291" s="901"/>
      <c r="F291" s="165"/>
      <c r="G291" s="1046"/>
      <c r="H291" s="296"/>
      <c r="I291" s="296"/>
      <c r="J291" s="296"/>
      <c r="K291" s="456"/>
      <c r="L291" s="1062"/>
      <c r="M291" s="906"/>
    </row>
    <row r="292" spans="1:13" ht="24" customHeight="1">
      <c r="A292" s="157"/>
      <c r="B292" s="1034" t="s">
        <v>678</v>
      </c>
      <c r="C292" s="1060" t="s">
        <v>681</v>
      </c>
      <c r="D292" s="1061">
        <v>1</v>
      </c>
      <c r="E292" s="901" t="s">
        <v>5</v>
      </c>
      <c r="F292" s="165">
        <v>15400</v>
      </c>
      <c r="G292" s="1046">
        <f>F292*0.3</f>
        <v>4620</v>
      </c>
      <c r="H292" s="296">
        <f t="shared" ref="H292:H316" si="35">D292*F292</f>
        <v>15400</v>
      </c>
      <c r="I292" s="296">
        <f t="shared" ref="I292:I316" si="36">D292*G292</f>
        <v>4620</v>
      </c>
      <c r="J292" s="296">
        <f t="shared" ref="J292:J316" si="37">H292+I292</f>
        <v>20020</v>
      </c>
      <c r="K292" s="456"/>
      <c r="L292" s="1062" t="s">
        <v>1917</v>
      </c>
      <c r="M292" s="906" t="s">
        <v>276</v>
      </c>
    </row>
    <row r="293" spans="1:13" s="900" customFormat="1" ht="24" customHeight="1">
      <c r="A293" s="207"/>
      <c r="B293" s="1034" t="s">
        <v>679</v>
      </c>
      <c r="C293" s="1060" t="s">
        <v>732</v>
      </c>
      <c r="D293" s="1061">
        <v>1</v>
      </c>
      <c r="E293" s="901" t="s">
        <v>5</v>
      </c>
      <c r="F293" s="165">
        <v>450</v>
      </c>
      <c r="G293" s="1046">
        <f t="shared" ref="G293:G316" si="38">F293*0.3</f>
        <v>135</v>
      </c>
      <c r="H293" s="296">
        <f t="shared" si="35"/>
        <v>450</v>
      </c>
      <c r="I293" s="296">
        <f t="shared" si="36"/>
        <v>135</v>
      </c>
      <c r="J293" s="296">
        <f t="shared" si="37"/>
        <v>585</v>
      </c>
      <c r="K293" s="456"/>
      <c r="L293" s="1062" t="s">
        <v>1917</v>
      </c>
      <c r="M293" s="906" t="s">
        <v>276</v>
      </c>
    </row>
    <row r="294" spans="1:13" s="900" customFormat="1" ht="24" customHeight="1">
      <c r="A294" s="207"/>
      <c r="B294" s="1034" t="s">
        <v>682</v>
      </c>
      <c r="C294" s="1060" t="s">
        <v>1201</v>
      </c>
      <c r="D294" s="1061">
        <v>1</v>
      </c>
      <c r="E294" s="901" t="s">
        <v>5</v>
      </c>
      <c r="F294" s="165">
        <v>4500</v>
      </c>
      <c r="G294" s="1046">
        <f t="shared" si="38"/>
        <v>1350</v>
      </c>
      <c r="H294" s="296">
        <f t="shared" si="35"/>
        <v>4500</v>
      </c>
      <c r="I294" s="296">
        <f t="shared" si="36"/>
        <v>1350</v>
      </c>
      <c r="J294" s="296">
        <f t="shared" si="37"/>
        <v>5850</v>
      </c>
      <c r="K294" s="456"/>
      <c r="L294" s="1062" t="s">
        <v>1917</v>
      </c>
      <c r="M294" s="906" t="s">
        <v>276</v>
      </c>
    </row>
    <row r="295" spans="1:13" ht="24" customHeight="1" thickBot="1">
      <c r="A295" s="157"/>
      <c r="B295" s="1034" t="s">
        <v>683</v>
      </c>
      <c r="C295" s="1060" t="s">
        <v>1888</v>
      </c>
      <c r="D295" s="1061">
        <v>1</v>
      </c>
      <c r="E295" s="901" t="s">
        <v>5</v>
      </c>
      <c r="F295" s="165">
        <v>1800</v>
      </c>
      <c r="G295" s="1046">
        <f t="shared" si="38"/>
        <v>540</v>
      </c>
      <c r="H295" s="296">
        <f t="shared" si="35"/>
        <v>1800</v>
      </c>
      <c r="I295" s="296">
        <f t="shared" si="36"/>
        <v>540</v>
      </c>
      <c r="J295" s="296">
        <f t="shared" si="37"/>
        <v>2340</v>
      </c>
      <c r="K295" s="456"/>
      <c r="L295" s="1062" t="s">
        <v>1917</v>
      </c>
      <c r="M295" s="906" t="s">
        <v>276</v>
      </c>
    </row>
    <row r="296" spans="1:13" ht="24" customHeight="1" thickTop="1">
      <c r="A296" s="1066"/>
      <c r="B296" s="1066"/>
      <c r="C296" s="1066"/>
      <c r="D296" s="1066"/>
      <c r="E296" s="1066"/>
      <c r="F296" s="1066"/>
      <c r="G296" s="1066"/>
      <c r="H296" s="1066"/>
      <c r="I296" s="1066"/>
      <c r="J296" s="1066"/>
      <c r="K296" s="1066"/>
      <c r="L296" s="1062"/>
      <c r="M296" s="906"/>
    </row>
    <row r="297" spans="1:13" ht="24" customHeight="1">
      <c r="A297" s="139"/>
      <c r="B297" s="881" t="s">
        <v>133</v>
      </c>
      <c r="C297" s="175"/>
      <c r="D297" s="1644"/>
      <c r="E297" s="177"/>
      <c r="F297" s="177"/>
      <c r="G297" s="265"/>
      <c r="H297" s="265"/>
      <c r="I297" s="265"/>
      <c r="J297" s="265"/>
      <c r="K297" s="265"/>
      <c r="L297" s="1062"/>
      <c r="M297" s="906"/>
    </row>
    <row r="298" spans="1:13" ht="24" customHeight="1">
      <c r="A298" s="139"/>
      <c r="B298" s="1638" t="s">
        <v>1769</v>
      </c>
      <c r="C298" s="137"/>
      <c r="D298" s="137"/>
      <c r="E298" s="173"/>
      <c r="F298" s="1638" t="s">
        <v>134</v>
      </c>
      <c r="G298" s="137"/>
      <c r="H298" s="137"/>
      <c r="I298" s="137"/>
      <c r="J298" s="137"/>
      <c r="K298" s="137"/>
      <c r="L298" s="1062"/>
      <c r="M298" s="906"/>
    </row>
    <row r="299" spans="1:13" ht="24" customHeight="1">
      <c r="A299" s="139"/>
      <c r="B299" s="174" t="s">
        <v>1970</v>
      </c>
      <c r="C299" s="137"/>
      <c r="D299" s="137"/>
      <c r="E299" s="1638"/>
      <c r="F299" s="227" t="s">
        <v>1971</v>
      </c>
      <c r="G299" s="137"/>
      <c r="H299" s="768"/>
      <c r="I299" s="768"/>
      <c r="J299" s="768"/>
      <c r="K299" s="768"/>
      <c r="L299" s="1062"/>
      <c r="M299" s="906"/>
    </row>
    <row r="300" spans="1:13" ht="24" customHeight="1">
      <c r="A300" s="139"/>
      <c r="B300" s="1638" t="s">
        <v>2031</v>
      </c>
      <c r="C300" s="137"/>
      <c r="D300" s="137"/>
      <c r="E300" s="174"/>
      <c r="F300" s="1638" t="s">
        <v>2031</v>
      </c>
      <c r="G300" s="137"/>
      <c r="H300" s="1638"/>
      <c r="I300" s="1638"/>
      <c r="J300" s="1638"/>
      <c r="K300" s="1638"/>
      <c r="L300" s="1062"/>
      <c r="M300" s="906"/>
    </row>
    <row r="301" spans="1:13" ht="24" customHeight="1">
      <c r="A301" s="139"/>
      <c r="B301" s="174" t="s">
        <v>1984</v>
      </c>
      <c r="C301" s="137"/>
      <c r="D301" s="137"/>
      <c r="E301" s="174"/>
      <c r="F301" s="174" t="s">
        <v>1985</v>
      </c>
      <c r="G301" s="137"/>
      <c r="L301" s="1062"/>
      <c r="M301" s="906"/>
    </row>
    <row r="302" spans="1:13" ht="24" customHeight="1">
      <c r="A302" s="139"/>
      <c r="B302" s="1638" t="s">
        <v>670</v>
      </c>
      <c r="D302" s="1638"/>
      <c r="E302" s="1638"/>
      <c r="F302" s="137"/>
      <c r="H302" s="137"/>
      <c r="I302" s="137"/>
      <c r="J302" s="137"/>
      <c r="K302" s="137"/>
      <c r="L302" s="1062"/>
      <c r="M302" s="906"/>
    </row>
    <row r="303" spans="1:13" ht="24" customHeight="1">
      <c r="A303" s="137"/>
      <c r="B303" s="174" t="s">
        <v>1972</v>
      </c>
      <c r="D303" s="174"/>
      <c r="E303" s="174"/>
      <c r="F303" s="1640"/>
      <c r="H303" s="1638"/>
      <c r="I303" s="1638"/>
      <c r="J303" s="1638"/>
      <c r="K303" s="1638"/>
      <c r="L303" s="1062"/>
      <c r="M303" s="906"/>
    </row>
    <row r="304" spans="1:13" ht="24" customHeight="1">
      <c r="A304" s="157"/>
      <c r="B304" s="1034" t="s">
        <v>684</v>
      </c>
      <c r="C304" s="1060" t="s">
        <v>689</v>
      </c>
      <c r="D304" s="1061">
        <v>4</v>
      </c>
      <c r="E304" s="901" t="s">
        <v>5</v>
      </c>
      <c r="F304" s="165">
        <v>850</v>
      </c>
      <c r="G304" s="1046">
        <f t="shared" si="38"/>
        <v>255</v>
      </c>
      <c r="H304" s="296">
        <f t="shared" si="35"/>
        <v>3400</v>
      </c>
      <c r="I304" s="296">
        <f t="shared" si="36"/>
        <v>1020</v>
      </c>
      <c r="J304" s="296">
        <f t="shared" si="37"/>
        <v>4420</v>
      </c>
      <c r="K304" s="456"/>
      <c r="L304" s="1062" t="s">
        <v>1917</v>
      </c>
      <c r="M304" s="906" t="s">
        <v>276</v>
      </c>
    </row>
    <row r="305" spans="1:13" ht="24" customHeight="1">
      <c r="A305" s="157"/>
      <c r="B305" s="1034" t="s">
        <v>686</v>
      </c>
      <c r="C305" s="1060" t="s">
        <v>690</v>
      </c>
      <c r="D305" s="1061">
        <v>3</v>
      </c>
      <c r="E305" s="901" t="s">
        <v>5</v>
      </c>
      <c r="F305" s="165">
        <v>1650</v>
      </c>
      <c r="G305" s="1046">
        <f t="shared" si="38"/>
        <v>495</v>
      </c>
      <c r="H305" s="296">
        <f t="shared" si="35"/>
        <v>4950</v>
      </c>
      <c r="I305" s="296">
        <f t="shared" si="36"/>
        <v>1485</v>
      </c>
      <c r="J305" s="296">
        <f t="shared" si="37"/>
        <v>6435</v>
      </c>
      <c r="K305" s="456"/>
      <c r="L305" s="1062" t="s">
        <v>1917</v>
      </c>
      <c r="M305" s="906" t="s">
        <v>276</v>
      </c>
    </row>
    <row r="306" spans="1:13" ht="24" customHeight="1">
      <c r="A306" s="157"/>
      <c r="B306" s="1034" t="s">
        <v>687</v>
      </c>
      <c r="C306" s="1060" t="s">
        <v>685</v>
      </c>
      <c r="D306" s="1061">
        <v>3</v>
      </c>
      <c r="E306" s="901" t="s">
        <v>5</v>
      </c>
      <c r="F306" s="165">
        <v>850</v>
      </c>
      <c r="G306" s="1046">
        <f t="shared" si="38"/>
        <v>255</v>
      </c>
      <c r="H306" s="296">
        <f t="shared" si="35"/>
        <v>2550</v>
      </c>
      <c r="I306" s="296">
        <f t="shared" si="36"/>
        <v>765</v>
      </c>
      <c r="J306" s="296">
        <f t="shared" si="37"/>
        <v>3315</v>
      </c>
      <c r="K306" s="456"/>
      <c r="L306" s="1062" t="s">
        <v>1917</v>
      </c>
      <c r="M306" s="906" t="s">
        <v>276</v>
      </c>
    </row>
    <row r="307" spans="1:13" ht="24" customHeight="1">
      <c r="A307" s="157"/>
      <c r="B307" s="1034" t="s">
        <v>688</v>
      </c>
      <c r="C307" s="1060" t="s">
        <v>992</v>
      </c>
      <c r="D307" s="1061">
        <v>1</v>
      </c>
      <c r="E307" s="901" t="s">
        <v>5</v>
      </c>
      <c r="F307" s="165">
        <v>5075</v>
      </c>
      <c r="G307" s="1046">
        <f t="shared" si="38"/>
        <v>1522.5</v>
      </c>
      <c r="H307" s="296">
        <f t="shared" si="35"/>
        <v>5075</v>
      </c>
      <c r="I307" s="296">
        <f t="shared" si="36"/>
        <v>1522.5</v>
      </c>
      <c r="J307" s="296">
        <f t="shared" si="37"/>
        <v>6597.5</v>
      </c>
      <c r="K307" s="456"/>
      <c r="L307" s="1062" t="s">
        <v>1917</v>
      </c>
      <c r="M307" s="906" t="s">
        <v>276</v>
      </c>
    </row>
    <row r="308" spans="1:13" ht="24" customHeight="1">
      <c r="A308" s="157"/>
      <c r="B308" s="1034" t="s">
        <v>697</v>
      </c>
      <c r="C308" s="1060" t="s">
        <v>702</v>
      </c>
      <c r="D308" s="1061">
        <v>1</v>
      </c>
      <c r="E308" s="901" t="s">
        <v>5</v>
      </c>
      <c r="F308" s="165">
        <v>72300</v>
      </c>
      <c r="G308" s="1046">
        <f t="shared" si="38"/>
        <v>21690</v>
      </c>
      <c r="H308" s="296">
        <f t="shared" si="35"/>
        <v>72300</v>
      </c>
      <c r="I308" s="296">
        <f t="shared" si="36"/>
        <v>21690</v>
      </c>
      <c r="J308" s="296">
        <f t="shared" si="37"/>
        <v>93990</v>
      </c>
      <c r="K308" s="456"/>
      <c r="L308" s="1062" t="s">
        <v>1917</v>
      </c>
      <c r="M308" s="906" t="s">
        <v>276</v>
      </c>
    </row>
    <row r="309" spans="1:13" ht="24" customHeight="1">
      <c r="A309" s="157"/>
      <c r="B309" s="1034" t="s">
        <v>680</v>
      </c>
      <c r="C309" s="1060" t="s">
        <v>1895</v>
      </c>
      <c r="D309" s="1061">
        <v>2</v>
      </c>
      <c r="E309" s="901" t="s">
        <v>5</v>
      </c>
      <c r="F309" s="165">
        <v>635</v>
      </c>
      <c r="G309" s="1046">
        <f t="shared" si="38"/>
        <v>190.5</v>
      </c>
      <c r="H309" s="296">
        <f t="shared" si="35"/>
        <v>1270</v>
      </c>
      <c r="I309" s="296">
        <f t="shared" si="36"/>
        <v>381</v>
      </c>
      <c r="J309" s="296">
        <f t="shared" si="37"/>
        <v>1651</v>
      </c>
      <c r="K309" s="456"/>
      <c r="L309" s="1062" t="s">
        <v>1917</v>
      </c>
      <c r="M309" s="906" t="s">
        <v>276</v>
      </c>
    </row>
    <row r="310" spans="1:13" ht="24" customHeight="1">
      <c r="A310" s="157"/>
      <c r="B310" s="1034" t="s">
        <v>672</v>
      </c>
      <c r="C310" s="1060" t="s">
        <v>676</v>
      </c>
      <c r="D310" s="1061">
        <v>6</v>
      </c>
      <c r="E310" s="901" t="s">
        <v>5</v>
      </c>
      <c r="F310" s="165">
        <v>5075</v>
      </c>
      <c r="G310" s="1046">
        <f t="shared" si="38"/>
        <v>1522.5</v>
      </c>
      <c r="H310" s="296">
        <f t="shared" si="35"/>
        <v>30450</v>
      </c>
      <c r="I310" s="296">
        <f t="shared" si="36"/>
        <v>9135</v>
      </c>
      <c r="J310" s="296">
        <f t="shared" si="37"/>
        <v>39585</v>
      </c>
      <c r="K310" s="456"/>
      <c r="L310" s="1062" t="s">
        <v>1917</v>
      </c>
      <c r="M310" s="906" t="s">
        <v>276</v>
      </c>
    </row>
    <row r="311" spans="1:13" ht="24" customHeight="1">
      <c r="A311" s="157"/>
      <c r="B311" s="1034" t="s">
        <v>673</v>
      </c>
      <c r="C311" s="1060" t="s">
        <v>675</v>
      </c>
      <c r="D311" s="1061">
        <v>2</v>
      </c>
      <c r="E311" s="901" t="s">
        <v>5</v>
      </c>
      <c r="F311" s="165">
        <v>6960</v>
      </c>
      <c r="G311" s="1046">
        <f t="shared" si="38"/>
        <v>2088</v>
      </c>
      <c r="H311" s="296">
        <f t="shared" si="35"/>
        <v>13920</v>
      </c>
      <c r="I311" s="296">
        <f t="shared" si="36"/>
        <v>4176</v>
      </c>
      <c r="J311" s="296">
        <f t="shared" si="37"/>
        <v>18096</v>
      </c>
      <c r="K311" s="456"/>
      <c r="L311" s="1062" t="s">
        <v>1917</v>
      </c>
      <c r="M311" s="906" t="s">
        <v>276</v>
      </c>
    </row>
    <row r="312" spans="1:13" ht="24" customHeight="1">
      <c r="A312" s="157"/>
      <c r="B312" s="1034" t="s">
        <v>674</v>
      </c>
      <c r="C312" s="1060" t="s">
        <v>677</v>
      </c>
      <c r="D312" s="1061">
        <v>2</v>
      </c>
      <c r="E312" s="901" t="s">
        <v>5</v>
      </c>
      <c r="F312" s="165">
        <v>6960</v>
      </c>
      <c r="G312" s="1046">
        <f t="shared" si="38"/>
        <v>2088</v>
      </c>
      <c r="H312" s="296">
        <f t="shared" si="35"/>
        <v>13920</v>
      </c>
      <c r="I312" s="296">
        <f t="shared" si="36"/>
        <v>4176</v>
      </c>
      <c r="J312" s="296">
        <f t="shared" si="37"/>
        <v>18096</v>
      </c>
      <c r="K312" s="456"/>
      <c r="L312" s="1062" t="s">
        <v>1917</v>
      </c>
      <c r="M312" s="906" t="s">
        <v>276</v>
      </c>
    </row>
    <row r="313" spans="1:13" s="900" customFormat="1" ht="24" customHeight="1">
      <c r="A313" s="207"/>
      <c r="B313" s="1034" t="s">
        <v>703</v>
      </c>
      <c r="C313" s="1060" t="s">
        <v>707</v>
      </c>
      <c r="D313" s="1061">
        <v>1</v>
      </c>
      <c r="E313" s="901" t="s">
        <v>5</v>
      </c>
      <c r="F313" s="165">
        <v>595</v>
      </c>
      <c r="G313" s="1046">
        <f t="shared" si="38"/>
        <v>178.5</v>
      </c>
      <c r="H313" s="296">
        <f t="shared" si="35"/>
        <v>595</v>
      </c>
      <c r="I313" s="296">
        <f t="shared" si="36"/>
        <v>178.5</v>
      </c>
      <c r="J313" s="296">
        <f t="shared" si="37"/>
        <v>773.5</v>
      </c>
      <c r="K313" s="456"/>
      <c r="L313" s="1062" t="s">
        <v>1917</v>
      </c>
      <c r="M313" s="906" t="s">
        <v>276</v>
      </c>
    </row>
    <row r="314" spans="1:13" s="900" customFormat="1" ht="24" customHeight="1">
      <c r="A314" s="207"/>
      <c r="B314" s="1034" t="s">
        <v>704</v>
      </c>
      <c r="C314" s="1060" t="s">
        <v>708</v>
      </c>
      <c r="D314" s="1061">
        <v>1</v>
      </c>
      <c r="E314" s="901" t="s">
        <v>5</v>
      </c>
      <c r="F314" s="165">
        <v>595</v>
      </c>
      <c r="G314" s="1046">
        <f t="shared" si="38"/>
        <v>178.5</v>
      </c>
      <c r="H314" s="296">
        <f t="shared" si="35"/>
        <v>595</v>
      </c>
      <c r="I314" s="296">
        <f t="shared" si="36"/>
        <v>178.5</v>
      </c>
      <c r="J314" s="296">
        <f t="shared" si="37"/>
        <v>773.5</v>
      </c>
      <c r="K314" s="456"/>
      <c r="L314" s="1062" t="s">
        <v>1917</v>
      </c>
      <c r="M314" s="906" t="s">
        <v>276</v>
      </c>
    </row>
    <row r="315" spans="1:13" s="900" customFormat="1" ht="24" customHeight="1">
      <c r="A315" s="207"/>
      <c r="B315" s="1034" t="s">
        <v>705</v>
      </c>
      <c r="C315" s="1060" t="s">
        <v>709</v>
      </c>
      <c r="D315" s="1061">
        <v>1</v>
      </c>
      <c r="E315" s="901" t="s">
        <v>5</v>
      </c>
      <c r="F315" s="165">
        <v>595</v>
      </c>
      <c r="G315" s="1046">
        <f t="shared" si="38"/>
        <v>178.5</v>
      </c>
      <c r="H315" s="296">
        <f t="shared" si="35"/>
        <v>595</v>
      </c>
      <c r="I315" s="296">
        <f t="shared" si="36"/>
        <v>178.5</v>
      </c>
      <c r="J315" s="296">
        <f t="shared" si="37"/>
        <v>773.5</v>
      </c>
      <c r="K315" s="456"/>
      <c r="L315" s="1062" t="s">
        <v>1917</v>
      </c>
      <c r="M315" s="906" t="s">
        <v>276</v>
      </c>
    </row>
    <row r="316" spans="1:13" s="900" customFormat="1" ht="24" customHeight="1">
      <c r="A316" s="207"/>
      <c r="B316" s="1034" t="s">
        <v>706</v>
      </c>
      <c r="C316" s="1060" t="s">
        <v>710</v>
      </c>
      <c r="D316" s="1061">
        <v>2</v>
      </c>
      <c r="E316" s="901" t="s">
        <v>5</v>
      </c>
      <c r="F316" s="165">
        <v>1431.25</v>
      </c>
      <c r="G316" s="1046">
        <f t="shared" si="38"/>
        <v>429.375</v>
      </c>
      <c r="H316" s="296">
        <f t="shared" si="35"/>
        <v>2862.5</v>
      </c>
      <c r="I316" s="296">
        <f t="shared" si="36"/>
        <v>858.75</v>
      </c>
      <c r="J316" s="296">
        <f t="shared" si="37"/>
        <v>3721.25</v>
      </c>
      <c r="K316" s="456"/>
      <c r="L316" s="1062" t="s">
        <v>1917</v>
      </c>
      <c r="M316" s="906" t="s">
        <v>276</v>
      </c>
    </row>
    <row r="317" spans="1:13" ht="24" customHeight="1">
      <c r="A317" s="163" t="s">
        <v>635</v>
      </c>
      <c r="B317" s="2577" t="s">
        <v>716</v>
      </c>
      <c r="C317" s="2578"/>
      <c r="D317" s="160"/>
      <c r="E317" s="901"/>
      <c r="F317" s="1046"/>
      <c r="G317" s="1046"/>
      <c r="H317" s="296"/>
      <c r="I317" s="296"/>
      <c r="J317" s="296"/>
      <c r="K317" s="456"/>
      <c r="L317" s="159"/>
      <c r="M317" s="174"/>
    </row>
    <row r="318" spans="1:13" ht="24" customHeight="1">
      <c r="A318" s="157"/>
      <c r="B318" s="1034" t="s">
        <v>678</v>
      </c>
      <c r="C318" s="1060" t="s">
        <v>681</v>
      </c>
      <c r="D318" s="1061">
        <v>1</v>
      </c>
      <c r="E318" s="901" t="s">
        <v>5</v>
      </c>
      <c r="F318" s="165">
        <v>15400</v>
      </c>
      <c r="G318" s="1046">
        <f>F318*0.3</f>
        <v>4620</v>
      </c>
      <c r="H318" s="296">
        <f t="shared" ref="H318:H343" si="39">D318*F318</f>
        <v>15400</v>
      </c>
      <c r="I318" s="296">
        <f t="shared" ref="I318:I343" si="40">D318*G318</f>
        <v>4620</v>
      </c>
      <c r="J318" s="296">
        <f t="shared" ref="J318:J343" si="41">H318+I318</f>
        <v>20020</v>
      </c>
      <c r="K318" s="456"/>
      <c r="L318" s="1062" t="s">
        <v>1917</v>
      </c>
      <c r="M318" s="906" t="s">
        <v>276</v>
      </c>
    </row>
    <row r="319" spans="1:13" s="900" customFormat="1" ht="24" customHeight="1">
      <c r="A319" s="207"/>
      <c r="B319" s="1034" t="s">
        <v>679</v>
      </c>
      <c r="C319" s="1060" t="s">
        <v>732</v>
      </c>
      <c r="D319" s="1061">
        <v>1</v>
      </c>
      <c r="E319" s="901" t="s">
        <v>5</v>
      </c>
      <c r="F319" s="165">
        <v>450</v>
      </c>
      <c r="G319" s="1046">
        <f t="shared" ref="G319:G343" si="42">F319*0.3</f>
        <v>135</v>
      </c>
      <c r="H319" s="296">
        <f t="shared" si="39"/>
        <v>450</v>
      </c>
      <c r="I319" s="296">
        <f t="shared" si="40"/>
        <v>135</v>
      </c>
      <c r="J319" s="296">
        <f t="shared" si="41"/>
        <v>585</v>
      </c>
      <c r="K319" s="456"/>
      <c r="L319" s="1062" t="s">
        <v>1917</v>
      </c>
      <c r="M319" s="906" t="s">
        <v>276</v>
      </c>
    </row>
    <row r="320" spans="1:13" s="900" customFormat="1" ht="24" customHeight="1">
      <c r="A320" s="207"/>
      <c r="B320" s="1034" t="s">
        <v>682</v>
      </c>
      <c r="C320" s="1060" t="s">
        <v>1201</v>
      </c>
      <c r="D320" s="1061">
        <v>1</v>
      </c>
      <c r="E320" s="901" t="s">
        <v>5</v>
      </c>
      <c r="F320" s="165">
        <v>4500</v>
      </c>
      <c r="G320" s="1046">
        <f t="shared" si="42"/>
        <v>1350</v>
      </c>
      <c r="H320" s="296">
        <f t="shared" si="39"/>
        <v>4500</v>
      </c>
      <c r="I320" s="296">
        <f t="shared" si="40"/>
        <v>1350</v>
      </c>
      <c r="J320" s="296">
        <f t="shared" si="41"/>
        <v>5850</v>
      </c>
      <c r="K320" s="456"/>
      <c r="L320" s="1062" t="s">
        <v>1917</v>
      </c>
      <c r="M320" s="906" t="s">
        <v>276</v>
      </c>
    </row>
    <row r="321" spans="1:13" s="900" customFormat="1" ht="24" customHeight="1">
      <c r="A321" s="207"/>
      <c r="B321" s="1034" t="s">
        <v>683</v>
      </c>
      <c r="C321" s="1060" t="s">
        <v>1889</v>
      </c>
      <c r="D321" s="1061">
        <v>1</v>
      </c>
      <c r="E321" s="901" t="s">
        <v>5</v>
      </c>
      <c r="F321" s="165">
        <v>1200</v>
      </c>
      <c r="G321" s="1046">
        <f t="shared" si="42"/>
        <v>360</v>
      </c>
      <c r="H321" s="296">
        <f t="shared" si="39"/>
        <v>1200</v>
      </c>
      <c r="I321" s="296">
        <f t="shared" si="40"/>
        <v>360</v>
      </c>
      <c r="J321" s="296">
        <f t="shared" si="41"/>
        <v>1560</v>
      </c>
      <c r="K321" s="456"/>
      <c r="L321" s="1062" t="s">
        <v>1917</v>
      </c>
      <c r="M321" s="906" t="s">
        <v>276</v>
      </c>
    </row>
    <row r="322" spans="1:13" s="900" customFormat="1" ht="24" customHeight="1">
      <c r="A322" s="207"/>
      <c r="B322" s="1034" t="s">
        <v>686</v>
      </c>
      <c r="C322" s="1060" t="s">
        <v>690</v>
      </c>
      <c r="D322" s="1061">
        <v>1</v>
      </c>
      <c r="E322" s="901" t="s">
        <v>5</v>
      </c>
      <c r="F322" s="165">
        <v>1650</v>
      </c>
      <c r="G322" s="1046">
        <f t="shared" si="42"/>
        <v>495</v>
      </c>
      <c r="H322" s="296">
        <f t="shared" si="39"/>
        <v>1650</v>
      </c>
      <c r="I322" s="296">
        <f t="shared" si="40"/>
        <v>495</v>
      </c>
      <c r="J322" s="296">
        <f t="shared" si="41"/>
        <v>2145</v>
      </c>
      <c r="K322" s="456"/>
      <c r="L322" s="1062" t="s">
        <v>1917</v>
      </c>
      <c r="M322" s="906" t="s">
        <v>276</v>
      </c>
    </row>
    <row r="323" spans="1:13" ht="24" customHeight="1">
      <c r="A323" s="157"/>
      <c r="B323" s="1034" t="s">
        <v>687</v>
      </c>
      <c r="C323" s="1060" t="s">
        <v>685</v>
      </c>
      <c r="D323" s="1061">
        <v>2</v>
      </c>
      <c r="E323" s="901" t="s">
        <v>5</v>
      </c>
      <c r="F323" s="165">
        <v>850</v>
      </c>
      <c r="G323" s="1046">
        <f t="shared" si="42"/>
        <v>255</v>
      </c>
      <c r="H323" s="296">
        <f t="shared" si="39"/>
        <v>1700</v>
      </c>
      <c r="I323" s="296">
        <f t="shared" si="40"/>
        <v>510</v>
      </c>
      <c r="J323" s="296">
        <f t="shared" si="41"/>
        <v>2210</v>
      </c>
      <c r="K323" s="456"/>
      <c r="L323" s="1062" t="s">
        <v>1917</v>
      </c>
      <c r="M323" s="906" t="s">
        <v>276</v>
      </c>
    </row>
    <row r="324" spans="1:13" ht="24" customHeight="1">
      <c r="A324" s="157"/>
      <c r="B324" s="1034" t="s">
        <v>688</v>
      </c>
      <c r="C324" s="1060" t="s">
        <v>993</v>
      </c>
      <c r="D324" s="1061">
        <v>1</v>
      </c>
      <c r="E324" s="901" t="s">
        <v>5</v>
      </c>
      <c r="F324" s="165">
        <v>8160</v>
      </c>
      <c r="G324" s="1046">
        <f t="shared" si="42"/>
        <v>2448</v>
      </c>
      <c r="H324" s="296">
        <f t="shared" si="39"/>
        <v>8160</v>
      </c>
      <c r="I324" s="296">
        <f t="shared" si="40"/>
        <v>2448</v>
      </c>
      <c r="J324" s="296">
        <f t="shared" si="41"/>
        <v>10608</v>
      </c>
      <c r="K324" s="456"/>
      <c r="L324" s="1062" t="s">
        <v>1917</v>
      </c>
      <c r="M324" s="906" t="s">
        <v>276</v>
      </c>
    </row>
    <row r="325" spans="1:13" ht="24" customHeight="1">
      <c r="A325" s="157"/>
      <c r="B325" s="1034" t="s">
        <v>691</v>
      </c>
      <c r="C325" s="1060" t="s">
        <v>1894</v>
      </c>
      <c r="D325" s="1061">
        <v>3</v>
      </c>
      <c r="E325" s="901" t="s">
        <v>5</v>
      </c>
      <c r="F325" s="165">
        <v>2900</v>
      </c>
      <c r="G325" s="1046">
        <f t="shared" si="42"/>
        <v>870</v>
      </c>
      <c r="H325" s="296">
        <f t="shared" si="39"/>
        <v>8700</v>
      </c>
      <c r="I325" s="296">
        <f t="shared" si="40"/>
        <v>2610</v>
      </c>
      <c r="J325" s="296">
        <f t="shared" si="41"/>
        <v>11310</v>
      </c>
      <c r="K325" s="456"/>
      <c r="L325" s="1062" t="s">
        <v>1917</v>
      </c>
      <c r="M325" s="906" t="s">
        <v>276</v>
      </c>
    </row>
    <row r="326" spans="1:13" ht="24" customHeight="1">
      <c r="A326" s="157"/>
      <c r="B326" s="1034" t="s">
        <v>694</v>
      </c>
      <c r="C326" s="1060" t="s">
        <v>699</v>
      </c>
      <c r="D326" s="1061">
        <v>1</v>
      </c>
      <c r="E326" s="901" t="s">
        <v>5</v>
      </c>
      <c r="F326" s="165">
        <v>44100</v>
      </c>
      <c r="G326" s="1046">
        <f t="shared" si="42"/>
        <v>13230</v>
      </c>
      <c r="H326" s="296">
        <f t="shared" si="39"/>
        <v>44100</v>
      </c>
      <c r="I326" s="296">
        <f t="shared" si="40"/>
        <v>13230</v>
      </c>
      <c r="J326" s="296">
        <f t="shared" si="41"/>
        <v>57330</v>
      </c>
      <c r="K326" s="456"/>
      <c r="L326" s="1062" t="s">
        <v>1917</v>
      </c>
      <c r="M326" s="906" t="s">
        <v>276</v>
      </c>
    </row>
    <row r="327" spans="1:13" ht="24" customHeight="1">
      <c r="A327" s="157"/>
      <c r="B327" s="1034" t="s">
        <v>696</v>
      </c>
      <c r="C327" s="1060" t="s">
        <v>701</v>
      </c>
      <c r="D327" s="1061">
        <v>1</v>
      </c>
      <c r="E327" s="901" t="s">
        <v>5</v>
      </c>
      <c r="F327" s="165">
        <v>94500</v>
      </c>
      <c r="G327" s="1046">
        <f t="shared" si="42"/>
        <v>28350</v>
      </c>
      <c r="H327" s="296">
        <f t="shared" si="39"/>
        <v>94500</v>
      </c>
      <c r="I327" s="296">
        <f t="shared" si="40"/>
        <v>28350</v>
      </c>
      <c r="J327" s="296">
        <f t="shared" si="41"/>
        <v>122850</v>
      </c>
      <c r="K327" s="456"/>
      <c r="L327" s="1062" t="s">
        <v>1917</v>
      </c>
      <c r="M327" s="906" t="s">
        <v>276</v>
      </c>
    </row>
    <row r="328" spans="1:13" ht="24" customHeight="1">
      <c r="A328" s="157"/>
      <c r="B328" s="1034" t="s">
        <v>680</v>
      </c>
      <c r="C328" s="1060" t="s">
        <v>1895</v>
      </c>
      <c r="D328" s="1061">
        <v>3</v>
      </c>
      <c r="E328" s="901" t="s">
        <v>5</v>
      </c>
      <c r="F328" s="165">
        <v>635</v>
      </c>
      <c r="G328" s="1046">
        <f t="shared" si="42"/>
        <v>190.5</v>
      </c>
      <c r="H328" s="296">
        <f t="shared" si="39"/>
        <v>1905</v>
      </c>
      <c r="I328" s="296">
        <f t="shared" si="40"/>
        <v>571.5</v>
      </c>
      <c r="J328" s="296">
        <f t="shared" si="41"/>
        <v>2476.5</v>
      </c>
      <c r="K328" s="456"/>
      <c r="L328" s="1062" t="s">
        <v>1917</v>
      </c>
      <c r="M328" s="906" t="s">
        <v>276</v>
      </c>
    </row>
    <row r="329" spans="1:13" ht="24" customHeight="1" thickBot="1">
      <c r="A329" s="157"/>
      <c r="B329" s="1034" t="s">
        <v>672</v>
      </c>
      <c r="C329" s="1060" t="s">
        <v>676</v>
      </c>
      <c r="D329" s="1061">
        <v>6</v>
      </c>
      <c r="E329" s="901" t="s">
        <v>5</v>
      </c>
      <c r="F329" s="165">
        <v>5075</v>
      </c>
      <c r="G329" s="1046">
        <f t="shared" si="42"/>
        <v>1522.5</v>
      </c>
      <c r="H329" s="296">
        <f t="shared" si="39"/>
        <v>30450</v>
      </c>
      <c r="I329" s="296">
        <f t="shared" si="40"/>
        <v>9135</v>
      </c>
      <c r="J329" s="296">
        <f t="shared" si="41"/>
        <v>39585</v>
      </c>
      <c r="K329" s="456"/>
      <c r="L329" s="1062" t="s">
        <v>1917</v>
      </c>
      <c r="M329" s="906" t="s">
        <v>276</v>
      </c>
    </row>
    <row r="330" spans="1:13" ht="24" customHeight="1" thickTop="1">
      <c r="A330" s="1066"/>
      <c r="B330" s="1066"/>
      <c r="C330" s="1066"/>
      <c r="D330" s="1066"/>
      <c r="E330" s="1066"/>
      <c r="F330" s="1066"/>
      <c r="G330" s="1066"/>
      <c r="H330" s="1066"/>
      <c r="I330" s="1066"/>
      <c r="J330" s="1066"/>
      <c r="K330" s="1066"/>
      <c r="L330" s="1062"/>
      <c r="M330" s="906"/>
    </row>
    <row r="331" spans="1:13" ht="24" customHeight="1">
      <c r="A331" s="139"/>
      <c r="B331" s="881" t="s">
        <v>133</v>
      </c>
      <c r="C331" s="175"/>
      <c r="D331" s="1644"/>
      <c r="E331" s="177"/>
      <c r="F331" s="177"/>
      <c r="G331" s="265"/>
      <c r="H331" s="265"/>
      <c r="I331" s="265"/>
      <c r="J331" s="265"/>
      <c r="K331" s="265"/>
      <c r="L331" s="1062"/>
      <c r="M331" s="906"/>
    </row>
    <row r="332" spans="1:13" ht="24" customHeight="1">
      <c r="A332" s="139"/>
      <c r="B332" s="1638" t="s">
        <v>1769</v>
      </c>
      <c r="C332" s="137"/>
      <c r="D332" s="137"/>
      <c r="E332" s="173"/>
      <c r="F332" s="1638" t="s">
        <v>134</v>
      </c>
      <c r="G332" s="137"/>
      <c r="H332" s="137"/>
      <c r="I332" s="137"/>
      <c r="J332" s="137"/>
      <c r="K332" s="137"/>
      <c r="L332" s="1062"/>
      <c r="M332" s="906"/>
    </row>
    <row r="333" spans="1:13" ht="24" customHeight="1">
      <c r="A333" s="139"/>
      <c r="B333" s="174" t="s">
        <v>1970</v>
      </c>
      <c r="C333" s="137"/>
      <c r="D333" s="137"/>
      <c r="E333" s="1638"/>
      <c r="F333" s="227" t="s">
        <v>1971</v>
      </c>
      <c r="G333" s="137"/>
      <c r="H333" s="768"/>
      <c r="I333" s="768"/>
      <c r="J333" s="768"/>
      <c r="K333" s="768"/>
      <c r="L333" s="1062"/>
      <c r="M333" s="906"/>
    </row>
    <row r="334" spans="1:13" ht="24" customHeight="1">
      <c r="A334" s="139"/>
      <c r="B334" s="1638" t="s">
        <v>2031</v>
      </c>
      <c r="C334" s="137"/>
      <c r="D334" s="137"/>
      <c r="E334" s="174"/>
      <c r="F334" s="1638" t="s">
        <v>2031</v>
      </c>
      <c r="G334" s="137"/>
      <c r="H334" s="1638"/>
      <c r="I334" s="1638"/>
      <c r="J334" s="1638"/>
      <c r="K334" s="1638"/>
      <c r="L334" s="1062"/>
      <c r="M334" s="906"/>
    </row>
    <row r="335" spans="1:13" ht="24" customHeight="1">
      <c r="A335" s="139"/>
      <c r="B335" s="174" t="s">
        <v>1984</v>
      </c>
      <c r="C335" s="137"/>
      <c r="D335" s="137"/>
      <c r="E335" s="174"/>
      <c r="F335" s="174" t="s">
        <v>1985</v>
      </c>
      <c r="G335" s="137"/>
      <c r="L335" s="1062"/>
      <c r="M335" s="906"/>
    </row>
    <row r="336" spans="1:13" ht="24" customHeight="1">
      <c r="A336" s="139"/>
      <c r="B336" s="1638" t="s">
        <v>670</v>
      </c>
      <c r="D336" s="1638"/>
      <c r="E336" s="1638"/>
      <c r="F336" s="137"/>
      <c r="H336" s="137"/>
      <c r="I336" s="137"/>
      <c r="J336" s="137"/>
      <c r="K336" s="137"/>
      <c r="L336" s="1062"/>
      <c r="M336" s="906"/>
    </row>
    <row r="337" spans="1:13" ht="24" customHeight="1">
      <c r="A337" s="137"/>
      <c r="B337" s="174" t="s">
        <v>1972</v>
      </c>
      <c r="D337" s="174"/>
      <c r="E337" s="174"/>
      <c r="F337" s="1640"/>
      <c r="H337" s="1638"/>
      <c r="I337" s="1638"/>
      <c r="J337" s="1638"/>
      <c r="K337" s="1638"/>
      <c r="L337" s="1062"/>
      <c r="M337" s="906"/>
    </row>
    <row r="338" spans="1:13" ht="24" customHeight="1">
      <c r="A338" s="157"/>
      <c r="B338" s="1034" t="s">
        <v>673</v>
      </c>
      <c r="C338" s="1060" t="s">
        <v>675</v>
      </c>
      <c r="D338" s="1061">
        <v>3</v>
      </c>
      <c r="E338" s="901" t="s">
        <v>5</v>
      </c>
      <c r="F338" s="165">
        <v>6960</v>
      </c>
      <c r="G338" s="1046">
        <f t="shared" si="42"/>
        <v>2088</v>
      </c>
      <c r="H338" s="296">
        <f t="shared" si="39"/>
        <v>20880</v>
      </c>
      <c r="I338" s="296">
        <f t="shared" si="40"/>
        <v>6264</v>
      </c>
      <c r="J338" s="296">
        <f t="shared" si="41"/>
        <v>27144</v>
      </c>
      <c r="K338" s="456"/>
      <c r="L338" s="1062" t="s">
        <v>1917</v>
      </c>
      <c r="M338" s="906" t="s">
        <v>276</v>
      </c>
    </row>
    <row r="339" spans="1:13" ht="24" customHeight="1">
      <c r="A339" s="157"/>
      <c r="B339" s="1034" t="s">
        <v>674</v>
      </c>
      <c r="C339" s="1060" t="s">
        <v>677</v>
      </c>
      <c r="D339" s="1061">
        <v>3</v>
      </c>
      <c r="E339" s="901" t="s">
        <v>5</v>
      </c>
      <c r="F339" s="165">
        <v>6960</v>
      </c>
      <c r="G339" s="1046">
        <f t="shared" si="42"/>
        <v>2088</v>
      </c>
      <c r="H339" s="296">
        <f t="shared" si="39"/>
        <v>20880</v>
      </c>
      <c r="I339" s="296">
        <f t="shared" si="40"/>
        <v>6264</v>
      </c>
      <c r="J339" s="296">
        <f t="shared" si="41"/>
        <v>27144</v>
      </c>
      <c r="K339" s="456"/>
      <c r="L339" s="1062" t="s">
        <v>1917</v>
      </c>
      <c r="M339" s="906" t="s">
        <v>276</v>
      </c>
    </row>
    <row r="340" spans="1:13" s="900" customFormat="1" ht="24" customHeight="1">
      <c r="A340" s="207"/>
      <c r="B340" s="1034" t="s">
        <v>703</v>
      </c>
      <c r="C340" s="1060" t="s">
        <v>707</v>
      </c>
      <c r="D340" s="1061">
        <v>1</v>
      </c>
      <c r="E340" s="901" t="s">
        <v>5</v>
      </c>
      <c r="F340" s="165">
        <v>595</v>
      </c>
      <c r="G340" s="1046">
        <f t="shared" si="42"/>
        <v>178.5</v>
      </c>
      <c r="H340" s="296">
        <f t="shared" si="39"/>
        <v>595</v>
      </c>
      <c r="I340" s="296">
        <f t="shared" si="40"/>
        <v>178.5</v>
      </c>
      <c r="J340" s="296">
        <f t="shared" si="41"/>
        <v>773.5</v>
      </c>
      <c r="K340" s="456"/>
      <c r="L340" s="1062" t="s">
        <v>1917</v>
      </c>
      <c r="M340" s="906" t="s">
        <v>276</v>
      </c>
    </row>
    <row r="341" spans="1:13" s="900" customFormat="1" ht="24" customHeight="1">
      <c r="A341" s="207"/>
      <c r="B341" s="1034" t="s">
        <v>704</v>
      </c>
      <c r="C341" s="1060" t="s">
        <v>708</v>
      </c>
      <c r="D341" s="1061">
        <v>1</v>
      </c>
      <c r="E341" s="901" t="s">
        <v>5</v>
      </c>
      <c r="F341" s="165">
        <v>595</v>
      </c>
      <c r="G341" s="1046">
        <f t="shared" si="42"/>
        <v>178.5</v>
      </c>
      <c r="H341" s="296">
        <f t="shared" si="39"/>
        <v>595</v>
      </c>
      <c r="I341" s="296">
        <f t="shared" si="40"/>
        <v>178.5</v>
      </c>
      <c r="J341" s="296">
        <f t="shared" si="41"/>
        <v>773.5</v>
      </c>
      <c r="K341" s="456"/>
      <c r="L341" s="1062" t="s">
        <v>1917</v>
      </c>
      <c r="M341" s="906" t="s">
        <v>276</v>
      </c>
    </row>
    <row r="342" spans="1:13" s="900" customFormat="1" ht="24" customHeight="1">
      <c r="A342" s="207"/>
      <c r="B342" s="1034" t="s">
        <v>705</v>
      </c>
      <c r="C342" s="1060" t="s">
        <v>709</v>
      </c>
      <c r="D342" s="1061">
        <v>1</v>
      </c>
      <c r="E342" s="901" t="s">
        <v>5</v>
      </c>
      <c r="F342" s="165">
        <v>595</v>
      </c>
      <c r="G342" s="1046">
        <f t="shared" si="42"/>
        <v>178.5</v>
      </c>
      <c r="H342" s="296">
        <f t="shared" si="39"/>
        <v>595</v>
      </c>
      <c r="I342" s="296">
        <f t="shared" si="40"/>
        <v>178.5</v>
      </c>
      <c r="J342" s="296">
        <f t="shared" si="41"/>
        <v>773.5</v>
      </c>
      <c r="K342" s="456"/>
      <c r="L342" s="1062" t="s">
        <v>1917</v>
      </c>
      <c r="M342" s="906" t="s">
        <v>276</v>
      </c>
    </row>
    <row r="343" spans="1:13" s="900" customFormat="1" ht="24" customHeight="1">
      <c r="A343" s="207"/>
      <c r="B343" s="1034" t="s">
        <v>706</v>
      </c>
      <c r="C343" s="1060" t="s">
        <v>710</v>
      </c>
      <c r="D343" s="1061">
        <v>2</v>
      </c>
      <c r="E343" s="901" t="s">
        <v>5</v>
      </c>
      <c r="F343" s="165">
        <v>1431.25</v>
      </c>
      <c r="G343" s="1046">
        <f t="shared" si="42"/>
        <v>429.375</v>
      </c>
      <c r="H343" s="296">
        <f t="shared" si="39"/>
        <v>2862.5</v>
      </c>
      <c r="I343" s="296">
        <f t="shared" si="40"/>
        <v>858.75</v>
      </c>
      <c r="J343" s="296">
        <f t="shared" si="41"/>
        <v>3721.25</v>
      </c>
      <c r="K343" s="456"/>
      <c r="L343" s="1062" t="s">
        <v>1917</v>
      </c>
      <c r="M343" s="906" t="s">
        <v>276</v>
      </c>
    </row>
    <row r="344" spans="1:13" ht="24" customHeight="1">
      <c r="A344" s="163" t="s">
        <v>636</v>
      </c>
      <c r="B344" s="2577" t="s">
        <v>715</v>
      </c>
      <c r="C344" s="2578"/>
      <c r="D344" s="160"/>
      <c r="E344" s="901"/>
      <c r="F344" s="1046"/>
      <c r="G344" s="1046"/>
      <c r="H344" s="296"/>
      <c r="I344" s="296"/>
      <c r="J344" s="296"/>
      <c r="K344" s="456"/>
      <c r="L344" s="159"/>
      <c r="M344" s="174"/>
    </row>
    <row r="345" spans="1:13" ht="24" customHeight="1">
      <c r="A345" s="157"/>
      <c r="B345" s="1034" t="s">
        <v>678</v>
      </c>
      <c r="C345" s="1060" t="s">
        <v>681</v>
      </c>
      <c r="D345" s="1061">
        <v>1</v>
      </c>
      <c r="E345" s="901" t="s">
        <v>5</v>
      </c>
      <c r="F345" s="165">
        <v>15400</v>
      </c>
      <c r="G345" s="1046">
        <f>F345*0.3</f>
        <v>4620</v>
      </c>
      <c r="H345" s="296">
        <f t="shared" ref="H345:H385" si="43">D345*F345</f>
        <v>15400</v>
      </c>
      <c r="I345" s="296">
        <f t="shared" ref="I345:I385" si="44">D345*G345</f>
        <v>4620</v>
      </c>
      <c r="J345" s="296">
        <f t="shared" ref="J345:J385" si="45">H345+I345</f>
        <v>20020</v>
      </c>
      <c r="K345" s="456"/>
      <c r="L345" s="1062" t="s">
        <v>1917</v>
      </c>
      <c r="M345" s="906" t="s">
        <v>276</v>
      </c>
    </row>
    <row r="346" spans="1:13" s="900" customFormat="1" ht="24" customHeight="1">
      <c r="A346" s="207"/>
      <c r="B346" s="1034" t="s">
        <v>679</v>
      </c>
      <c r="C346" s="1060" t="s">
        <v>732</v>
      </c>
      <c r="D346" s="1061">
        <v>1</v>
      </c>
      <c r="E346" s="901" t="s">
        <v>5</v>
      </c>
      <c r="F346" s="165">
        <v>450</v>
      </c>
      <c r="G346" s="1046">
        <f t="shared" ref="G346:G356" si="46">F346*0.3</f>
        <v>135</v>
      </c>
      <c r="H346" s="296">
        <f t="shared" si="43"/>
        <v>450</v>
      </c>
      <c r="I346" s="296">
        <f t="shared" si="44"/>
        <v>135</v>
      </c>
      <c r="J346" s="296">
        <f t="shared" si="45"/>
        <v>585</v>
      </c>
      <c r="K346" s="456"/>
      <c r="L346" s="1062" t="s">
        <v>1917</v>
      </c>
      <c r="M346" s="906" t="s">
        <v>276</v>
      </c>
    </row>
    <row r="347" spans="1:13" s="900" customFormat="1" ht="24" customHeight="1">
      <c r="A347" s="207"/>
      <c r="B347" s="1034" t="s">
        <v>682</v>
      </c>
      <c r="C347" s="1060" t="s">
        <v>1201</v>
      </c>
      <c r="D347" s="1061">
        <v>1</v>
      </c>
      <c r="E347" s="901" t="s">
        <v>5</v>
      </c>
      <c r="F347" s="165">
        <v>4500</v>
      </c>
      <c r="G347" s="1046">
        <f t="shared" si="46"/>
        <v>1350</v>
      </c>
      <c r="H347" s="296">
        <f t="shared" si="43"/>
        <v>4500</v>
      </c>
      <c r="I347" s="296">
        <f t="shared" si="44"/>
        <v>1350</v>
      </c>
      <c r="J347" s="296">
        <f t="shared" si="45"/>
        <v>5850</v>
      </c>
      <c r="K347" s="456"/>
      <c r="L347" s="1062" t="s">
        <v>1917</v>
      </c>
      <c r="M347" s="906" t="s">
        <v>276</v>
      </c>
    </row>
    <row r="348" spans="1:13" ht="24" customHeight="1">
      <c r="A348" s="157"/>
      <c r="B348" s="1034" t="s">
        <v>691</v>
      </c>
      <c r="C348" s="1060" t="s">
        <v>1894</v>
      </c>
      <c r="D348" s="1061">
        <v>7</v>
      </c>
      <c r="E348" s="901" t="s">
        <v>5</v>
      </c>
      <c r="F348" s="165">
        <v>2900</v>
      </c>
      <c r="G348" s="1046">
        <f t="shared" si="46"/>
        <v>870</v>
      </c>
      <c r="H348" s="296">
        <f t="shared" si="43"/>
        <v>20300</v>
      </c>
      <c r="I348" s="296">
        <f t="shared" si="44"/>
        <v>6090</v>
      </c>
      <c r="J348" s="296">
        <f t="shared" si="45"/>
        <v>26390</v>
      </c>
      <c r="K348" s="456"/>
      <c r="L348" s="1062" t="s">
        <v>1917</v>
      </c>
      <c r="M348" s="906" t="s">
        <v>276</v>
      </c>
    </row>
    <row r="349" spans="1:13" ht="24" customHeight="1">
      <c r="A349" s="157"/>
      <c r="B349" s="1034" t="s">
        <v>680</v>
      </c>
      <c r="C349" s="1060" t="s">
        <v>1895</v>
      </c>
      <c r="D349" s="1061">
        <v>2</v>
      </c>
      <c r="E349" s="901" t="s">
        <v>5</v>
      </c>
      <c r="F349" s="165">
        <v>635</v>
      </c>
      <c r="G349" s="1046">
        <f t="shared" si="46"/>
        <v>190.5</v>
      </c>
      <c r="H349" s="296">
        <f t="shared" si="43"/>
        <v>1270</v>
      </c>
      <c r="I349" s="296">
        <f t="shared" si="44"/>
        <v>381</v>
      </c>
      <c r="J349" s="296">
        <f t="shared" si="45"/>
        <v>1651</v>
      </c>
      <c r="K349" s="456"/>
      <c r="L349" s="1062" t="s">
        <v>1917</v>
      </c>
      <c r="M349" s="906" t="s">
        <v>276</v>
      </c>
    </row>
    <row r="350" spans="1:13" ht="24" customHeight="1">
      <c r="A350" s="170"/>
      <c r="B350" s="1063" t="s">
        <v>672</v>
      </c>
      <c r="C350" s="1064" t="s">
        <v>676</v>
      </c>
      <c r="D350" s="1065">
        <v>6</v>
      </c>
      <c r="E350" s="153" t="s">
        <v>5</v>
      </c>
      <c r="F350" s="497">
        <v>5075</v>
      </c>
      <c r="G350" s="1051">
        <f t="shared" si="46"/>
        <v>1522.5</v>
      </c>
      <c r="H350" s="1052">
        <f t="shared" si="43"/>
        <v>30450</v>
      </c>
      <c r="I350" s="1052">
        <f t="shared" si="44"/>
        <v>9135</v>
      </c>
      <c r="J350" s="1052">
        <f t="shared" si="45"/>
        <v>39585</v>
      </c>
      <c r="K350" s="456"/>
      <c r="L350" s="1062" t="s">
        <v>1917</v>
      </c>
      <c r="M350" s="906" t="s">
        <v>276</v>
      </c>
    </row>
    <row r="351" spans="1:13" ht="24" customHeight="1">
      <c r="A351" s="157"/>
      <c r="B351" s="1034" t="s">
        <v>673</v>
      </c>
      <c r="C351" s="1060" t="s">
        <v>675</v>
      </c>
      <c r="D351" s="1061">
        <v>3</v>
      </c>
      <c r="E351" s="901" t="s">
        <v>5</v>
      </c>
      <c r="F351" s="165">
        <v>6960</v>
      </c>
      <c r="G351" s="1046">
        <f t="shared" si="46"/>
        <v>2088</v>
      </c>
      <c r="H351" s="296">
        <f t="shared" si="43"/>
        <v>20880</v>
      </c>
      <c r="I351" s="296">
        <f t="shared" si="44"/>
        <v>6264</v>
      </c>
      <c r="J351" s="296">
        <f t="shared" si="45"/>
        <v>27144</v>
      </c>
      <c r="K351" s="456"/>
      <c r="L351" s="1062" t="s">
        <v>1917</v>
      </c>
      <c r="M351" s="906" t="s">
        <v>276</v>
      </c>
    </row>
    <row r="352" spans="1:13" ht="24" customHeight="1">
      <c r="A352" s="157"/>
      <c r="B352" s="1034" t="s">
        <v>674</v>
      </c>
      <c r="C352" s="1060" t="s">
        <v>677</v>
      </c>
      <c r="D352" s="1061">
        <v>3</v>
      </c>
      <c r="E352" s="901" t="s">
        <v>5</v>
      </c>
      <c r="F352" s="165">
        <v>6960</v>
      </c>
      <c r="G352" s="1046">
        <f t="shared" si="46"/>
        <v>2088</v>
      </c>
      <c r="H352" s="296">
        <f t="shared" si="43"/>
        <v>20880</v>
      </c>
      <c r="I352" s="296">
        <f t="shared" si="44"/>
        <v>6264</v>
      </c>
      <c r="J352" s="296">
        <f t="shared" si="45"/>
        <v>27144</v>
      </c>
      <c r="K352" s="456"/>
      <c r="L352" s="1062" t="s">
        <v>1917</v>
      </c>
      <c r="M352" s="906" t="s">
        <v>276</v>
      </c>
    </row>
    <row r="353" spans="1:13" ht="24" customHeight="1">
      <c r="A353" s="157"/>
      <c r="B353" s="1034" t="s">
        <v>703</v>
      </c>
      <c r="C353" s="1060" t="s">
        <v>707</v>
      </c>
      <c r="D353" s="1061">
        <v>1</v>
      </c>
      <c r="E353" s="901" t="s">
        <v>5</v>
      </c>
      <c r="F353" s="165">
        <v>595</v>
      </c>
      <c r="G353" s="1046">
        <f t="shared" si="46"/>
        <v>178.5</v>
      </c>
      <c r="H353" s="296">
        <f t="shared" si="43"/>
        <v>595</v>
      </c>
      <c r="I353" s="296">
        <f t="shared" si="44"/>
        <v>178.5</v>
      </c>
      <c r="J353" s="296">
        <f t="shared" si="45"/>
        <v>773.5</v>
      </c>
      <c r="K353" s="456"/>
      <c r="L353" s="1062" t="s">
        <v>1917</v>
      </c>
      <c r="M353" s="906" t="s">
        <v>276</v>
      </c>
    </row>
    <row r="354" spans="1:13" s="900" customFormat="1" ht="24" customHeight="1">
      <c r="A354" s="207"/>
      <c r="B354" s="1034" t="s">
        <v>704</v>
      </c>
      <c r="C354" s="1060" t="s">
        <v>708</v>
      </c>
      <c r="D354" s="1061">
        <v>1</v>
      </c>
      <c r="E354" s="901" t="s">
        <v>5</v>
      </c>
      <c r="F354" s="165">
        <v>595</v>
      </c>
      <c r="G354" s="1046">
        <f t="shared" si="46"/>
        <v>178.5</v>
      </c>
      <c r="H354" s="296">
        <f t="shared" si="43"/>
        <v>595</v>
      </c>
      <c r="I354" s="296">
        <f t="shared" si="44"/>
        <v>178.5</v>
      </c>
      <c r="J354" s="296">
        <f t="shared" si="45"/>
        <v>773.5</v>
      </c>
      <c r="K354" s="456"/>
      <c r="L354" s="1062" t="s">
        <v>1917</v>
      </c>
      <c r="M354" s="906" t="s">
        <v>276</v>
      </c>
    </row>
    <row r="355" spans="1:13" s="900" customFormat="1" ht="24" customHeight="1">
      <c r="A355" s="207"/>
      <c r="B355" s="1034" t="s">
        <v>705</v>
      </c>
      <c r="C355" s="1060" t="s">
        <v>709</v>
      </c>
      <c r="D355" s="1061">
        <v>1</v>
      </c>
      <c r="E355" s="901" t="s">
        <v>5</v>
      </c>
      <c r="F355" s="165">
        <v>595</v>
      </c>
      <c r="G355" s="1046">
        <f t="shared" si="46"/>
        <v>178.5</v>
      </c>
      <c r="H355" s="296">
        <f t="shared" si="43"/>
        <v>595</v>
      </c>
      <c r="I355" s="296">
        <f t="shared" si="44"/>
        <v>178.5</v>
      </c>
      <c r="J355" s="296">
        <f t="shared" si="45"/>
        <v>773.5</v>
      </c>
      <c r="K355" s="456"/>
      <c r="L355" s="1062" t="s">
        <v>1917</v>
      </c>
      <c r="M355" s="906" t="s">
        <v>276</v>
      </c>
    </row>
    <row r="356" spans="1:13" s="900" customFormat="1" ht="24" customHeight="1">
      <c r="A356" s="207"/>
      <c r="B356" s="1034" t="s">
        <v>706</v>
      </c>
      <c r="C356" s="1060" t="s">
        <v>710</v>
      </c>
      <c r="D356" s="1061">
        <v>2</v>
      </c>
      <c r="E356" s="901" t="s">
        <v>5</v>
      </c>
      <c r="F356" s="165">
        <v>1431.25</v>
      </c>
      <c r="G356" s="1046">
        <f t="shared" si="46"/>
        <v>429.375</v>
      </c>
      <c r="H356" s="296">
        <f t="shared" si="43"/>
        <v>2862.5</v>
      </c>
      <c r="I356" s="296">
        <f t="shared" si="44"/>
        <v>858.75</v>
      </c>
      <c r="J356" s="296">
        <f t="shared" si="45"/>
        <v>3721.25</v>
      </c>
      <c r="K356" s="456"/>
      <c r="L356" s="1062" t="s">
        <v>1917</v>
      </c>
      <c r="M356" s="906" t="s">
        <v>276</v>
      </c>
    </row>
    <row r="357" spans="1:13" ht="24" customHeight="1">
      <c r="A357" s="163" t="s">
        <v>637</v>
      </c>
      <c r="B357" s="2577" t="s">
        <v>714</v>
      </c>
      <c r="C357" s="2578"/>
      <c r="D357" s="160"/>
      <c r="E357" s="901"/>
      <c r="F357" s="1046"/>
      <c r="G357" s="1046"/>
      <c r="H357" s="296"/>
      <c r="I357" s="296"/>
      <c r="J357" s="296"/>
      <c r="K357" s="456"/>
      <c r="L357" s="159"/>
      <c r="M357" s="174"/>
    </row>
    <row r="358" spans="1:13" ht="24" customHeight="1">
      <c r="A358" s="157"/>
      <c r="B358" s="1034" t="s">
        <v>678</v>
      </c>
      <c r="C358" s="1060" t="s">
        <v>681</v>
      </c>
      <c r="D358" s="1061">
        <v>1</v>
      </c>
      <c r="E358" s="901" t="s">
        <v>5</v>
      </c>
      <c r="F358" s="165">
        <v>15400</v>
      </c>
      <c r="G358" s="1046">
        <f>F358*0.3</f>
        <v>4620</v>
      </c>
      <c r="H358" s="296">
        <f t="shared" si="43"/>
        <v>15400</v>
      </c>
      <c r="I358" s="296">
        <f t="shared" si="44"/>
        <v>4620</v>
      </c>
      <c r="J358" s="296">
        <f t="shared" si="45"/>
        <v>20020</v>
      </c>
      <c r="K358" s="456"/>
      <c r="L358" s="1062" t="s">
        <v>1917</v>
      </c>
      <c r="M358" s="906" t="s">
        <v>276</v>
      </c>
    </row>
    <row r="359" spans="1:13" s="900" customFormat="1" ht="24" customHeight="1">
      <c r="A359" s="207"/>
      <c r="B359" s="1034" t="s">
        <v>679</v>
      </c>
      <c r="C359" s="1060" t="s">
        <v>732</v>
      </c>
      <c r="D359" s="1061">
        <v>1</v>
      </c>
      <c r="E359" s="901" t="s">
        <v>5</v>
      </c>
      <c r="F359" s="165">
        <v>450</v>
      </c>
      <c r="G359" s="1046">
        <f t="shared" ref="G359:G380" si="47">F359*0.3</f>
        <v>135</v>
      </c>
      <c r="H359" s="296">
        <f t="shared" si="43"/>
        <v>450</v>
      </c>
      <c r="I359" s="296">
        <f t="shared" si="44"/>
        <v>135</v>
      </c>
      <c r="J359" s="296">
        <f t="shared" si="45"/>
        <v>585</v>
      </c>
      <c r="K359" s="456"/>
      <c r="L359" s="1062" t="s">
        <v>1917</v>
      </c>
      <c r="M359" s="906" t="s">
        <v>276</v>
      </c>
    </row>
    <row r="360" spans="1:13" s="900" customFormat="1" ht="24" customHeight="1">
      <c r="A360" s="207"/>
      <c r="B360" s="1034" t="s">
        <v>682</v>
      </c>
      <c r="C360" s="1060" t="s">
        <v>1201</v>
      </c>
      <c r="D360" s="1061">
        <v>1</v>
      </c>
      <c r="E360" s="901" t="s">
        <v>5</v>
      </c>
      <c r="F360" s="165">
        <v>4500</v>
      </c>
      <c r="G360" s="1046">
        <f t="shared" si="47"/>
        <v>1350</v>
      </c>
      <c r="H360" s="296">
        <f t="shared" si="43"/>
        <v>4500</v>
      </c>
      <c r="I360" s="296">
        <f t="shared" si="44"/>
        <v>1350</v>
      </c>
      <c r="J360" s="296">
        <f t="shared" si="45"/>
        <v>5850</v>
      </c>
      <c r="K360" s="456"/>
      <c r="L360" s="1062" t="s">
        <v>1917</v>
      </c>
      <c r="M360" s="906" t="s">
        <v>276</v>
      </c>
    </row>
    <row r="361" spans="1:13" ht="24" customHeight="1" thickBot="1">
      <c r="A361" s="157"/>
      <c r="B361" s="1034" t="s">
        <v>687</v>
      </c>
      <c r="C361" s="1060" t="s">
        <v>685</v>
      </c>
      <c r="D361" s="1061">
        <v>1</v>
      </c>
      <c r="E361" s="901" t="s">
        <v>5</v>
      </c>
      <c r="F361" s="165">
        <v>850</v>
      </c>
      <c r="G361" s="1046">
        <f t="shared" si="47"/>
        <v>255</v>
      </c>
      <c r="H361" s="296">
        <f t="shared" si="43"/>
        <v>850</v>
      </c>
      <c r="I361" s="296">
        <f t="shared" si="44"/>
        <v>255</v>
      </c>
      <c r="J361" s="296">
        <f t="shared" si="45"/>
        <v>1105</v>
      </c>
      <c r="K361" s="456"/>
      <c r="L361" s="1062" t="s">
        <v>1917</v>
      </c>
      <c r="M361" s="906" t="s">
        <v>276</v>
      </c>
    </row>
    <row r="362" spans="1:13" ht="24" customHeight="1" thickTop="1">
      <c r="A362" s="1066"/>
      <c r="B362" s="1066"/>
      <c r="C362" s="1066"/>
      <c r="D362" s="1066"/>
      <c r="E362" s="1066"/>
      <c r="F362" s="1066"/>
      <c r="G362" s="1066"/>
      <c r="H362" s="1066"/>
      <c r="I362" s="1066"/>
      <c r="J362" s="1066"/>
      <c r="K362" s="1066"/>
      <c r="L362" s="1062"/>
      <c r="M362" s="906"/>
    </row>
    <row r="363" spans="1:13" ht="24" customHeight="1">
      <c r="A363" s="139"/>
      <c r="B363" s="881" t="s">
        <v>133</v>
      </c>
      <c r="C363" s="175"/>
      <c r="D363" s="1644"/>
      <c r="E363" s="177"/>
      <c r="F363" s="177"/>
      <c r="G363" s="265"/>
      <c r="H363" s="265"/>
      <c r="I363" s="265"/>
      <c r="J363" s="265"/>
      <c r="K363" s="265"/>
      <c r="L363" s="1062"/>
      <c r="M363" s="906"/>
    </row>
    <row r="364" spans="1:13" ht="24" customHeight="1">
      <c r="A364" s="139"/>
      <c r="B364" s="1638" t="s">
        <v>1769</v>
      </c>
      <c r="C364" s="137"/>
      <c r="D364" s="137"/>
      <c r="E364" s="173"/>
      <c r="F364" s="1638" t="s">
        <v>134</v>
      </c>
      <c r="G364" s="137"/>
      <c r="H364" s="137"/>
      <c r="I364" s="137"/>
      <c r="J364" s="137"/>
      <c r="K364" s="137"/>
      <c r="L364" s="1062"/>
      <c r="M364" s="906"/>
    </row>
    <row r="365" spans="1:13" ht="24" customHeight="1">
      <c r="A365" s="139"/>
      <c r="B365" s="174" t="s">
        <v>1970</v>
      </c>
      <c r="C365" s="137"/>
      <c r="D365" s="137"/>
      <c r="E365" s="1638"/>
      <c r="F365" s="227" t="s">
        <v>1971</v>
      </c>
      <c r="G365" s="137"/>
      <c r="H365" s="768"/>
      <c r="I365" s="768"/>
      <c r="J365" s="768"/>
      <c r="K365" s="768"/>
      <c r="L365" s="1062"/>
      <c r="M365" s="906"/>
    </row>
    <row r="366" spans="1:13" ht="24" customHeight="1">
      <c r="A366" s="139"/>
      <c r="B366" s="1638" t="s">
        <v>2031</v>
      </c>
      <c r="C366" s="137"/>
      <c r="D366" s="137"/>
      <c r="E366" s="174"/>
      <c r="F366" s="1638" t="s">
        <v>2031</v>
      </c>
      <c r="G366" s="137"/>
      <c r="H366" s="1638"/>
      <c r="I366" s="1638"/>
      <c r="J366" s="1638"/>
      <c r="K366" s="1638"/>
      <c r="L366" s="1062"/>
      <c r="M366" s="906"/>
    </row>
    <row r="367" spans="1:13" ht="24" customHeight="1">
      <c r="A367" s="139"/>
      <c r="B367" s="174" t="s">
        <v>1984</v>
      </c>
      <c r="C367" s="137"/>
      <c r="D367" s="137"/>
      <c r="E367" s="174"/>
      <c r="F367" s="174" t="s">
        <v>1985</v>
      </c>
      <c r="G367" s="137"/>
      <c r="L367" s="1062"/>
      <c r="M367" s="906"/>
    </row>
    <row r="368" spans="1:13" ht="24" customHeight="1">
      <c r="A368" s="139"/>
      <c r="B368" s="1638" t="s">
        <v>670</v>
      </c>
      <c r="D368" s="1638"/>
      <c r="E368" s="1638"/>
      <c r="F368" s="137"/>
      <c r="H368" s="137"/>
      <c r="I368" s="137"/>
      <c r="J368" s="137"/>
      <c r="K368" s="137"/>
      <c r="L368" s="1062"/>
      <c r="M368" s="906"/>
    </row>
    <row r="369" spans="1:13" ht="24" customHeight="1">
      <c r="A369" s="137"/>
      <c r="B369" s="174" t="s">
        <v>1972</v>
      </c>
      <c r="D369" s="174"/>
      <c r="E369" s="174"/>
      <c r="F369" s="1640"/>
      <c r="H369" s="1638"/>
      <c r="I369" s="1638"/>
      <c r="J369" s="1638"/>
      <c r="K369" s="1638"/>
      <c r="L369" s="1062"/>
      <c r="M369" s="906"/>
    </row>
    <row r="370" spans="1:13" ht="24" customHeight="1">
      <c r="A370" s="157"/>
      <c r="B370" s="1034" t="s">
        <v>691</v>
      </c>
      <c r="C370" s="1060" t="s">
        <v>1896</v>
      </c>
      <c r="D370" s="1061">
        <v>2</v>
      </c>
      <c r="E370" s="901" t="s">
        <v>5</v>
      </c>
      <c r="F370" s="165">
        <v>2030</v>
      </c>
      <c r="G370" s="1046">
        <f t="shared" si="47"/>
        <v>609</v>
      </c>
      <c r="H370" s="296">
        <f>D370*F370</f>
        <v>4060</v>
      </c>
      <c r="I370" s="296">
        <f>D370*G370</f>
        <v>1218</v>
      </c>
      <c r="J370" s="296">
        <f>H370+I370</f>
        <v>5278</v>
      </c>
      <c r="K370" s="456"/>
      <c r="L370" s="1062" t="s">
        <v>1917</v>
      </c>
      <c r="M370" s="906" t="s">
        <v>276</v>
      </c>
    </row>
    <row r="371" spans="1:13" ht="24" customHeight="1">
      <c r="A371" s="157"/>
      <c r="B371" s="1034" t="s">
        <v>691</v>
      </c>
      <c r="C371" s="1060" t="s">
        <v>1894</v>
      </c>
      <c r="D371" s="1061">
        <v>5</v>
      </c>
      <c r="E371" s="901" t="s">
        <v>5</v>
      </c>
      <c r="F371" s="165">
        <v>2900</v>
      </c>
      <c r="G371" s="1046">
        <f t="shared" si="47"/>
        <v>870</v>
      </c>
      <c r="H371" s="296">
        <f t="shared" si="43"/>
        <v>14500</v>
      </c>
      <c r="I371" s="296">
        <f t="shared" si="44"/>
        <v>4350</v>
      </c>
      <c r="J371" s="296">
        <f t="shared" si="45"/>
        <v>18850</v>
      </c>
      <c r="K371" s="456"/>
      <c r="L371" s="1062" t="s">
        <v>1917</v>
      </c>
      <c r="M371" s="906" t="s">
        <v>276</v>
      </c>
    </row>
    <row r="372" spans="1:13" ht="24" customHeight="1">
      <c r="A372" s="157"/>
      <c r="B372" s="1034" t="s">
        <v>731</v>
      </c>
      <c r="C372" s="1060" t="s">
        <v>692</v>
      </c>
      <c r="D372" s="1061">
        <v>1</v>
      </c>
      <c r="E372" s="901" t="s">
        <v>5</v>
      </c>
      <c r="F372" s="165">
        <v>1250</v>
      </c>
      <c r="G372" s="1046">
        <f t="shared" si="47"/>
        <v>375</v>
      </c>
      <c r="H372" s="296">
        <f t="shared" si="43"/>
        <v>1250</v>
      </c>
      <c r="I372" s="296">
        <f t="shared" si="44"/>
        <v>375</v>
      </c>
      <c r="J372" s="296">
        <f t="shared" si="45"/>
        <v>1625</v>
      </c>
      <c r="K372" s="456"/>
      <c r="L372" s="1062" t="s">
        <v>1917</v>
      </c>
      <c r="M372" s="906" t="s">
        <v>276</v>
      </c>
    </row>
    <row r="373" spans="1:13" ht="24" customHeight="1">
      <c r="A373" s="157"/>
      <c r="B373" s="1034" t="s">
        <v>680</v>
      </c>
      <c r="C373" s="1060" t="s">
        <v>1895</v>
      </c>
      <c r="D373" s="1061">
        <v>2</v>
      </c>
      <c r="E373" s="901" t="s">
        <v>5</v>
      </c>
      <c r="F373" s="165">
        <v>635</v>
      </c>
      <c r="G373" s="1046">
        <f t="shared" si="47"/>
        <v>190.5</v>
      </c>
      <c r="H373" s="296">
        <f t="shared" si="43"/>
        <v>1270</v>
      </c>
      <c r="I373" s="296">
        <f t="shared" si="44"/>
        <v>381</v>
      </c>
      <c r="J373" s="296">
        <f t="shared" si="45"/>
        <v>1651</v>
      </c>
      <c r="K373" s="456"/>
      <c r="L373" s="1062" t="s">
        <v>1917</v>
      </c>
      <c r="M373" s="906" t="s">
        <v>276</v>
      </c>
    </row>
    <row r="374" spans="1:13" ht="24" customHeight="1">
      <c r="A374" s="157"/>
      <c r="B374" s="1034" t="s">
        <v>672</v>
      </c>
      <c r="C374" s="1060" t="s">
        <v>676</v>
      </c>
      <c r="D374" s="1061">
        <v>6</v>
      </c>
      <c r="E374" s="901" t="s">
        <v>5</v>
      </c>
      <c r="F374" s="165">
        <v>5075</v>
      </c>
      <c r="G374" s="1046">
        <f t="shared" si="47"/>
        <v>1522.5</v>
      </c>
      <c r="H374" s="296">
        <f t="shared" si="43"/>
        <v>30450</v>
      </c>
      <c r="I374" s="296">
        <f t="shared" si="44"/>
        <v>9135</v>
      </c>
      <c r="J374" s="296">
        <f t="shared" si="45"/>
        <v>39585</v>
      </c>
      <c r="K374" s="456"/>
      <c r="L374" s="1062" t="s">
        <v>1917</v>
      </c>
      <c r="M374" s="906" t="s">
        <v>276</v>
      </c>
    </row>
    <row r="375" spans="1:13" ht="24" customHeight="1">
      <c r="A375" s="157"/>
      <c r="B375" s="1034" t="s">
        <v>673</v>
      </c>
      <c r="C375" s="1060" t="s">
        <v>675</v>
      </c>
      <c r="D375" s="1061">
        <v>3</v>
      </c>
      <c r="E375" s="901" t="s">
        <v>5</v>
      </c>
      <c r="F375" s="165">
        <v>6960</v>
      </c>
      <c r="G375" s="1046">
        <f t="shared" si="47"/>
        <v>2088</v>
      </c>
      <c r="H375" s="296">
        <f t="shared" si="43"/>
        <v>20880</v>
      </c>
      <c r="I375" s="296">
        <f t="shared" si="44"/>
        <v>6264</v>
      </c>
      <c r="J375" s="296">
        <f t="shared" si="45"/>
        <v>27144</v>
      </c>
      <c r="K375" s="456"/>
      <c r="L375" s="1062" t="s">
        <v>1917</v>
      </c>
      <c r="M375" s="906" t="s">
        <v>276</v>
      </c>
    </row>
    <row r="376" spans="1:13" ht="24" customHeight="1">
      <c r="A376" s="157"/>
      <c r="B376" s="1034" t="s">
        <v>674</v>
      </c>
      <c r="C376" s="1060" t="s">
        <v>677</v>
      </c>
      <c r="D376" s="1061">
        <v>3</v>
      </c>
      <c r="E376" s="901" t="s">
        <v>5</v>
      </c>
      <c r="F376" s="165">
        <v>6960</v>
      </c>
      <c r="G376" s="1046">
        <f t="shared" si="47"/>
        <v>2088</v>
      </c>
      <c r="H376" s="296">
        <f t="shared" si="43"/>
        <v>20880</v>
      </c>
      <c r="I376" s="296">
        <f t="shared" si="44"/>
        <v>6264</v>
      </c>
      <c r="J376" s="296">
        <f t="shared" si="45"/>
        <v>27144</v>
      </c>
      <c r="K376" s="456"/>
      <c r="L376" s="1062" t="s">
        <v>1917</v>
      </c>
      <c r="M376" s="906" t="s">
        <v>276</v>
      </c>
    </row>
    <row r="377" spans="1:13" s="900" customFormat="1" ht="24" customHeight="1">
      <c r="A377" s="207"/>
      <c r="B377" s="1034" t="s">
        <v>703</v>
      </c>
      <c r="C377" s="1060" t="s">
        <v>707</v>
      </c>
      <c r="D377" s="1061">
        <v>1</v>
      </c>
      <c r="E377" s="901" t="s">
        <v>5</v>
      </c>
      <c r="F377" s="165">
        <v>595</v>
      </c>
      <c r="G377" s="1046">
        <f t="shared" si="47"/>
        <v>178.5</v>
      </c>
      <c r="H377" s="296">
        <f t="shared" si="43"/>
        <v>595</v>
      </c>
      <c r="I377" s="296">
        <f t="shared" si="44"/>
        <v>178.5</v>
      </c>
      <c r="J377" s="296">
        <f t="shared" si="45"/>
        <v>773.5</v>
      </c>
      <c r="K377" s="456"/>
      <c r="L377" s="1062" t="s">
        <v>1917</v>
      </c>
      <c r="M377" s="906" t="s">
        <v>276</v>
      </c>
    </row>
    <row r="378" spans="1:13" s="900" customFormat="1" ht="24" customHeight="1">
      <c r="A378" s="207"/>
      <c r="B378" s="1034" t="s">
        <v>704</v>
      </c>
      <c r="C378" s="1060" t="s">
        <v>708</v>
      </c>
      <c r="D378" s="1061">
        <v>1</v>
      </c>
      <c r="E378" s="901" t="s">
        <v>5</v>
      </c>
      <c r="F378" s="165">
        <v>595</v>
      </c>
      <c r="G378" s="1046">
        <f t="shared" si="47"/>
        <v>178.5</v>
      </c>
      <c r="H378" s="296">
        <f t="shared" si="43"/>
        <v>595</v>
      </c>
      <c r="I378" s="296">
        <f t="shared" si="44"/>
        <v>178.5</v>
      </c>
      <c r="J378" s="296">
        <f t="shared" si="45"/>
        <v>773.5</v>
      </c>
      <c r="K378" s="456"/>
      <c r="L378" s="1062" t="s">
        <v>1917</v>
      </c>
      <c r="M378" s="906" t="s">
        <v>276</v>
      </c>
    </row>
    <row r="379" spans="1:13" s="900" customFormat="1" ht="24" customHeight="1">
      <c r="A379" s="207"/>
      <c r="B379" s="1034" t="s">
        <v>705</v>
      </c>
      <c r="C379" s="1060" t="s">
        <v>709</v>
      </c>
      <c r="D379" s="1061">
        <v>1</v>
      </c>
      <c r="E379" s="901" t="s">
        <v>5</v>
      </c>
      <c r="F379" s="165">
        <v>595</v>
      </c>
      <c r="G379" s="1046">
        <f t="shared" si="47"/>
        <v>178.5</v>
      </c>
      <c r="H379" s="296">
        <f t="shared" si="43"/>
        <v>595</v>
      </c>
      <c r="I379" s="296">
        <f t="shared" si="44"/>
        <v>178.5</v>
      </c>
      <c r="J379" s="296">
        <f t="shared" si="45"/>
        <v>773.5</v>
      </c>
      <c r="K379" s="456"/>
      <c r="L379" s="1062" t="s">
        <v>1917</v>
      </c>
      <c r="M379" s="906" t="s">
        <v>276</v>
      </c>
    </row>
    <row r="380" spans="1:13" s="900" customFormat="1" ht="24" customHeight="1">
      <c r="A380" s="207"/>
      <c r="B380" s="1034" t="s">
        <v>706</v>
      </c>
      <c r="C380" s="1060" t="s">
        <v>710</v>
      </c>
      <c r="D380" s="1061">
        <v>2</v>
      </c>
      <c r="E380" s="901" t="s">
        <v>5</v>
      </c>
      <c r="F380" s="165">
        <v>1431.25</v>
      </c>
      <c r="G380" s="1046">
        <f t="shared" si="47"/>
        <v>429.375</v>
      </c>
      <c r="H380" s="296">
        <f t="shared" si="43"/>
        <v>2862.5</v>
      </c>
      <c r="I380" s="296">
        <f t="shared" si="44"/>
        <v>858.75</v>
      </c>
      <c r="J380" s="296">
        <f t="shared" si="45"/>
        <v>3721.25</v>
      </c>
      <c r="K380" s="456"/>
      <c r="L380" s="1062" t="s">
        <v>1917</v>
      </c>
      <c r="M380" s="906" t="s">
        <v>276</v>
      </c>
    </row>
    <row r="381" spans="1:13" ht="24" customHeight="1">
      <c r="A381" s="163" t="s">
        <v>638</v>
      </c>
      <c r="B381" s="2577" t="s">
        <v>713</v>
      </c>
      <c r="C381" s="2578"/>
      <c r="D381" s="160"/>
      <c r="E381" s="901"/>
      <c r="F381" s="1046"/>
      <c r="G381" s="1046"/>
      <c r="H381" s="296"/>
      <c r="I381" s="296"/>
      <c r="J381" s="296"/>
      <c r="K381" s="456"/>
      <c r="L381" s="159"/>
      <c r="M381" s="174"/>
    </row>
    <row r="382" spans="1:13" ht="24" customHeight="1">
      <c r="A382" s="157"/>
      <c r="B382" s="1034" t="s">
        <v>678</v>
      </c>
      <c r="C382" s="1060" t="s">
        <v>681</v>
      </c>
      <c r="D382" s="1061">
        <v>1</v>
      </c>
      <c r="E382" s="901" t="s">
        <v>5</v>
      </c>
      <c r="F382" s="165">
        <v>15400</v>
      </c>
      <c r="G382" s="1046">
        <f>F382*0.3</f>
        <v>4620</v>
      </c>
      <c r="H382" s="296">
        <f t="shared" si="43"/>
        <v>15400</v>
      </c>
      <c r="I382" s="296">
        <f t="shared" si="44"/>
        <v>4620</v>
      </c>
      <c r="J382" s="296">
        <f t="shared" si="45"/>
        <v>20020</v>
      </c>
      <c r="K382" s="456"/>
      <c r="L382" s="1062" t="s">
        <v>1917</v>
      </c>
      <c r="M382" s="906" t="s">
        <v>276</v>
      </c>
    </row>
    <row r="383" spans="1:13" ht="24" customHeight="1">
      <c r="A383" s="157"/>
      <c r="B383" s="1034" t="s">
        <v>679</v>
      </c>
      <c r="C383" s="1060" t="s">
        <v>732</v>
      </c>
      <c r="D383" s="1061">
        <v>1</v>
      </c>
      <c r="E383" s="901" t="s">
        <v>5</v>
      </c>
      <c r="F383" s="165">
        <v>450</v>
      </c>
      <c r="G383" s="1046">
        <f t="shared" ref="G383:G404" si="48">F383*0.3</f>
        <v>135</v>
      </c>
      <c r="H383" s="296">
        <f t="shared" si="43"/>
        <v>450</v>
      </c>
      <c r="I383" s="296">
        <f t="shared" si="44"/>
        <v>135</v>
      </c>
      <c r="J383" s="296">
        <f t="shared" si="45"/>
        <v>585</v>
      </c>
      <c r="K383" s="456"/>
      <c r="L383" s="1062" t="s">
        <v>1917</v>
      </c>
      <c r="M383" s="906" t="s">
        <v>276</v>
      </c>
    </row>
    <row r="384" spans="1:13" ht="24" customHeight="1">
      <c r="A384" s="157"/>
      <c r="B384" s="1034" t="s">
        <v>682</v>
      </c>
      <c r="C384" s="1060" t="s">
        <v>1201</v>
      </c>
      <c r="D384" s="1061">
        <v>1</v>
      </c>
      <c r="E384" s="901" t="s">
        <v>5</v>
      </c>
      <c r="F384" s="165">
        <v>4500</v>
      </c>
      <c r="G384" s="1046">
        <f t="shared" si="48"/>
        <v>1350</v>
      </c>
      <c r="H384" s="296">
        <f t="shared" si="43"/>
        <v>4500</v>
      </c>
      <c r="I384" s="296">
        <f t="shared" si="44"/>
        <v>1350</v>
      </c>
      <c r="J384" s="296">
        <f t="shared" si="45"/>
        <v>5850</v>
      </c>
      <c r="K384" s="456"/>
      <c r="L384" s="1062" t="s">
        <v>1917</v>
      </c>
      <c r="M384" s="906" t="s">
        <v>276</v>
      </c>
    </row>
    <row r="385" spans="1:13" ht="24" customHeight="1">
      <c r="A385" s="157"/>
      <c r="B385" s="1034" t="s">
        <v>687</v>
      </c>
      <c r="C385" s="1060" t="s">
        <v>685</v>
      </c>
      <c r="D385" s="1061">
        <v>1</v>
      </c>
      <c r="E385" s="901" t="s">
        <v>5</v>
      </c>
      <c r="F385" s="165">
        <v>850</v>
      </c>
      <c r="G385" s="1046">
        <f t="shared" si="48"/>
        <v>255</v>
      </c>
      <c r="H385" s="296">
        <f t="shared" si="43"/>
        <v>850</v>
      </c>
      <c r="I385" s="296">
        <f t="shared" si="44"/>
        <v>255</v>
      </c>
      <c r="J385" s="296">
        <f t="shared" si="45"/>
        <v>1105</v>
      </c>
      <c r="K385" s="456"/>
      <c r="L385" s="1062" t="s">
        <v>1917</v>
      </c>
      <c r="M385" s="906" t="s">
        <v>276</v>
      </c>
    </row>
    <row r="386" spans="1:13" ht="24" customHeight="1">
      <c r="A386" s="157"/>
      <c r="B386" s="1034" t="s">
        <v>691</v>
      </c>
      <c r="C386" s="1060" t="s">
        <v>1896</v>
      </c>
      <c r="D386" s="1061">
        <v>2</v>
      </c>
      <c r="E386" s="901" t="s">
        <v>5</v>
      </c>
      <c r="F386" s="165">
        <v>2030</v>
      </c>
      <c r="G386" s="1046">
        <f t="shared" si="48"/>
        <v>609</v>
      </c>
      <c r="H386" s="296">
        <f>D386*F386</f>
        <v>4060</v>
      </c>
      <c r="I386" s="296">
        <f>D386*G386</f>
        <v>1218</v>
      </c>
      <c r="J386" s="296">
        <f>H386+I386</f>
        <v>5278</v>
      </c>
      <c r="K386" s="456"/>
      <c r="L386" s="1062" t="s">
        <v>1917</v>
      </c>
      <c r="M386" s="906" t="s">
        <v>276</v>
      </c>
    </row>
    <row r="387" spans="1:13" ht="24" customHeight="1">
      <c r="A387" s="157"/>
      <c r="B387" s="1034" t="s">
        <v>691</v>
      </c>
      <c r="C387" s="1060" t="s">
        <v>1894</v>
      </c>
      <c r="D387" s="1061">
        <v>7</v>
      </c>
      <c r="E387" s="901" t="s">
        <v>5</v>
      </c>
      <c r="F387" s="165">
        <v>2900</v>
      </c>
      <c r="G387" s="1046">
        <f t="shared" si="48"/>
        <v>870</v>
      </c>
      <c r="H387" s="296">
        <f t="shared" ref="H387:H436" si="49">D387*F387</f>
        <v>20300</v>
      </c>
      <c r="I387" s="296">
        <f t="shared" ref="I387:I436" si="50">D387*G387</f>
        <v>6090</v>
      </c>
      <c r="J387" s="296">
        <f t="shared" ref="J387:J436" si="51">H387+I387</f>
        <v>26390</v>
      </c>
      <c r="K387" s="456"/>
      <c r="L387" s="1062" t="s">
        <v>1917</v>
      </c>
      <c r="M387" s="906" t="s">
        <v>276</v>
      </c>
    </row>
    <row r="388" spans="1:13" ht="24" customHeight="1">
      <c r="A388" s="157"/>
      <c r="B388" s="1034" t="s">
        <v>731</v>
      </c>
      <c r="C388" s="1060" t="s">
        <v>692</v>
      </c>
      <c r="D388" s="1061">
        <v>1</v>
      </c>
      <c r="E388" s="901" t="s">
        <v>5</v>
      </c>
      <c r="F388" s="165">
        <v>1250</v>
      </c>
      <c r="G388" s="1046">
        <f t="shared" si="48"/>
        <v>375</v>
      </c>
      <c r="H388" s="296">
        <f t="shared" si="49"/>
        <v>1250</v>
      </c>
      <c r="I388" s="296">
        <f t="shared" si="50"/>
        <v>375</v>
      </c>
      <c r="J388" s="296">
        <f t="shared" si="51"/>
        <v>1625</v>
      </c>
      <c r="K388" s="456"/>
      <c r="L388" s="1062" t="s">
        <v>1917</v>
      </c>
      <c r="M388" s="906" t="s">
        <v>276</v>
      </c>
    </row>
    <row r="389" spans="1:13" ht="24" customHeight="1">
      <c r="A389" s="157"/>
      <c r="B389" s="1034" t="s">
        <v>680</v>
      </c>
      <c r="C389" s="1060" t="s">
        <v>1895</v>
      </c>
      <c r="D389" s="1061">
        <v>2</v>
      </c>
      <c r="E389" s="901" t="s">
        <v>5</v>
      </c>
      <c r="F389" s="165">
        <v>635</v>
      </c>
      <c r="G389" s="1046">
        <f t="shared" si="48"/>
        <v>190.5</v>
      </c>
      <c r="H389" s="296">
        <f t="shared" si="49"/>
        <v>1270</v>
      </c>
      <c r="I389" s="296">
        <f t="shared" si="50"/>
        <v>381</v>
      </c>
      <c r="J389" s="296">
        <f t="shared" si="51"/>
        <v>1651</v>
      </c>
      <c r="K389" s="456"/>
      <c r="L389" s="1062" t="s">
        <v>1917</v>
      </c>
      <c r="M389" s="906" t="s">
        <v>276</v>
      </c>
    </row>
    <row r="390" spans="1:13" ht="24" customHeight="1">
      <c r="A390" s="157"/>
      <c r="B390" s="1034" t="s">
        <v>672</v>
      </c>
      <c r="C390" s="1060" t="s">
        <v>676</v>
      </c>
      <c r="D390" s="1061">
        <v>6</v>
      </c>
      <c r="E390" s="901" t="s">
        <v>5</v>
      </c>
      <c r="F390" s="165">
        <v>5075</v>
      </c>
      <c r="G390" s="1046">
        <f t="shared" si="48"/>
        <v>1522.5</v>
      </c>
      <c r="H390" s="296">
        <f t="shared" si="49"/>
        <v>30450</v>
      </c>
      <c r="I390" s="296">
        <f t="shared" si="50"/>
        <v>9135</v>
      </c>
      <c r="J390" s="296">
        <f t="shared" si="51"/>
        <v>39585</v>
      </c>
      <c r="K390" s="456"/>
      <c r="L390" s="1062" t="s">
        <v>1917</v>
      </c>
      <c r="M390" s="906" t="s">
        <v>276</v>
      </c>
    </row>
    <row r="391" spans="1:13" ht="24" customHeight="1">
      <c r="A391" s="170"/>
      <c r="B391" s="1063" t="s">
        <v>673</v>
      </c>
      <c r="C391" s="1064" t="s">
        <v>675</v>
      </c>
      <c r="D391" s="1065">
        <v>3</v>
      </c>
      <c r="E391" s="153" t="s">
        <v>5</v>
      </c>
      <c r="F391" s="497">
        <v>6960</v>
      </c>
      <c r="G391" s="1051">
        <f t="shared" si="48"/>
        <v>2088</v>
      </c>
      <c r="H391" s="1052">
        <f t="shared" si="49"/>
        <v>20880</v>
      </c>
      <c r="I391" s="1052">
        <f t="shared" si="50"/>
        <v>6264</v>
      </c>
      <c r="J391" s="1052">
        <f t="shared" si="51"/>
        <v>27144</v>
      </c>
      <c r="K391" s="456"/>
      <c r="L391" s="1062" t="s">
        <v>1917</v>
      </c>
      <c r="M391" s="906" t="s">
        <v>276</v>
      </c>
    </row>
    <row r="392" spans="1:13" ht="24" customHeight="1">
      <c r="A392" s="157"/>
      <c r="B392" s="1034" t="s">
        <v>674</v>
      </c>
      <c r="C392" s="1060" t="s">
        <v>677</v>
      </c>
      <c r="D392" s="1061">
        <v>3</v>
      </c>
      <c r="E392" s="901" t="s">
        <v>5</v>
      </c>
      <c r="F392" s="165">
        <v>6960</v>
      </c>
      <c r="G392" s="1046">
        <f t="shared" si="48"/>
        <v>2088</v>
      </c>
      <c r="H392" s="296">
        <f t="shared" si="49"/>
        <v>20880</v>
      </c>
      <c r="I392" s="296">
        <f t="shared" si="50"/>
        <v>6264</v>
      </c>
      <c r="J392" s="296">
        <f t="shared" si="51"/>
        <v>27144</v>
      </c>
      <c r="K392" s="456"/>
      <c r="L392" s="1062" t="s">
        <v>1917</v>
      </c>
      <c r="M392" s="906" t="s">
        <v>276</v>
      </c>
    </row>
    <row r="393" spans="1:13" s="900" customFormat="1" ht="24" customHeight="1" thickBot="1">
      <c r="A393" s="207"/>
      <c r="B393" s="1034" t="s">
        <v>703</v>
      </c>
      <c r="C393" s="1060" t="s">
        <v>707</v>
      </c>
      <c r="D393" s="1061">
        <v>1</v>
      </c>
      <c r="E393" s="901" t="s">
        <v>5</v>
      </c>
      <c r="F393" s="165">
        <v>595</v>
      </c>
      <c r="G393" s="1046">
        <f t="shared" si="48"/>
        <v>178.5</v>
      </c>
      <c r="H393" s="296">
        <f t="shared" si="49"/>
        <v>595</v>
      </c>
      <c r="I393" s="296">
        <f t="shared" si="50"/>
        <v>178.5</v>
      </c>
      <c r="J393" s="296">
        <f t="shared" si="51"/>
        <v>773.5</v>
      </c>
      <c r="K393" s="456"/>
      <c r="L393" s="1062" t="s">
        <v>1917</v>
      </c>
      <c r="M393" s="906" t="s">
        <v>276</v>
      </c>
    </row>
    <row r="394" spans="1:13" s="900" customFormat="1" ht="24" customHeight="1" thickTop="1">
      <c r="A394" s="1066"/>
      <c r="B394" s="1066"/>
      <c r="C394" s="1066"/>
      <c r="D394" s="1066"/>
      <c r="E394" s="1066"/>
      <c r="F394" s="1066"/>
      <c r="G394" s="1066"/>
      <c r="H394" s="1066"/>
      <c r="I394" s="1066"/>
      <c r="J394" s="1066"/>
      <c r="K394" s="1066"/>
      <c r="L394" s="1062"/>
      <c r="M394" s="906"/>
    </row>
    <row r="395" spans="1:13" s="900" customFormat="1" ht="24" customHeight="1">
      <c r="A395" s="139"/>
      <c r="B395" s="881" t="s">
        <v>133</v>
      </c>
      <c r="C395" s="175"/>
      <c r="D395" s="1644"/>
      <c r="E395" s="177"/>
      <c r="F395" s="177"/>
      <c r="G395" s="265"/>
      <c r="H395" s="265"/>
      <c r="I395" s="265"/>
      <c r="J395" s="265"/>
      <c r="K395" s="265"/>
      <c r="L395" s="1062"/>
      <c r="M395" s="906"/>
    </row>
    <row r="396" spans="1:13" s="900" customFormat="1" ht="24" customHeight="1">
      <c r="A396" s="139"/>
      <c r="B396" s="1638" t="s">
        <v>1769</v>
      </c>
      <c r="C396" s="137"/>
      <c r="D396" s="137"/>
      <c r="E396" s="173"/>
      <c r="F396" s="1638" t="s">
        <v>134</v>
      </c>
      <c r="G396" s="137"/>
      <c r="H396" s="137"/>
      <c r="I396" s="137"/>
      <c r="J396" s="137"/>
      <c r="K396" s="137"/>
      <c r="L396" s="1062"/>
      <c r="M396" s="906"/>
    </row>
    <row r="397" spans="1:13" s="900" customFormat="1" ht="24" customHeight="1">
      <c r="A397" s="139"/>
      <c r="B397" s="174" t="s">
        <v>1970</v>
      </c>
      <c r="C397" s="137"/>
      <c r="D397" s="137"/>
      <c r="E397" s="1638"/>
      <c r="F397" s="227" t="s">
        <v>1971</v>
      </c>
      <c r="G397" s="137"/>
      <c r="H397" s="768"/>
      <c r="I397" s="768"/>
      <c r="J397" s="768"/>
      <c r="K397" s="768"/>
      <c r="L397" s="1062"/>
      <c r="M397" s="906"/>
    </row>
    <row r="398" spans="1:13" s="900" customFormat="1" ht="24" customHeight="1">
      <c r="A398" s="139"/>
      <c r="B398" s="1638" t="s">
        <v>2031</v>
      </c>
      <c r="C398" s="137"/>
      <c r="D398" s="137"/>
      <c r="E398" s="174"/>
      <c r="F398" s="1638" t="s">
        <v>2031</v>
      </c>
      <c r="G398" s="137"/>
      <c r="H398" s="1638"/>
      <c r="I398" s="1638"/>
      <c r="J398" s="1638"/>
      <c r="K398" s="1638"/>
      <c r="L398" s="1062"/>
      <c r="M398" s="906"/>
    </row>
    <row r="399" spans="1:13" s="900" customFormat="1" ht="24" customHeight="1">
      <c r="A399" s="139"/>
      <c r="B399" s="174" t="s">
        <v>1984</v>
      </c>
      <c r="C399" s="137"/>
      <c r="D399" s="137"/>
      <c r="E399" s="174"/>
      <c r="F399" s="174" t="s">
        <v>1985</v>
      </c>
      <c r="G399" s="137"/>
      <c r="H399" s="174"/>
      <c r="I399" s="174"/>
      <c r="J399" s="174"/>
      <c r="K399" s="174"/>
      <c r="L399" s="1062"/>
      <c r="M399" s="906"/>
    </row>
    <row r="400" spans="1:13" s="900" customFormat="1" ht="24" customHeight="1">
      <c r="A400" s="139"/>
      <c r="B400" s="1638" t="s">
        <v>670</v>
      </c>
      <c r="C400" s="143"/>
      <c r="D400" s="1638"/>
      <c r="E400" s="1638"/>
      <c r="F400" s="137"/>
      <c r="G400" s="174"/>
      <c r="H400" s="137"/>
      <c r="I400" s="137"/>
      <c r="J400" s="137"/>
      <c r="K400" s="137"/>
      <c r="L400" s="1062"/>
      <c r="M400" s="906"/>
    </row>
    <row r="401" spans="1:13" s="900" customFormat="1" ht="24" customHeight="1">
      <c r="A401" s="137"/>
      <c r="B401" s="174" t="s">
        <v>1972</v>
      </c>
      <c r="C401" s="143"/>
      <c r="D401" s="174"/>
      <c r="E401" s="174"/>
      <c r="F401" s="1640"/>
      <c r="G401" s="174"/>
      <c r="H401" s="1638"/>
      <c r="I401" s="1638"/>
      <c r="J401" s="1638"/>
      <c r="K401" s="1638"/>
      <c r="L401" s="1062"/>
      <c r="M401" s="906"/>
    </row>
    <row r="402" spans="1:13" s="900" customFormat="1" ht="24" customHeight="1">
      <c r="A402" s="207"/>
      <c r="B402" s="1034" t="s">
        <v>704</v>
      </c>
      <c r="C402" s="1060" t="s">
        <v>708</v>
      </c>
      <c r="D402" s="1061">
        <v>1</v>
      </c>
      <c r="E402" s="901" t="s">
        <v>5</v>
      </c>
      <c r="F402" s="165">
        <v>595</v>
      </c>
      <c r="G402" s="1046">
        <f t="shared" si="48"/>
        <v>178.5</v>
      </c>
      <c r="H402" s="296">
        <f t="shared" si="49"/>
        <v>595</v>
      </c>
      <c r="I402" s="296">
        <f t="shared" si="50"/>
        <v>178.5</v>
      </c>
      <c r="J402" s="296">
        <f t="shared" si="51"/>
        <v>773.5</v>
      </c>
      <c r="K402" s="456"/>
      <c r="L402" s="1062" t="s">
        <v>1917</v>
      </c>
      <c r="M402" s="906" t="s">
        <v>276</v>
      </c>
    </row>
    <row r="403" spans="1:13" s="900" customFormat="1" ht="24" customHeight="1">
      <c r="A403" s="207"/>
      <c r="B403" s="1034" t="s">
        <v>705</v>
      </c>
      <c r="C403" s="1060" t="s">
        <v>709</v>
      </c>
      <c r="D403" s="1061">
        <v>1</v>
      </c>
      <c r="E403" s="901" t="s">
        <v>5</v>
      </c>
      <c r="F403" s="165">
        <v>595</v>
      </c>
      <c r="G403" s="1046">
        <f t="shared" si="48"/>
        <v>178.5</v>
      </c>
      <c r="H403" s="296">
        <f t="shared" si="49"/>
        <v>595</v>
      </c>
      <c r="I403" s="296">
        <f t="shared" si="50"/>
        <v>178.5</v>
      </c>
      <c r="J403" s="296">
        <f t="shared" si="51"/>
        <v>773.5</v>
      </c>
      <c r="K403" s="456"/>
      <c r="L403" s="1062" t="s">
        <v>1917</v>
      </c>
      <c r="M403" s="906" t="s">
        <v>276</v>
      </c>
    </row>
    <row r="404" spans="1:13" s="900" customFormat="1" ht="24" customHeight="1">
      <c r="A404" s="207"/>
      <c r="B404" s="1034" t="s">
        <v>706</v>
      </c>
      <c r="C404" s="1060" t="s">
        <v>710</v>
      </c>
      <c r="D404" s="1061">
        <v>2</v>
      </c>
      <c r="E404" s="901" t="s">
        <v>5</v>
      </c>
      <c r="F404" s="165">
        <v>1431.25</v>
      </c>
      <c r="G404" s="1046">
        <f t="shared" si="48"/>
        <v>429.375</v>
      </c>
      <c r="H404" s="296">
        <f t="shared" si="49"/>
        <v>2862.5</v>
      </c>
      <c r="I404" s="296">
        <f t="shared" si="50"/>
        <v>858.75</v>
      </c>
      <c r="J404" s="296">
        <f t="shared" si="51"/>
        <v>3721.25</v>
      </c>
      <c r="K404" s="456"/>
      <c r="L404" s="1062" t="s">
        <v>1917</v>
      </c>
      <c r="M404" s="906" t="s">
        <v>276</v>
      </c>
    </row>
    <row r="405" spans="1:13" ht="24" customHeight="1">
      <c r="A405" s="163" t="s">
        <v>639</v>
      </c>
      <c r="B405" s="2577" t="s">
        <v>712</v>
      </c>
      <c r="C405" s="2578"/>
      <c r="D405" s="160"/>
      <c r="E405" s="901"/>
      <c r="F405" s="1046"/>
      <c r="G405" s="1046"/>
      <c r="H405" s="296"/>
      <c r="I405" s="296"/>
      <c r="J405" s="296"/>
      <c r="K405" s="456"/>
      <c r="L405" s="159"/>
      <c r="M405" s="174"/>
    </row>
    <row r="406" spans="1:13" ht="24" customHeight="1">
      <c r="A406" s="157"/>
      <c r="B406" s="1034" t="s">
        <v>678</v>
      </c>
      <c r="C406" s="1060" t="s">
        <v>681</v>
      </c>
      <c r="D406" s="1061">
        <v>1</v>
      </c>
      <c r="E406" s="901" t="s">
        <v>5</v>
      </c>
      <c r="F406" s="165">
        <v>15400</v>
      </c>
      <c r="G406" s="1046">
        <f>F406*0.3</f>
        <v>4620</v>
      </c>
      <c r="H406" s="296">
        <f t="shared" si="49"/>
        <v>15400</v>
      </c>
      <c r="I406" s="296">
        <f t="shared" si="50"/>
        <v>4620</v>
      </c>
      <c r="J406" s="296">
        <f t="shared" si="51"/>
        <v>20020</v>
      </c>
      <c r="K406" s="456"/>
      <c r="L406" s="1062" t="s">
        <v>1917</v>
      </c>
      <c r="M406" s="906" t="s">
        <v>276</v>
      </c>
    </row>
    <row r="407" spans="1:13" s="900" customFormat="1" ht="24" customHeight="1">
      <c r="A407" s="207"/>
      <c r="B407" s="1034" t="s">
        <v>679</v>
      </c>
      <c r="C407" s="1060" t="s">
        <v>732</v>
      </c>
      <c r="D407" s="1061">
        <v>1</v>
      </c>
      <c r="E407" s="901" t="s">
        <v>5</v>
      </c>
      <c r="F407" s="165">
        <v>450</v>
      </c>
      <c r="G407" s="1046">
        <f t="shared" ref="G407:G420" si="52">F407*0.3</f>
        <v>135</v>
      </c>
      <c r="H407" s="296">
        <f t="shared" si="49"/>
        <v>450</v>
      </c>
      <c r="I407" s="296">
        <f t="shared" si="50"/>
        <v>135</v>
      </c>
      <c r="J407" s="296">
        <f t="shared" si="51"/>
        <v>585</v>
      </c>
      <c r="K407" s="456"/>
      <c r="L407" s="1062" t="s">
        <v>1917</v>
      </c>
      <c r="M407" s="906" t="s">
        <v>276</v>
      </c>
    </row>
    <row r="408" spans="1:13" s="900" customFormat="1" ht="24" customHeight="1">
      <c r="A408" s="207"/>
      <c r="B408" s="1034" t="s">
        <v>682</v>
      </c>
      <c r="C408" s="1060" t="s">
        <v>1201</v>
      </c>
      <c r="D408" s="1061">
        <v>1</v>
      </c>
      <c r="E408" s="901" t="s">
        <v>5</v>
      </c>
      <c r="F408" s="165">
        <v>4500</v>
      </c>
      <c r="G408" s="1046">
        <f t="shared" si="52"/>
        <v>1350</v>
      </c>
      <c r="H408" s="296">
        <f t="shared" si="49"/>
        <v>4500</v>
      </c>
      <c r="I408" s="296">
        <f t="shared" si="50"/>
        <v>1350</v>
      </c>
      <c r="J408" s="296">
        <f t="shared" si="51"/>
        <v>5850</v>
      </c>
      <c r="K408" s="456"/>
      <c r="L408" s="1062" t="s">
        <v>1917</v>
      </c>
      <c r="M408" s="906" t="s">
        <v>276</v>
      </c>
    </row>
    <row r="409" spans="1:13" ht="24" customHeight="1">
      <c r="A409" s="157"/>
      <c r="B409" s="1034" t="s">
        <v>687</v>
      </c>
      <c r="C409" s="1060" t="s">
        <v>685</v>
      </c>
      <c r="D409" s="1061">
        <v>1</v>
      </c>
      <c r="E409" s="901" t="s">
        <v>5</v>
      </c>
      <c r="F409" s="165">
        <v>850</v>
      </c>
      <c r="G409" s="1046">
        <f t="shared" si="52"/>
        <v>255</v>
      </c>
      <c r="H409" s="296">
        <f t="shared" si="49"/>
        <v>850</v>
      </c>
      <c r="I409" s="296">
        <f t="shared" si="50"/>
        <v>255</v>
      </c>
      <c r="J409" s="296">
        <f t="shared" si="51"/>
        <v>1105</v>
      </c>
      <c r="K409" s="456"/>
      <c r="L409" s="1062" t="s">
        <v>1917</v>
      </c>
      <c r="M409" s="906" t="s">
        <v>276</v>
      </c>
    </row>
    <row r="410" spans="1:13" ht="24" customHeight="1">
      <c r="A410" s="157"/>
      <c r="B410" s="1034" t="s">
        <v>691</v>
      </c>
      <c r="C410" s="1060" t="s">
        <v>1896</v>
      </c>
      <c r="D410" s="1061">
        <v>2</v>
      </c>
      <c r="E410" s="901" t="s">
        <v>5</v>
      </c>
      <c r="F410" s="165">
        <v>2030</v>
      </c>
      <c r="G410" s="1046">
        <f t="shared" si="52"/>
        <v>609</v>
      </c>
      <c r="H410" s="296">
        <f>D410*F410</f>
        <v>4060</v>
      </c>
      <c r="I410" s="296">
        <f>D410*G410</f>
        <v>1218</v>
      </c>
      <c r="J410" s="296">
        <f>H410+I410</f>
        <v>5278</v>
      </c>
      <c r="K410" s="456"/>
      <c r="L410" s="1062" t="s">
        <v>1917</v>
      </c>
      <c r="M410" s="906" t="s">
        <v>276</v>
      </c>
    </row>
    <row r="411" spans="1:13" ht="24" customHeight="1">
      <c r="A411" s="157"/>
      <c r="B411" s="1034" t="s">
        <v>691</v>
      </c>
      <c r="C411" s="1060" t="s">
        <v>1894</v>
      </c>
      <c r="D411" s="1061">
        <v>7</v>
      </c>
      <c r="E411" s="901" t="s">
        <v>5</v>
      </c>
      <c r="F411" s="165">
        <v>2900</v>
      </c>
      <c r="G411" s="1046">
        <f t="shared" si="52"/>
        <v>870</v>
      </c>
      <c r="H411" s="296">
        <f t="shared" si="49"/>
        <v>20300</v>
      </c>
      <c r="I411" s="296">
        <f t="shared" si="50"/>
        <v>6090</v>
      </c>
      <c r="J411" s="296">
        <f t="shared" si="51"/>
        <v>26390</v>
      </c>
      <c r="K411" s="456"/>
      <c r="L411" s="1062" t="s">
        <v>1917</v>
      </c>
      <c r="M411" s="906" t="s">
        <v>276</v>
      </c>
    </row>
    <row r="412" spans="1:13" ht="24" customHeight="1">
      <c r="A412" s="157"/>
      <c r="B412" s="1034" t="s">
        <v>731</v>
      </c>
      <c r="C412" s="1060" t="s">
        <v>692</v>
      </c>
      <c r="D412" s="1061">
        <v>1</v>
      </c>
      <c r="E412" s="901" t="s">
        <v>5</v>
      </c>
      <c r="F412" s="165">
        <v>1250</v>
      </c>
      <c r="G412" s="1046">
        <f t="shared" si="52"/>
        <v>375</v>
      </c>
      <c r="H412" s="296">
        <f t="shared" si="49"/>
        <v>1250</v>
      </c>
      <c r="I412" s="296">
        <f t="shared" si="50"/>
        <v>375</v>
      </c>
      <c r="J412" s="296">
        <f t="shared" si="51"/>
        <v>1625</v>
      </c>
      <c r="K412" s="456"/>
      <c r="L412" s="1062" t="s">
        <v>1917</v>
      </c>
      <c r="M412" s="906" t="s">
        <v>276</v>
      </c>
    </row>
    <row r="413" spans="1:13" ht="24" customHeight="1">
      <c r="A413" s="157"/>
      <c r="B413" s="1034" t="s">
        <v>680</v>
      </c>
      <c r="C413" s="1060" t="s">
        <v>1895</v>
      </c>
      <c r="D413" s="1061">
        <v>2</v>
      </c>
      <c r="E413" s="901" t="s">
        <v>5</v>
      </c>
      <c r="F413" s="165">
        <v>635</v>
      </c>
      <c r="G413" s="1046">
        <f t="shared" si="52"/>
        <v>190.5</v>
      </c>
      <c r="H413" s="296">
        <f t="shared" si="49"/>
        <v>1270</v>
      </c>
      <c r="I413" s="296">
        <f t="shared" si="50"/>
        <v>381</v>
      </c>
      <c r="J413" s="296">
        <f t="shared" si="51"/>
        <v>1651</v>
      </c>
      <c r="K413" s="456"/>
      <c r="L413" s="1062" t="s">
        <v>1917</v>
      </c>
      <c r="M413" s="906" t="s">
        <v>276</v>
      </c>
    </row>
    <row r="414" spans="1:13" ht="24" customHeight="1">
      <c r="A414" s="157"/>
      <c r="B414" s="1034" t="s">
        <v>672</v>
      </c>
      <c r="C414" s="1060" t="s">
        <v>676</v>
      </c>
      <c r="D414" s="1061">
        <v>6</v>
      </c>
      <c r="E414" s="901" t="s">
        <v>5</v>
      </c>
      <c r="F414" s="165">
        <v>5075</v>
      </c>
      <c r="G414" s="1046">
        <f t="shared" si="52"/>
        <v>1522.5</v>
      </c>
      <c r="H414" s="296">
        <f t="shared" si="49"/>
        <v>30450</v>
      </c>
      <c r="I414" s="296">
        <f t="shared" si="50"/>
        <v>9135</v>
      </c>
      <c r="J414" s="296">
        <f t="shared" si="51"/>
        <v>39585</v>
      </c>
      <c r="K414" s="456"/>
      <c r="L414" s="1062" t="s">
        <v>1917</v>
      </c>
      <c r="M414" s="906" t="s">
        <v>276</v>
      </c>
    </row>
    <row r="415" spans="1:13" ht="24" customHeight="1">
      <c r="A415" s="157"/>
      <c r="B415" s="1034" t="s">
        <v>673</v>
      </c>
      <c r="C415" s="1060" t="s">
        <v>675</v>
      </c>
      <c r="D415" s="1061">
        <v>3</v>
      </c>
      <c r="E415" s="901" t="s">
        <v>5</v>
      </c>
      <c r="F415" s="165">
        <v>6960</v>
      </c>
      <c r="G415" s="1046">
        <f t="shared" si="52"/>
        <v>2088</v>
      </c>
      <c r="H415" s="296">
        <f t="shared" si="49"/>
        <v>20880</v>
      </c>
      <c r="I415" s="296">
        <f t="shared" si="50"/>
        <v>6264</v>
      </c>
      <c r="J415" s="296">
        <f t="shared" si="51"/>
        <v>27144</v>
      </c>
      <c r="K415" s="456"/>
      <c r="L415" s="1062" t="s">
        <v>1917</v>
      </c>
      <c r="M415" s="906" t="s">
        <v>276</v>
      </c>
    </row>
    <row r="416" spans="1:13" ht="24" customHeight="1">
      <c r="A416" s="157"/>
      <c r="B416" s="1034" t="s">
        <v>674</v>
      </c>
      <c r="C416" s="1060" t="s">
        <v>677</v>
      </c>
      <c r="D416" s="1061">
        <v>3</v>
      </c>
      <c r="E416" s="901" t="s">
        <v>5</v>
      </c>
      <c r="F416" s="165">
        <v>6960</v>
      </c>
      <c r="G416" s="1046">
        <f t="shared" si="52"/>
        <v>2088</v>
      </c>
      <c r="H416" s="296">
        <f t="shared" si="49"/>
        <v>20880</v>
      </c>
      <c r="I416" s="296">
        <f t="shared" si="50"/>
        <v>6264</v>
      </c>
      <c r="J416" s="296">
        <f t="shared" si="51"/>
        <v>27144</v>
      </c>
      <c r="K416" s="456"/>
      <c r="L416" s="1062" t="s">
        <v>1917</v>
      </c>
      <c r="M416" s="906" t="s">
        <v>276</v>
      </c>
    </row>
    <row r="417" spans="1:13" s="900" customFormat="1" ht="24" customHeight="1">
      <c r="A417" s="207"/>
      <c r="B417" s="1034" t="s">
        <v>703</v>
      </c>
      <c r="C417" s="1060" t="s">
        <v>707</v>
      </c>
      <c r="D417" s="1061">
        <v>1</v>
      </c>
      <c r="E417" s="901" t="s">
        <v>5</v>
      </c>
      <c r="F417" s="165">
        <v>595</v>
      </c>
      <c r="G417" s="1046">
        <f t="shared" si="52"/>
        <v>178.5</v>
      </c>
      <c r="H417" s="296">
        <f t="shared" si="49"/>
        <v>595</v>
      </c>
      <c r="I417" s="296">
        <f t="shared" si="50"/>
        <v>178.5</v>
      </c>
      <c r="J417" s="296">
        <f t="shared" si="51"/>
        <v>773.5</v>
      </c>
      <c r="K417" s="456"/>
      <c r="L417" s="1062" t="s">
        <v>1917</v>
      </c>
      <c r="M417" s="906" t="s">
        <v>276</v>
      </c>
    </row>
    <row r="418" spans="1:13" s="900" customFormat="1" ht="24" customHeight="1">
      <c r="A418" s="207"/>
      <c r="B418" s="1034" t="s">
        <v>704</v>
      </c>
      <c r="C418" s="1060" t="s">
        <v>708</v>
      </c>
      <c r="D418" s="1061">
        <v>1</v>
      </c>
      <c r="E418" s="901" t="s">
        <v>5</v>
      </c>
      <c r="F418" s="165">
        <v>595</v>
      </c>
      <c r="G418" s="1046">
        <f t="shared" si="52"/>
        <v>178.5</v>
      </c>
      <c r="H418" s="296">
        <f t="shared" si="49"/>
        <v>595</v>
      </c>
      <c r="I418" s="296">
        <f t="shared" si="50"/>
        <v>178.5</v>
      </c>
      <c r="J418" s="296">
        <f t="shared" si="51"/>
        <v>773.5</v>
      </c>
      <c r="K418" s="456"/>
      <c r="L418" s="1062" t="s">
        <v>1917</v>
      </c>
      <c r="M418" s="906" t="s">
        <v>276</v>
      </c>
    </row>
    <row r="419" spans="1:13" s="900" customFormat="1" ht="24" customHeight="1">
      <c r="A419" s="207"/>
      <c r="B419" s="1034" t="s">
        <v>705</v>
      </c>
      <c r="C419" s="1060" t="s">
        <v>709</v>
      </c>
      <c r="D419" s="1061">
        <v>1</v>
      </c>
      <c r="E419" s="901" t="s">
        <v>5</v>
      </c>
      <c r="F419" s="165">
        <v>595</v>
      </c>
      <c r="G419" s="1046">
        <f t="shared" si="52"/>
        <v>178.5</v>
      </c>
      <c r="H419" s="296">
        <f t="shared" si="49"/>
        <v>595</v>
      </c>
      <c r="I419" s="296">
        <f t="shared" si="50"/>
        <v>178.5</v>
      </c>
      <c r="J419" s="296">
        <f t="shared" si="51"/>
        <v>773.5</v>
      </c>
      <c r="K419" s="456"/>
      <c r="L419" s="1062" t="s">
        <v>1917</v>
      </c>
      <c r="M419" s="906" t="s">
        <v>276</v>
      </c>
    </row>
    <row r="420" spans="1:13" s="900" customFormat="1" ht="24" customHeight="1">
      <c r="A420" s="207"/>
      <c r="B420" s="1034" t="s">
        <v>706</v>
      </c>
      <c r="C420" s="1060" t="s">
        <v>710</v>
      </c>
      <c r="D420" s="1061">
        <v>2</v>
      </c>
      <c r="E420" s="901" t="s">
        <v>5</v>
      </c>
      <c r="F420" s="165">
        <v>1431.25</v>
      </c>
      <c r="G420" s="1046">
        <f t="shared" si="52"/>
        <v>429.375</v>
      </c>
      <c r="H420" s="296">
        <f t="shared" si="49"/>
        <v>2862.5</v>
      </c>
      <c r="I420" s="296">
        <f t="shared" si="50"/>
        <v>858.75</v>
      </c>
      <c r="J420" s="296">
        <f t="shared" si="51"/>
        <v>3721.25</v>
      </c>
      <c r="K420" s="456"/>
      <c r="L420" s="1062" t="s">
        <v>1917</v>
      </c>
      <c r="M420" s="906" t="s">
        <v>276</v>
      </c>
    </row>
    <row r="421" spans="1:13" ht="24" customHeight="1">
      <c r="A421" s="163" t="s">
        <v>640</v>
      </c>
      <c r="B421" s="2577" t="s">
        <v>711</v>
      </c>
      <c r="C421" s="2578"/>
      <c r="D421" s="160"/>
      <c r="E421" s="901"/>
      <c r="F421" s="1046"/>
      <c r="G421" s="1046"/>
      <c r="H421" s="296"/>
      <c r="I421" s="296"/>
      <c r="J421" s="296"/>
      <c r="K421" s="456"/>
      <c r="L421" s="159"/>
      <c r="M421" s="174"/>
    </row>
    <row r="422" spans="1:13" ht="24" customHeight="1">
      <c r="A422" s="157"/>
      <c r="B422" s="1034" t="s">
        <v>678</v>
      </c>
      <c r="C422" s="1060" t="s">
        <v>681</v>
      </c>
      <c r="D422" s="1061">
        <v>1</v>
      </c>
      <c r="E422" s="901" t="s">
        <v>5</v>
      </c>
      <c r="F422" s="165">
        <v>15400</v>
      </c>
      <c r="G422" s="1046">
        <f>F422*0.3</f>
        <v>4620</v>
      </c>
      <c r="H422" s="296">
        <f t="shared" si="49"/>
        <v>15400</v>
      </c>
      <c r="I422" s="296">
        <f t="shared" si="50"/>
        <v>4620</v>
      </c>
      <c r="J422" s="296">
        <f t="shared" si="51"/>
        <v>20020</v>
      </c>
      <c r="K422" s="456"/>
      <c r="L422" s="1062" t="s">
        <v>1917</v>
      </c>
      <c r="M422" s="906" t="s">
        <v>276</v>
      </c>
    </row>
    <row r="423" spans="1:13" s="900" customFormat="1" ht="24" customHeight="1">
      <c r="A423" s="207"/>
      <c r="B423" s="1034" t="s">
        <v>679</v>
      </c>
      <c r="C423" s="1060" t="s">
        <v>732</v>
      </c>
      <c r="D423" s="1061">
        <v>1</v>
      </c>
      <c r="E423" s="901" t="s">
        <v>5</v>
      </c>
      <c r="F423" s="165">
        <v>450</v>
      </c>
      <c r="G423" s="1046">
        <f t="shared" ref="G423:G472" si="53">F423*0.3</f>
        <v>135</v>
      </c>
      <c r="H423" s="296">
        <f t="shared" si="49"/>
        <v>450</v>
      </c>
      <c r="I423" s="296">
        <f t="shared" si="50"/>
        <v>135</v>
      </c>
      <c r="J423" s="296">
        <f t="shared" si="51"/>
        <v>585</v>
      </c>
      <c r="K423" s="456"/>
      <c r="L423" s="1062" t="s">
        <v>1917</v>
      </c>
      <c r="M423" s="906" t="s">
        <v>276</v>
      </c>
    </row>
    <row r="424" spans="1:13" s="900" customFormat="1" ht="24" customHeight="1">
      <c r="A424" s="207"/>
      <c r="B424" s="1034" t="s">
        <v>682</v>
      </c>
      <c r="C424" s="1060" t="s">
        <v>1201</v>
      </c>
      <c r="D424" s="1061">
        <v>1</v>
      </c>
      <c r="E424" s="901" t="s">
        <v>5</v>
      </c>
      <c r="F424" s="165">
        <v>4500</v>
      </c>
      <c r="G424" s="1046">
        <f t="shared" si="53"/>
        <v>1350</v>
      </c>
      <c r="H424" s="296">
        <f t="shared" si="49"/>
        <v>4500</v>
      </c>
      <c r="I424" s="296">
        <f t="shared" si="50"/>
        <v>1350</v>
      </c>
      <c r="J424" s="296">
        <f t="shared" si="51"/>
        <v>5850</v>
      </c>
      <c r="K424" s="456"/>
      <c r="L424" s="1062" t="s">
        <v>1917</v>
      </c>
      <c r="M424" s="906" t="s">
        <v>276</v>
      </c>
    </row>
    <row r="425" spans="1:13" ht="24" customHeight="1" thickBot="1">
      <c r="A425" s="157"/>
      <c r="B425" s="1034" t="s">
        <v>687</v>
      </c>
      <c r="C425" s="1060" t="s">
        <v>685</v>
      </c>
      <c r="D425" s="1061">
        <v>1</v>
      </c>
      <c r="E425" s="901" t="s">
        <v>5</v>
      </c>
      <c r="F425" s="165">
        <v>850</v>
      </c>
      <c r="G425" s="1046">
        <f t="shared" si="53"/>
        <v>255</v>
      </c>
      <c r="H425" s="296">
        <f t="shared" si="49"/>
        <v>850</v>
      </c>
      <c r="I425" s="296">
        <f t="shared" si="50"/>
        <v>255</v>
      </c>
      <c r="J425" s="296">
        <f t="shared" si="51"/>
        <v>1105</v>
      </c>
      <c r="K425" s="456"/>
      <c r="L425" s="1062" t="s">
        <v>1917</v>
      </c>
      <c r="M425" s="906" t="s">
        <v>276</v>
      </c>
    </row>
    <row r="426" spans="1:13" ht="24" customHeight="1" thickTop="1">
      <c r="A426" s="1066"/>
      <c r="B426" s="1066"/>
      <c r="C426" s="1066"/>
      <c r="D426" s="1066"/>
      <c r="E426" s="1066"/>
      <c r="F426" s="1066"/>
      <c r="G426" s="1066"/>
      <c r="H426" s="1066"/>
      <c r="I426" s="1066"/>
      <c r="J426" s="1066"/>
      <c r="K426" s="1066"/>
      <c r="L426" s="1062"/>
      <c r="M426" s="906"/>
    </row>
    <row r="427" spans="1:13" ht="24" customHeight="1">
      <c r="A427" s="139"/>
      <c r="B427" s="881" t="s">
        <v>133</v>
      </c>
      <c r="C427" s="175"/>
      <c r="D427" s="1644"/>
      <c r="E427" s="177"/>
      <c r="F427" s="177"/>
      <c r="G427" s="265"/>
      <c r="H427" s="265"/>
      <c r="I427" s="265"/>
      <c r="J427" s="265"/>
      <c r="K427" s="265"/>
      <c r="L427" s="1062"/>
      <c r="M427" s="906"/>
    </row>
    <row r="428" spans="1:13" ht="24" customHeight="1">
      <c r="A428" s="139"/>
      <c r="B428" s="1638" t="s">
        <v>1769</v>
      </c>
      <c r="C428" s="137"/>
      <c r="D428" s="137"/>
      <c r="E428" s="173"/>
      <c r="F428" s="1638" t="s">
        <v>134</v>
      </c>
      <c r="G428" s="137"/>
      <c r="H428" s="137"/>
      <c r="I428" s="137"/>
      <c r="J428" s="137"/>
      <c r="K428" s="137"/>
      <c r="L428" s="1062"/>
      <c r="M428" s="906"/>
    </row>
    <row r="429" spans="1:13" ht="24" customHeight="1">
      <c r="A429" s="139"/>
      <c r="B429" s="174" t="s">
        <v>1970</v>
      </c>
      <c r="C429" s="137"/>
      <c r="D429" s="137"/>
      <c r="E429" s="1638"/>
      <c r="F429" s="227" t="s">
        <v>1971</v>
      </c>
      <c r="G429" s="137"/>
      <c r="H429" s="768"/>
      <c r="I429" s="768"/>
      <c r="J429" s="768"/>
      <c r="K429" s="768"/>
      <c r="L429" s="1062"/>
      <c r="M429" s="906"/>
    </row>
    <row r="430" spans="1:13" ht="24" customHeight="1">
      <c r="A430" s="139"/>
      <c r="B430" s="1638" t="s">
        <v>2031</v>
      </c>
      <c r="C430" s="137"/>
      <c r="D430" s="137"/>
      <c r="E430" s="174"/>
      <c r="F430" s="1638" t="s">
        <v>2031</v>
      </c>
      <c r="G430" s="137"/>
      <c r="H430" s="1638"/>
      <c r="I430" s="1638"/>
      <c r="J430" s="1638"/>
      <c r="K430" s="1638"/>
      <c r="L430" s="1062"/>
      <c r="M430" s="906"/>
    </row>
    <row r="431" spans="1:13" ht="24" customHeight="1">
      <c r="A431" s="139"/>
      <c r="B431" s="174" t="s">
        <v>1984</v>
      </c>
      <c r="C431" s="137"/>
      <c r="D431" s="137"/>
      <c r="E431" s="174"/>
      <c r="F431" s="174" t="s">
        <v>1985</v>
      </c>
      <c r="G431" s="137"/>
      <c r="L431" s="1062"/>
      <c r="M431" s="906"/>
    </row>
    <row r="432" spans="1:13" ht="24" customHeight="1">
      <c r="A432" s="139"/>
      <c r="B432" s="1638" t="s">
        <v>670</v>
      </c>
      <c r="D432" s="1638"/>
      <c r="E432" s="1638"/>
      <c r="F432" s="137"/>
      <c r="H432" s="137"/>
      <c r="I432" s="137"/>
      <c r="J432" s="137"/>
      <c r="K432" s="137"/>
      <c r="L432" s="1062"/>
      <c r="M432" s="906"/>
    </row>
    <row r="433" spans="1:13" ht="24" customHeight="1">
      <c r="A433" s="137"/>
      <c r="B433" s="174" t="s">
        <v>1972</v>
      </c>
      <c r="D433" s="174"/>
      <c r="E433" s="174"/>
      <c r="F433" s="1640"/>
      <c r="H433" s="1638"/>
      <c r="I433" s="1638"/>
      <c r="J433" s="1638"/>
      <c r="K433" s="1638"/>
      <c r="L433" s="1062"/>
      <c r="M433" s="906"/>
    </row>
    <row r="434" spans="1:13" ht="24" customHeight="1">
      <c r="A434" s="157"/>
      <c r="B434" s="1034" t="s">
        <v>691</v>
      </c>
      <c r="C434" s="1060" t="s">
        <v>1896</v>
      </c>
      <c r="D434" s="1061">
        <v>2</v>
      </c>
      <c r="E434" s="901" t="s">
        <v>5</v>
      </c>
      <c r="F434" s="165">
        <v>2030</v>
      </c>
      <c r="G434" s="1046">
        <f t="shared" si="53"/>
        <v>609</v>
      </c>
      <c r="H434" s="296">
        <f>D434*F434</f>
        <v>4060</v>
      </c>
      <c r="I434" s="296">
        <f>D434*G434</f>
        <v>1218</v>
      </c>
      <c r="J434" s="296">
        <f>H434+I434</f>
        <v>5278</v>
      </c>
      <c r="K434" s="456"/>
      <c r="L434" s="1062" t="s">
        <v>1917</v>
      </c>
      <c r="M434" s="906" t="s">
        <v>276</v>
      </c>
    </row>
    <row r="435" spans="1:13" ht="24" customHeight="1">
      <c r="A435" s="157"/>
      <c r="B435" s="1034" t="s">
        <v>691</v>
      </c>
      <c r="C435" s="1060" t="s">
        <v>1894</v>
      </c>
      <c r="D435" s="1061">
        <v>7</v>
      </c>
      <c r="E435" s="901" t="s">
        <v>5</v>
      </c>
      <c r="F435" s="165">
        <v>2900</v>
      </c>
      <c r="G435" s="1046">
        <f t="shared" si="53"/>
        <v>870</v>
      </c>
      <c r="H435" s="296">
        <f t="shared" si="49"/>
        <v>20300</v>
      </c>
      <c r="I435" s="296">
        <f t="shared" si="50"/>
        <v>6090</v>
      </c>
      <c r="J435" s="296">
        <f t="shared" si="51"/>
        <v>26390</v>
      </c>
      <c r="K435" s="456"/>
      <c r="L435" s="1062" t="s">
        <v>1917</v>
      </c>
      <c r="M435" s="906" t="s">
        <v>276</v>
      </c>
    </row>
    <row r="436" spans="1:13" ht="24" customHeight="1">
      <c r="A436" s="157"/>
      <c r="B436" s="1034" t="s">
        <v>731</v>
      </c>
      <c r="C436" s="1060" t="s">
        <v>692</v>
      </c>
      <c r="D436" s="1061">
        <v>1</v>
      </c>
      <c r="E436" s="901" t="s">
        <v>5</v>
      </c>
      <c r="F436" s="165">
        <v>1250</v>
      </c>
      <c r="G436" s="1046">
        <f t="shared" si="53"/>
        <v>375</v>
      </c>
      <c r="H436" s="296">
        <f t="shared" si="49"/>
        <v>1250</v>
      </c>
      <c r="I436" s="296">
        <f t="shared" si="50"/>
        <v>375</v>
      </c>
      <c r="J436" s="296">
        <f t="shared" si="51"/>
        <v>1625</v>
      </c>
      <c r="K436" s="456"/>
      <c r="L436" s="1062" t="s">
        <v>1917</v>
      </c>
      <c r="M436" s="906" t="s">
        <v>276</v>
      </c>
    </row>
    <row r="437" spans="1:13" ht="24" customHeight="1">
      <c r="A437" s="157"/>
      <c r="B437" s="1034" t="s">
        <v>680</v>
      </c>
      <c r="C437" s="1060" t="s">
        <v>1895</v>
      </c>
      <c r="D437" s="1061">
        <v>2</v>
      </c>
      <c r="E437" s="901" t="s">
        <v>5</v>
      </c>
      <c r="F437" s="165">
        <v>635</v>
      </c>
      <c r="G437" s="1046">
        <f t="shared" si="53"/>
        <v>190.5</v>
      </c>
      <c r="H437" s="296">
        <f t="shared" ref="H437:H472" si="54">D437*F437</f>
        <v>1270</v>
      </c>
      <c r="I437" s="296">
        <f t="shared" ref="I437:I472" si="55">D437*G437</f>
        <v>381</v>
      </c>
      <c r="J437" s="296">
        <f t="shared" ref="J437:J472" si="56">H437+I437</f>
        <v>1651</v>
      </c>
      <c r="K437" s="456"/>
      <c r="L437" s="1062" t="s">
        <v>1917</v>
      </c>
      <c r="M437" s="906" t="s">
        <v>276</v>
      </c>
    </row>
    <row r="438" spans="1:13" ht="24" customHeight="1">
      <c r="A438" s="157"/>
      <c r="B438" s="1034" t="s">
        <v>672</v>
      </c>
      <c r="C438" s="1060" t="s">
        <v>676</v>
      </c>
      <c r="D438" s="1061">
        <v>6</v>
      </c>
      <c r="E438" s="901" t="s">
        <v>5</v>
      </c>
      <c r="F438" s="165">
        <v>5075</v>
      </c>
      <c r="G438" s="1046">
        <f t="shared" si="53"/>
        <v>1522.5</v>
      </c>
      <c r="H438" s="296">
        <f t="shared" si="54"/>
        <v>30450</v>
      </c>
      <c r="I438" s="296">
        <f t="shared" si="55"/>
        <v>9135</v>
      </c>
      <c r="J438" s="296">
        <f t="shared" si="56"/>
        <v>39585</v>
      </c>
      <c r="K438" s="456"/>
      <c r="L438" s="1062" t="s">
        <v>1917</v>
      </c>
      <c r="M438" s="906" t="s">
        <v>276</v>
      </c>
    </row>
    <row r="439" spans="1:13" ht="24" customHeight="1">
      <c r="A439" s="157"/>
      <c r="B439" s="1034" t="s">
        <v>673</v>
      </c>
      <c r="C439" s="1060" t="s">
        <v>675</v>
      </c>
      <c r="D439" s="1061">
        <v>3</v>
      </c>
      <c r="E439" s="901" t="s">
        <v>5</v>
      </c>
      <c r="F439" s="165">
        <v>6960</v>
      </c>
      <c r="G439" s="1046">
        <f t="shared" si="53"/>
        <v>2088</v>
      </c>
      <c r="H439" s="296">
        <f t="shared" si="54"/>
        <v>20880</v>
      </c>
      <c r="I439" s="296">
        <f t="shared" si="55"/>
        <v>6264</v>
      </c>
      <c r="J439" s="296">
        <f t="shared" si="56"/>
        <v>27144</v>
      </c>
      <c r="K439" s="456"/>
      <c r="L439" s="1062" t="s">
        <v>1917</v>
      </c>
      <c r="M439" s="906" t="s">
        <v>276</v>
      </c>
    </row>
    <row r="440" spans="1:13" ht="24" customHeight="1">
      <c r="A440" s="170"/>
      <c r="B440" s="1063" t="s">
        <v>674</v>
      </c>
      <c r="C440" s="1064" t="s">
        <v>677</v>
      </c>
      <c r="D440" s="1065">
        <v>3</v>
      </c>
      <c r="E440" s="153" t="s">
        <v>5</v>
      </c>
      <c r="F440" s="497">
        <v>6960</v>
      </c>
      <c r="G440" s="1051">
        <f t="shared" si="53"/>
        <v>2088</v>
      </c>
      <c r="H440" s="1052">
        <f t="shared" si="54"/>
        <v>20880</v>
      </c>
      <c r="I440" s="1052">
        <f t="shared" si="55"/>
        <v>6264</v>
      </c>
      <c r="J440" s="1052">
        <f t="shared" si="56"/>
        <v>27144</v>
      </c>
      <c r="K440" s="456"/>
      <c r="L440" s="1062" t="s">
        <v>1917</v>
      </c>
      <c r="M440" s="906" t="s">
        <v>276</v>
      </c>
    </row>
    <row r="441" spans="1:13" s="900" customFormat="1" ht="24" customHeight="1">
      <c r="A441" s="207"/>
      <c r="B441" s="1034" t="s">
        <v>703</v>
      </c>
      <c r="C441" s="1060" t="s">
        <v>707</v>
      </c>
      <c r="D441" s="1061">
        <v>1</v>
      </c>
      <c r="E441" s="901" t="s">
        <v>5</v>
      </c>
      <c r="F441" s="165">
        <v>595</v>
      </c>
      <c r="G441" s="1046">
        <f t="shared" si="53"/>
        <v>178.5</v>
      </c>
      <c r="H441" s="296">
        <f t="shared" si="54"/>
        <v>595</v>
      </c>
      <c r="I441" s="296">
        <f t="shared" si="55"/>
        <v>178.5</v>
      </c>
      <c r="J441" s="296">
        <f t="shared" si="56"/>
        <v>773.5</v>
      </c>
      <c r="K441" s="456"/>
      <c r="L441" s="1062" t="s">
        <v>1917</v>
      </c>
      <c r="M441" s="906" t="s">
        <v>276</v>
      </c>
    </row>
    <row r="442" spans="1:13" s="900" customFormat="1" ht="24" customHeight="1">
      <c r="A442" s="207"/>
      <c r="B442" s="1034" t="s">
        <v>704</v>
      </c>
      <c r="C442" s="1060" t="s">
        <v>708</v>
      </c>
      <c r="D442" s="1061">
        <v>1</v>
      </c>
      <c r="E442" s="901" t="s">
        <v>5</v>
      </c>
      <c r="F442" s="165">
        <v>595</v>
      </c>
      <c r="G442" s="1046">
        <f t="shared" si="53"/>
        <v>178.5</v>
      </c>
      <c r="H442" s="296">
        <f t="shared" si="54"/>
        <v>595</v>
      </c>
      <c r="I442" s="296">
        <f t="shared" si="55"/>
        <v>178.5</v>
      </c>
      <c r="J442" s="296">
        <f t="shared" si="56"/>
        <v>773.5</v>
      </c>
      <c r="K442" s="456"/>
      <c r="L442" s="1062" t="s">
        <v>1917</v>
      </c>
      <c r="M442" s="906" t="s">
        <v>276</v>
      </c>
    </row>
    <row r="443" spans="1:13" s="900" customFormat="1" ht="24" customHeight="1">
      <c r="A443" s="207"/>
      <c r="B443" s="1034" t="s">
        <v>705</v>
      </c>
      <c r="C443" s="1060" t="s">
        <v>709</v>
      </c>
      <c r="D443" s="1061">
        <v>1</v>
      </c>
      <c r="E443" s="901" t="s">
        <v>5</v>
      </c>
      <c r="F443" s="165">
        <v>595</v>
      </c>
      <c r="G443" s="1046">
        <f t="shared" si="53"/>
        <v>178.5</v>
      </c>
      <c r="H443" s="296">
        <f t="shared" si="54"/>
        <v>595</v>
      </c>
      <c r="I443" s="296">
        <f t="shared" si="55"/>
        <v>178.5</v>
      </c>
      <c r="J443" s="296">
        <f t="shared" si="56"/>
        <v>773.5</v>
      </c>
      <c r="K443" s="456"/>
      <c r="L443" s="1062" t="s">
        <v>1917</v>
      </c>
      <c r="M443" s="906" t="s">
        <v>276</v>
      </c>
    </row>
    <row r="444" spans="1:13" s="900" customFormat="1" ht="24" customHeight="1">
      <c r="A444" s="207"/>
      <c r="B444" s="1034" t="s">
        <v>706</v>
      </c>
      <c r="C444" s="1060" t="s">
        <v>710</v>
      </c>
      <c r="D444" s="1061">
        <v>2</v>
      </c>
      <c r="E444" s="901" t="s">
        <v>5</v>
      </c>
      <c r="F444" s="165">
        <v>1431.25</v>
      </c>
      <c r="G444" s="1046">
        <f t="shared" si="53"/>
        <v>429.375</v>
      </c>
      <c r="H444" s="296">
        <f t="shared" si="54"/>
        <v>2862.5</v>
      </c>
      <c r="I444" s="296">
        <f t="shared" si="55"/>
        <v>858.75</v>
      </c>
      <c r="J444" s="296">
        <f t="shared" si="56"/>
        <v>3721.25</v>
      </c>
      <c r="K444" s="456"/>
      <c r="L444" s="1062" t="s">
        <v>1917</v>
      </c>
      <c r="M444" s="906" t="s">
        <v>276</v>
      </c>
    </row>
    <row r="445" spans="1:13" s="900" customFormat="1" ht="24" customHeight="1">
      <c r="A445" s="1030" t="s">
        <v>719</v>
      </c>
      <c r="B445" s="863" t="s">
        <v>720</v>
      </c>
      <c r="C445" s="1060"/>
      <c r="D445" s="1061"/>
      <c r="E445" s="901"/>
      <c r="F445" s="165"/>
      <c r="G445" s="1046"/>
      <c r="H445" s="296"/>
      <c r="I445" s="296"/>
      <c r="J445" s="296"/>
      <c r="K445" s="456"/>
      <c r="L445" s="1062"/>
      <c r="M445" s="906"/>
    </row>
    <row r="446" spans="1:13" ht="24" customHeight="1">
      <c r="A446" s="157"/>
      <c r="B446" s="1034" t="s">
        <v>678</v>
      </c>
      <c r="C446" s="1060" t="s">
        <v>681</v>
      </c>
      <c r="D446" s="1061">
        <v>1</v>
      </c>
      <c r="E446" s="901" t="s">
        <v>5</v>
      </c>
      <c r="F446" s="165">
        <v>15400</v>
      </c>
      <c r="G446" s="1046">
        <f t="shared" si="53"/>
        <v>4620</v>
      </c>
      <c r="H446" s="296">
        <f t="shared" si="54"/>
        <v>15400</v>
      </c>
      <c r="I446" s="296">
        <f t="shared" si="55"/>
        <v>4620</v>
      </c>
      <c r="J446" s="296">
        <f t="shared" si="56"/>
        <v>20020</v>
      </c>
      <c r="K446" s="456"/>
      <c r="L446" s="1062" t="s">
        <v>1917</v>
      </c>
      <c r="M446" s="906" t="s">
        <v>276</v>
      </c>
    </row>
    <row r="447" spans="1:13" s="900" customFormat="1" ht="24" customHeight="1">
      <c r="A447" s="207"/>
      <c r="B447" s="1034" t="s">
        <v>679</v>
      </c>
      <c r="C447" s="1060" t="s">
        <v>732</v>
      </c>
      <c r="D447" s="1061">
        <v>1</v>
      </c>
      <c r="E447" s="901" t="s">
        <v>5</v>
      </c>
      <c r="F447" s="165">
        <v>450</v>
      </c>
      <c r="G447" s="1046">
        <f t="shared" si="53"/>
        <v>135</v>
      </c>
      <c r="H447" s="296">
        <f t="shared" si="54"/>
        <v>450</v>
      </c>
      <c r="I447" s="296">
        <f t="shared" si="55"/>
        <v>135</v>
      </c>
      <c r="J447" s="296">
        <f t="shared" si="56"/>
        <v>585</v>
      </c>
      <c r="K447" s="456"/>
      <c r="L447" s="1062" t="s">
        <v>1917</v>
      </c>
      <c r="M447" s="906" t="s">
        <v>276</v>
      </c>
    </row>
    <row r="448" spans="1:13" s="900" customFormat="1" ht="24" customHeight="1">
      <c r="A448" s="207"/>
      <c r="B448" s="1034" t="s">
        <v>682</v>
      </c>
      <c r="C448" s="1060" t="s">
        <v>1201</v>
      </c>
      <c r="D448" s="1061">
        <v>1</v>
      </c>
      <c r="E448" s="901" t="s">
        <v>5</v>
      </c>
      <c r="F448" s="165">
        <v>4500</v>
      </c>
      <c r="G448" s="1046">
        <f t="shared" si="53"/>
        <v>1350</v>
      </c>
      <c r="H448" s="296">
        <f t="shared" si="54"/>
        <v>4500</v>
      </c>
      <c r="I448" s="296">
        <f t="shared" si="55"/>
        <v>1350</v>
      </c>
      <c r="J448" s="296">
        <f t="shared" si="56"/>
        <v>5850</v>
      </c>
      <c r="K448" s="456"/>
      <c r="L448" s="1062" t="s">
        <v>1917</v>
      </c>
      <c r="M448" s="906" t="s">
        <v>276</v>
      </c>
    </row>
    <row r="449" spans="1:13" ht="24" customHeight="1">
      <c r="A449" s="157"/>
      <c r="B449" s="1034" t="s">
        <v>686</v>
      </c>
      <c r="C449" s="1060" t="s">
        <v>690</v>
      </c>
      <c r="D449" s="1061">
        <v>1</v>
      </c>
      <c r="E449" s="901" t="s">
        <v>5</v>
      </c>
      <c r="F449" s="165">
        <v>1650</v>
      </c>
      <c r="G449" s="1046">
        <f t="shared" si="53"/>
        <v>495</v>
      </c>
      <c r="H449" s="296">
        <f t="shared" si="54"/>
        <v>1650</v>
      </c>
      <c r="I449" s="296">
        <f t="shared" si="55"/>
        <v>495</v>
      </c>
      <c r="J449" s="296">
        <f t="shared" si="56"/>
        <v>2145</v>
      </c>
      <c r="K449" s="456"/>
      <c r="L449" s="1062" t="s">
        <v>1917</v>
      </c>
      <c r="M449" s="906" t="s">
        <v>276</v>
      </c>
    </row>
    <row r="450" spans="1:13" ht="24" customHeight="1">
      <c r="A450" s="157"/>
      <c r="B450" s="1034" t="s">
        <v>688</v>
      </c>
      <c r="C450" s="1060" t="s">
        <v>994</v>
      </c>
      <c r="D450" s="1061">
        <v>1</v>
      </c>
      <c r="E450" s="901" t="s">
        <v>5</v>
      </c>
      <c r="F450" s="165">
        <v>4640</v>
      </c>
      <c r="G450" s="1046">
        <f t="shared" si="53"/>
        <v>1392</v>
      </c>
      <c r="H450" s="296">
        <f t="shared" si="54"/>
        <v>4640</v>
      </c>
      <c r="I450" s="296">
        <f t="shared" si="55"/>
        <v>1392</v>
      </c>
      <c r="J450" s="296">
        <f t="shared" si="56"/>
        <v>6032</v>
      </c>
      <c r="K450" s="456"/>
      <c r="L450" s="1062" t="s">
        <v>1917</v>
      </c>
      <c r="M450" s="906" t="s">
        <v>276</v>
      </c>
    </row>
    <row r="451" spans="1:13" ht="24" customHeight="1">
      <c r="A451" s="157"/>
      <c r="B451" s="1034" t="s">
        <v>693</v>
      </c>
      <c r="C451" s="1060" t="s">
        <v>698</v>
      </c>
      <c r="D451" s="1061">
        <v>1</v>
      </c>
      <c r="E451" s="901" t="s">
        <v>5</v>
      </c>
      <c r="F451" s="165">
        <v>48575</v>
      </c>
      <c r="G451" s="1046">
        <f t="shared" si="53"/>
        <v>14572.5</v>
      </c>
      <c r="H451" s="296">
        <f t="shared" si="54"/>
        <v>48575</v>
      </c>
      <c r="I451" s="296">
        <f t="shared" si="55"/>
        <v>14572.5</v>
      </c>
      <c r="J451" s="296">
        <f t="shared" si="56"/>
        <v>63147.5</v>
      </c>
      <c r="K451" s="456"/>
      <c r="L451" s="1062" t="s">
        <v>1917</v>
      </c>
      <c r="M451" s="906" t="s">
        <v>276</v>
      </c>
    </row>
    <row r="452" spans="1:13" ht="24" customHeight="1">
      <c r="A452" s="157"/>
      <c r="B452" s="1034" t="s">
        <v>695</v>
      </c>
      <c r="C452" s="1060" t="s">
        <v>700</v>
      </c>
      <c r="D452" s="1061">
        <v>1</v>
      </c>
      <c r="E452" s="901" t="s">
        <v>5</v>
      </c>
      <c r="F452" s="165">
        <v>285200</v>
      </c>
      <c r="G452" s="1046">
        <f t="shared" si="53"/>
        <v>85560</v>
      </c>
      <c r="H452" s="296">
        <f t="shared" si="54"/>
        <v>285200</v>
      </c>
      <c r="I452" s="296">
        <f t="shared" si="55"/>
        <v>85560</v>
      </c>
      <c r="J452" s="296">
        <f t="shared" si="56"/>
        <v>370760</v>
      </c>
      <c r="K452" s="456"/>
      <c r="L452" s="1062" t="s">
        <v>1917</v>
      </c>
      <c r="M452" s="906" t="s">
        <v>276</v>
      </c>
    </row>
    <row r="453" spans="1:13" ht="24" customHeight="1">
      <c r="A453" s="157"/>
      <c r="B453" s="1034" t="s">
        <v>680</v>
      </c>
      <c r="C453" s="1060" t="s">
        <v>1895</v>
      </c>
      <c r="D453" s="1061">
        <v>3</v>
      </c>
      <c r="E453" s="901" t="s">
        <v>5</v>
      </c>
      <c r="F453" s="165">
        <v>635</v>
      </c>
      <c r="G453" s="1046">
        <f t="shared" si="53"/>
        <v>190.5</v>
      </c>
      <c r="H453" s="296">
        <f t="shared" si="54"/>
        <v>1905</v>
      </c>
      <c r="I453" s="296">
        <f t="shared" si="55"/>
        <v>571.5</v>
      </c>
      <c r="J453" s="296">
        <f t="shared" si="56"/>
        <v>2476.5</v>
      </c>
      <c r="K453" s="456"/>
      <c r="L453" s="1062" t="s">
        <v>1917</v>
      </c>
      <c r="M453" s="906" t="s">
        <v>276</v>
      </c>
    </row>
    <row r="454" spans="1:13" ht="24" customHeight="1">
      <c r="A454" s="157"/>
      <c r="B454" s="1034" t="s">
        <v>672</v>
      </c>
      <c r="C454" s="1060" t="s">
        <v>676</v>
      </c>
      <c r="D454" s="1061">
        <v>6</v>
      </c>
      <c r="E454" s="901" t="s">
        <v>5</v>
      </c>
      <c r="F454" s="165">
        <v>5075</v>
      </c>
      <c r="G454" s="1046">
        <f t="shared" si="53"/>
        <v>1522.5</v>
      </c>
      <c r="H454" s="296">
        <f t="shared" si="54"/>
        <v>30450</v>
      </c>
      <c r="I454" s="296">
        <f t="shared" si="55"/>
        <v>9135</v>
      </c>
      <c r="J454" s="296">
        <f t="shared" si="56"/>
        <v>39585</v>
      </c>
      <c r="K454" s="456"/>
      <c r="L454" s="1062" t="s">
        <v>1917</v>
      </c>
      <c r="M454" s="906" t="s">
        <v>276</v>
      </c>
    </row>
    <row r="455" spans="1:13" ht="24" customHeight="1" thickBot="1">
      <c r="A455" s="157"/>
      <c r="B455" s="1034" t="s">
        <v>673</v>
      </c>
      <c r="C455" s="1060" t="s">
        <v>675</v>
      </c>
      <c r="D455" s="1061">
        <v>1</v>
      </c>
      <c r="E455" s="901" t="s">
        <v>5</v>
      </c>
      <c r="F455" s="165">
        <v>6960</v>
      </c>
      <c r="G455" s="1046">
        <f t="shared" si="53"/>
        <v>2088</v>
      </c>
      <c r="H455" s="296">
        <f t="shared" si="54"/>
        <v>6960</v>
      </c>
      <c r="I455" s="296">
        <f t="shared" si="55"/>
        <v>2088</v>
      </c>
      <c r="J455" s="296">
        <f t="shared" si="56"/>
        <v>9048</v>
      </c>
      <c r="K455" s="456"/>
      <c r="L455" s="1062" t="s">
        <v>1917</v>
      </c>
      <c r="M455" s="906" t="s">
        <v>276</v>
      </c>
    </row>
    <row r="456" spans="1:13" ht="24" customHeight="1" thickTop="1">
      <c r="A456" s="1066"/>
      <c r="B456" s="1066"/>
      <c r="C456" s="1066"/>
      <c r="D456" s="1066"/>
      <c r="E456" s="1066"/>
      <c r="F456" s="1066"/>
      <c r="G456" s="1066"/>
      <c r="H456" s="1066"/>
      <c r="I456" s="1066"/>
      <c r="J456" s="1066"/>
      <c r="K456" s="1066"/>
      <c r="L456" s="1062"/>
      <c r="M456" s="906"/>
    </row>
    <row r="457" spans="1:13" ht="24" customHeight="1">
      <c r="A457" s="139"/>
      <c r="B457" s="881" t="s">
        <v>133</v>
      </c>
      <c r="C457" s="175"/>
      <c r="D457" s="1644"/>
      <c r="E457" s="177"/>
      <c r="F457" s="177"/>
      <c r="G457" s="265"/>
      <c r="H457" s="265"/>
      <c r="I457" s="265"/>
      <c r="J457" s="265"/>
      <c r="K457" s="265"/>
      <c r="L457" s="1062"/>
      <c r="M457" s="906"/>
    </row>
    <row r="458" spans="1:13" ht="24" customHeight="1">
      <c r="A458" s="139"/>
      <c r="B458" s="1638" t="s">
        <v>1769</v>
      </c>
      <c r="C458" s="137"/>
      <c r="D458" s="137"/>
      <c r="E458" s="173"/>
      <c r="F458" s="1638" t="s">
        <v>134</v>
      </c>
      <c r="G458" s="137"/>
      <c r="H458" s="137"/>
      <c r="I458" s="137"/>
      <c r="J458" s="137"/>
      <c r="K458" s="137"/>
      <c r="L458" s="1062"/>
      <c r="M458" s="906"/>
    </row>
    <row r="459" spans="1:13" ht="24" customHeight="1">
      <c r="A459" s="139"/>
      <c r="B459" s="174" t="s">
        <v>1970</v>
      </c>
      <c r="C459" s="137"/>
      <c r="D459" s="137"/>
      <c r="E459" s="1638"/>
      <c r="F459" s="227" t="s">
        <v>1971</v>
      </c>
      <c r="G459" s="137"/>
      <c r="H459" s="768"/>
      <c r="I459" s="768"/>
      <c r="J459" s="768"/>
      <c r="K459" s="768"/>
      <c r="L459" s="1062"/>
      <c r="M459" s="906"/>
    </row>
    <row r="460" spans="1:13" ht="24" customHeight="1">
      <c r="A460" s="139"/>
      <c r="B460" s="1638" t="s">
        <v>2031</v>
      </c>
      <c r="C460" s="137"/>
      <c r="D460" s="137"/>
      <c r="E460" s="174"/>
      <c r="F460" s="1638" t="s">
        <v>2031</v>
      </c>
      <c r="G460" s="137"/>
      <c r="H460" s="1638"/>
      <c r="I460" s="1638"/>
      <c r="J460" s="1638"/>
      <c r="K460" s="1638"/>
      <c r="L460" s="1062"/>
      <c r="M460" s="906"/>
    </row>
    <row r="461" spans="1:13" ht="24" customHeight="1">
      <c r="A461" s="139"/>
      <c r="B461" s="174" t="s">
        <v>1984</v>
      </c>
      <c r="C461" s="137"/>
      <c r="D461" s="137"/>
      <c r="E461" s="174"/>
      <c r="F461" s="174" t="s">
        <v>1985</v>
      </c>
      <c r="G461" s="137"/>
      <c r="L461" s="1062"/>
      <c r="M461" s="906"/>
    </row>
    <row r="462" spans="1:13" ht="24" customHeight="1">
      <c r="A462" s="139"/>
      <c r="B462" s="1638" t="s">
        <v>670</v>
      </c>
      <c r="D462" s="1638"/>
      <c r="E462" s="1638"/>
      <c r="F462" s="137"/>
      <c r="H462" s="137"/>
      <c r="I462" s="137"/>
      <c r="J462" s="137"/>
      <c r="K462" s="137"/>
      <c r="L462" s="1062"/>
      <c r="M462" s="906"/>
    </row>
    <row r="463" spans="1:13" ht="24" customHeight="1">
      <c r="A463" s="137"/>
      <c r="B463" s="174" t="s">
        <v>1972</v>
      </c>
      <c r="D463" s="174"/>
      <c r="E463" s="174"/>
      <c r="F463" s="1640"/>
      <c r="H463" s="1638"/>
      <c r="I463" s="1638"/>
      <c r="J463" s="1638"/>
      <c r="K463" s="1638"/>
      <c r="L463" s="1062"/>
      <c r="M463" s="906"/>
    </row>
    <row r="464" spans="1:13" ht="24" customHeight="1">
      <c r="A464" s="157"/>
      <c r="B464" s="1034" t="s">
        <v>674</v>
      </c>
      <c r="C464" s="1060" t="s">
        <v>677</v>
      </c>
      <c r="D464" s="1061">
        <v>2</v>
      </c>
      <c r="E464" s="901" t="s">
        <v>5</v>
      </c>
      <c r="F464" s="165">
        <v>6960</v>
      </c>
      <c r="G464" s="1046">
        <f t="shared" si="53"/>
        <v>2088</v>
      </c>
      <c r="H464" s="296">
        <f t="shared" si="54"/>
        <v>13920</v>
      </c>
      <c r="I464" s="296">
        <f t="shared" si="55"/>
        <v>4176</v>
      </c>
      <c r="J464" s="296">
        <f t="shared" si="56"/>
        <v>18096</v>
      </c>
      <c r="K464" s="456"/>
      <c r="L464" s="1062" t="s">
        <v>1917</v>
      </c>
      <c r="M464" s="906" t="s">
        <v>276</v>
      </c>
    </row>
    <row r="465" spans="1:13" s="900" customFormat="1" ht="24" customHeight="1">
      <c r="A465" s="207"/>
      <c r="B465" s="1034" t="s">
        <v>703</v>
      </c>
      <c r="C465" s="1060" t="s">
        <v>707</v>
      </c>
      <c r="D465" s="1061">
        <v>1</v>
      </c>
      <c r="E465" s="901" t="s">
        <v>5</v>
      </c>
      <c r="F465" s="165">
        <v>595</v>
      </c>
      <c r="G465" s="1046">
        <f t="shared" si="53"/>
        <v>178.5</v>
      </c>
      <c r="H465" s="296">
        <f t="shared" si="54"/>
        <v>595</v>
      </c>
      <c r="I465" s="296">
        <f t="shared" si="55"/>
        <v>178.5</v>
      </c>
      <c r="J465" s="296">
        <f t="shared" si="56"/>
        <v>773.5</v>
      </c>
      <c r="K465" s="456"/>
      <c r="L465" s="1062" t="s">
        <v>1917</v>
      </c>
      <c r="M465" s="906" t="s">
        <v>276</v>
      </c>
    </row>
    <row r="466" spans="1:13" s="900" customFormat="1" ht="24" customHeight="1">
      <c r="A466" s="207"/>
      <c r="B466" s="1034" t="s">
        <v>704</v>
      </c>
      <c r="C466" s="1060" t="s">
        <v>708</v>
      </c>
      <c r="D466" s="1061">
        <v>1</v>
      </c>
      <c r="E466" s="901" t="s">
        <v>5</v>
      </c>
      <c r="F466" s="165">
        <v>595</v>
      </c>
      <c r="G466" s="1046">
        <f t="shared" si="53"/>
        <v>178.5</v>
      </c>
      <c r="H466" s="296">
        <f t="shared" si="54"/>
        <v>595</v>
      </c>
      <c r="I466" s="296">
        <f t="shared" si="55"/>
        <v>178.5</v>
      </c>
      <c r="J466" s="296">
        <f t="shared" si="56"/>
        <v>773.5</v>
      </c>
      <c r="K466" s="456"/>
      <c r="L466" s="1062" t="s">
        <v>1917</v>
      </c>
      <c r="M466" s="906" t="s">
        <v>276</v>
      </c>
    </row>
    <row r="467" spans="1:13" s="900" customFormat="1" ht="24" customHeight="1">
      <c r="A467" s="207"/>
      <c r="B467" s="1034" t="s">
        <v>705</v>
      </c>
      <c r="C467" s="1060" t="s">
        <v>709</v>
      </c>
      <c r="D467" s="1061">
        <v>1</v>
      </c>
      <c r="E467" s="901" t="s">
        <v>5</v>
      </c>
      <c r="F467" s="165">
        <v>595</v>
      </c>
      <c r="G467" s="1046">
        <f t="shared" si="53"/>
        <v>178.5</v>
      </c>
      <c r="H467" s="296">
        <f t="shared" si="54"/>
        <v>595</v>
      </c>
      <c r="I467" s="296">
        <f t="shared" si="55"/>
        <v>178.5</v>
      </c>
      <c r="J467" s="296">
        <f t="shared" si="56"/>
        <v>773.5</v>
      </c>
      <c r="K467" s="456"/>
      <c r="L467" s="1062" t="s">
        <v>1917</v>
      </c>
      <c r="M467" s="906" t="s">
        <v>276</v>
      </c>
    </row>
    <row r="468" spans="1:13" s="900" customFormat="1" ht="24" customHeight="1">
      <c r="A468" s="207"/>
      <c r="B468" s="1034" t="s">
        <v>706</v>
      </c>
      <c r="C468" s="1060" t="s">
        <v>710</v>
      </c>
      <c r="D468" s="1061">
        <v>2</v>
      </c>
      <c r="E468" s="901" t="s">
        <v>5</v>
      </c>
      <c r="F468" s="165">
        <v>1431.25</v>
      </c>
      <c r="G468" s="1046">
        <f t="shared" si="53"/>
        <v>429.375</v>
      </c>
      <c r="H468" s="296">
        <f t="shared" si="54"/>
        <v>2862.5</v>
      </c>
      <c r="I468" s="296">
        <f t="shared" si="55"/>
        <v>858.75</v>
      </c>
      <c r="J468" s="296">
        <f t="shared" si="56"/>
        <v>3721.25</v>
      </c>
      <c r="K468" s="456"/>
      <c r="L468" s="1062" t="s">
        <v>1917</v>
      </c>
      <c r="M468" s="906" t="s">
        <v>276</v>
      </c>
    </row>
    <row r="469" spans="1:13" s="900" customFormat="1" ht="24" customHeight="1">
      <c r="A469" s="1030" t="s">
        <v>721</v>
      </c>
      <c r="B469" s="863" t="s">
        <v>363</v>
      </c>
      <c r="C469" s="1060"/>
      <c r="D469" s="1061"/>
      <c r="E469" s="901"/>
      <c r="F469" s="165"/>
      <c r="G469" s="1046"/>
      <c r="H469" s="296"/>
      <c r="I469" s="296"/>
      <c r="J469" s="296"/>
      <c r="K469" s="456"/>
      <c r="L469" s="1062"/>
      <c r="M469" s="906"/>
    </row>
    <row r="470" spans="1:13" s="900" customFormat="1" ht="24" customHeight="1">
      <c r="A470" s="207"/>
      <c r="B470" s="1034" t="s">
        <v>679</v>
      </c>
      <c r="C470" s="1060" t="s">
        <v>732</v>
      </c>
      <c r="D470" s="1061">
        <v>1</v>
      </c>
      <c r="E470" s="901" t="s">
        <v>5</v>
      </c>
      <c r="F470" s="165">
        <v>450</v>
      </c>
      <c r="G470" s="1046">
        <f t="shared" si="53"/>
        <v>135</v>
      </c>
      <c r="H470" s="296">
        <f t="shared" si="54"/>
        <v>450</v>
      </c>
      <c r="I470" s="296">
        <f>D470*G470</f>
        <v>135</v>
      </c>
      <c r="J470" s="296">
        <f>H470+I470</f>
        <v>585</v>
      </c>
      <c r="K470" s="456"/>
      <c r="L470" s="1062" t="s">
        <v>1917</v>
      </c>
      <c r="M470" s="906" t="s">
        <v>276</v>
      </c>
    </row>
    <row r="471" spans="1:13" s="900" customFormat="1" ht="24" customHeight="1">
      <c r="A471" s="207"/>
      <c r="B471" s="1034" t="s">
        <v>680</v>
      </c>
      <c r="C471" s="1060" t="s">
        <v>1895</v>
      </c>
      <c r="D471" s="1061">
        <v>3</v>
      </c>
      <c r="E471" s="901" t="s">
        <v>5</v>
      </c>
      <c r="F471" s="165">
        <v>635</v>
      </c>
      <c r="G471" s="1046">
        <f t="shared" si="53"/>
        <v>190.5</v>
      </c>
      <c r="H471" s="296">
        <f t="shared" si="54"/>
        <v>1905</v>
      </c>
      <c r="I471" s="296">
        <f t="shared" si="55"/>
        <v>571.5</v>
      </c>
      <c r="J471" s="296">
        <f t="shared" si="56"/>
        <v>2476.5</v>
      </c>
      <c r="K471" s="456"/>
      <c r="L471" s="1062" t="s">
        <v>1917</v>
      </c>
      <c r="M471" s="906" t="s">
        <v>276</v>
      </c>
    </row>
    <row r="472" spans="1:13" s="900" customFormat="1" ht="24" customHeight="1">
      <c r="A472" s="207"/>
      <c r="B472" s="1034" t="s">
        <v>672</v>
      </c>
      <c r="C472" s="1060" t="s">
        <v>676</v>
      </c>
      <c r="D472" s="1061">
        <v>10</v>
      </c>
      <c r="E472" s="901" t="s">
        <v>5</v>
      </c>
      <c r="F472" s="165">
        <v>5075</v>
      </c>
      <c r="G472" s="1046">
        <f t="shared" si="53"/>
        <v>1522.5</v>
      </c>
      <c r="H472" s="296">
        <f t="shared" si="54"/>
        <v>50750</v>
      </c>
      <c r="I472" s="296">
        <f t="shared" si="55"/>
        <v>15225</v>
      </c>
      <c r="J472" s="296">
        <f t="shared" si="56"/>
        <v>65975</v>
      </c>
      <c r="K472" s="456"/>
      <c r="L472" s="1062" t="s">
        <v>1917</v>
      </c>
      <c r="M472" s="906" t="s">
        <v>276</v>
      </c>
    </row>
    <row r="473" spans="1:13" s="900" customFormat="1" ht="24" customHeight="1">
      <c r="A473" s="207"/>
      <c r="B473" s="1034"/>
      <c r="C473" s="1060"/>
      <c r="D473" s="1061"/>
      <c r="E473" s="901"/>
      <c r="F473" s="165"/>
      <c r="G473" s="1046"/>
      <c r="H473" s="296"/>
      <c r="I473" s="296"/>
      <c r="J473" s="296"/>
      <c r="K473" s="456"/>
      <c r="L473" s="1062"/>
      <c r="M473" s="906"/>
    </row>
    <row r="474" spans="1:13" s="152" customFormat="1" ht="24" customHeight="1" thickBot="1">
      <c r="A474" s="350"/>
      <c r="B474" s="2582" t="str">
        <f>"รวมราคา "&amp;B281</f>
        <v xml:space="preserve">รวมราคา งานป้ายอาคาร </v>
      </c>
      <c r="C474" s="2582"/>
      <c r="D474" s="349"/>
      <c r="E474" s="350"/>
      <c r="F474" s="350"/>
      <c r="G474" s="350"/>
      <c r="H474" s="350">
        <f>SUM(H283:H472)</f>
        <v>1592320</v>
      </c>
      <c r="I474" s="350">
        <f>SUM(I283:I472)</f>
        <v>477696</v>
      </c>
      <c r="J474" s="350">
        <f>SUM(J283:J472)</f>
        <v>2070016</v>
      </c>
      <c r="K474" s="350"/>
      <c r="L474" s="230"/>
      <c r="M474" s="230"/>
    </row>
    <row r="475" spans="1:13" s="152" customFormat="1" ht="24" customHeight="1" thickTop="1" thickBot="1">
      <c r="A475" s="390"/>
      <c r="B475" s="2581" t="str">
        <f>"รวมราคา "&amp;B11</f>
        <v>รวมราคา งานครุภัณฑ์จัดจ้างหรือสั่งทำและงานตกแต่งภายในอาคาร</v>
      </c>
      <c r="C475" s="2581"/>
      <c r="D475" s="482"/>
      <c r="E475" s="390"/>
      <c r="F475" s="390"/>
      <c r="G475" s="390"/>
      <c r="H475" s="390">
        <f>SUM(H474,H280,H80)</f>
        <v>6128150</v>
      </c>
      <c r="I475" s="390">
        <f t="shared" ref="I475:J475" si="57">SUM(I474,I280,I80)</f>
        <v>1487005</v>
      </c>
      <c r="J475" s="390">
        <f t="shared" si="57"/>
        <v>7615155</v>
      </c>
      <c r="K475" s="390"/>
      <c r="L475" s="230"/>
      <c r="M475" s="155"/>
    </row>
    <row r="476" spans="1:13" s="137" customFormat="1" ht="24" customHeight="1" thickTop="1">
      <c r="A476" s="1066"/>
      <c r="B476" s="1066"/>
      <c r="C476" s="1066"/>
      <c r="D476" s="1066"/>
      <c r="E476" s="1066"/>
      <c r="F476" s="1066"/>
      <c r="G476" s="1066"/>
      <c r="H476" s="1066"/>
      <c r="I476" s="1066"/>
      <c r="J476" s="1066"/>
      <c r="K476" s="1066"/>
      <c r="L476" s="139"/>
    </row>
    <row r="477" spans="1:13" s="137" customFormat="1" ht="24" customHeight="1">
      <c r="A477" s="139"/>
      <c r="B477" s="881" t="s">
        <v>133</v>
      </c>
      <c r="C477" s="175"/>
      <c r="D477" s="1644"/>
      <c r="E477" s="177"/>
      <c r="F477" s="177"/>
      <c r="G477" s="265"/>
      <c r="H477" s="265"/>
      <c r="I477" s="265"/>
      <c r="J477" s="265"/>
      <c r="K477" s="265"/>
      <c r="L477" s="175"/>
    </row>
    <row r="478" spans="1:13" s="137" customFormat="1" ht="24" customHeight="1">
      <c r="A478" s="139"/>
      <c r="B478" s="1638" t="s">
        <v>1769</v>
      </c>
      <c r="E478" s="173"/>
      <c r="F478" s="1638" t="s">
        <v>134</v>
      </c>
      <c r="L478" s="139"/>
    </row>
    <row r="479" spans="1:13" s="137" customFormat="1">
      <c r="A479" s="139"/>
      <c r="B479" s="174" t="s">
        <v>1970</v>
      </c>
      <c r="E479" s="1638"/>
      <c r="F479" s="227" t="s">
        <v>1971</v>
      </c>
      <c r="H479" s="768"/>
      <c r="I479" s="768"/>
      <c r="J479" s="768"/>
      <c r="K479" s="768"/>
      <c r="L479" s="898"/>
    </row>
    <row r="480" spans="1:13" s="137" customFormat="1">
      <c r="A480" s="139"/>
      <c r="B480" s="1638" t="s">
        <v>2031</v>
      </c>
      <c r="E480" s="174"/>
      <c r="F480" s="1638" t="s">
        <v>2031</v>
      </c>
      <c r="H480" s="1638"/>
      <c r="I480" s="1638"/>
      <c r="J480" s="1638"/>
      <c r="K480" s="1638"/>
      <c r="L480" s="176"/>
    </row>
    <row r="481" spans="1:12" s="137" customFormat="1" ht="24" customHeight="1">
      <c r="A481" s="139"/>
      <c r="B481" s="174" t="s">
        <v>1984</v>
      </c>
      <c r="E481" s="174"/>
      <c r="F481" s="174" t="s">
        <v>1985</v>
      </c>
      <c r="H481" s="174"/>
      <c r="I481" s="174"/>
      <c r="J481" s="174"/>
      <c r="K481" s="174"/>
      <c r="L481" s="262"/>
    </row>
    <row r="482" spans="1:12" ht="24" customHeight="1">
      <c r="A482" s="139"/>
      <c r="B482" s="1638" t="s">
        <v>670</v>
      </c>
      <c r="D482" s="1638"/>
      <c r="E482" s="1638"/>
      <c r="F482" s="137"/>
      <c r="H482" s="137"/>
      <c r="I482" s="137"/>
      <c r="J482" s="137"/>
      <c r="K482" s="137"/>
      <c r="L482" s="143"/>
    </row>
    <row r="483" spans="1:12" ht="24" customHeight="1">
      <c r="A483" s="137"/>
      <c r="B483" s="174" t="s">
        <v>1972</v>
      </c>
      <c r="D483" s="174"/>
      <c r="E483" s="174"/>
      <c r="F483" s="1640"/>
      <c r="H483" s="1638"/>
      <c r="I483" s="1638"/>
      <c r="J483" s="1638"/>
      <c r="K483" s="1638"/>
      <c r="L483" s="176"/>
    </row>
    <row r="484" spans="1:12" ht="24" customHeight="1">
      <c r="A484" s="174"/>
      <c r="B484" s="137"/>
      <c r="C484" s="137"/>
      <c r="E484" s="187"/>
      <c r="F484" s="187"/>
      <c r="G484" s="187"/>
      <c r="H484" s="187"/>
      <c r="I484" s="187"/>
      <c r="J484" s="187"/>
      <c r="K484" s="187"/>
      <c r="L484" s="909"/>
    </row>
    <row r="485" spans="1:12" ht="24" customHeight="1">
      <c r="A485" s="174"/>
      <c r="B485" s="176"/>
      <c r="C485" s="176"/>
      <c r="D485" s="235"/>
      <c r="E485" s="235"/>
      <c r="F485" s="235"/>
      <c r="G485" s="235"/>
      <c r="H485" s="235"/>
      <c r="I485" s="235"/>
      <c r="J485" s="235"/>
      <c r="K485" s="235"/>
      <c r="L485" s="1067"/>
    </row>
    <row r="486" spans="1:12" ht="24" customHeight="1">
      <c r="A486" s="174"/>
      <c r="B486" s="174"/>
      <c r="C486" s="174"/>
      <c r="E486" s="187"/>
      <c r="F486" s="187"/>
      <c r="G486" s="187"/>
      <c r="H486" s="187"/>
      <c r="I486" s="187"/>
      <c r="J486" s="187"/>
      <c r="K486" s="187"/>
      <c r="L486" s="187"/>
    </row>
    <row r="487" spans="1:12" ht="24" customHeight="1">
      <c r="A487" s="174"/>
      <c r="B487" s="181"/>
      <c r="C487" s="181"/>
      <c r="D487" s="235"/>
      <c r="E487" s="235"/>
      <c r="F487" s="235"/>
      <c r="G487" s="235"/>
      <c r="H487" s="235"/>
      <c r="I487" s="235"/>
      <c r="J487" s="235"/>
      <c r="K487" s="235"/>
      <c r="L487" s="179"/>
    </row>
  </sheetData>
  <autoFilter ref="B1:B487" xr:uid="{00000000-0001-0000-0F00-000000000000}"/>
  <mergeCells count="40">
    <mergeCell ref="B475:C475"/>
    <mergeCell ref="B317:C317"/>
    <mergeCell ref="B344:C344"/>
    <mergeCell ref="B357:C357"/>
    <mergeCell ref="B381:C381"/>
    <mergeCell ref="B405:C405"/>
    <mergeCell ref="B421:C421"/>
    <mergeCell ref="B474:C474"/>
    <mergeCell ref="B15:C15"/>
    <mergeCell ref="B43:C43"/>
    <mergeCell ref="B282:C282"/>
    <mergeCell ref="B80:C80"/>
    <mergeCell ref="B281:C281"/>
    <mergeCell ref="B90:C90"/>
    <mergeCell ref="B119:C119"/>
    <mergeCell ref="B274:C274"/>
    <mergeCell ref="B280:C280"/>
    <mergeCell ref="B68:C68"/>
    <mergeCell ref="B157:C157"/>
    <mergeCell ref="B187:C187"/>
    <mergeCell ref="B217:C217"/>
    <mergeCell ref="B245:C245"/>
    <mergeCell ref="B63:C63"/>
    <mergeCell ref="B58:C58"/>
    <mergeCell ref="B11:C11"/>
    <mergeCell ref="B13:C13"/>
    <mergeCell ref="B39:C39"/>
    <mergeCell ref="B12:C12"/>
    <mergeCell ref="A1:K1"/>
    <mergeCell ref="A9:A10"/>
    <mergeCell ref="C9:C10"/>
    <mergeCell ref="D9:D10"/>
    <mergeCell ref="J9:J10"/>
    <mergeCell ref="F9:G9"/>
    <mergeCell ref="E9:E10"/>
    <mergeCell ref="H9:I9"/>
    <mergeCell ref="B9:B10"/>
    <mergeCell ref="K9:K10"/>
    <mergeCell ref="A2:B8"/>
    <mergeCell ref="B21:C21"/>
  </mergeCells>
  <phoneticPr fontId="17" type="noConversion"/>
  <printOptions horizontalCentered="1"/>
  <pageMargins left="0.23622047244094499" right="0.23622047244094499" top="0.511811023622047" bottom="0.27559055118110198" header="0.511811023622047" footer="0.31496062992126"/>
  <pageSetup paperSize="9" scale="43" fitToHeight="0" orientation="landscape" r:id="rId1"/>
  <headerFooter alignWithMargins="0">
    <oddHeader>&amp;R&amp;"TH Sarabun New,ตัวหนา"&amp;16แบบ ปร.4 หน้าที่ &amp;P จาก &amp;N</oddHeader>
  </headerFooter>
  <rowBreaks count="15" manualBreakCount="15">
    <brk id="32" max="10" man="1"/>
    <brk id="57" max="10" man="1"/>
    <brk id="88" max="10" man="1"/>
    <brk id="118" max="10" man="1"/>
    <brk id="150" max="10" man="1"/>
    <brk id="182" max="10" man="1"/>
    <brk id="214" max="10" man="1"/>
    <brk id="244" max="10" man="1"/>
    <brk id="273" max="10" man="1"/>
    <brk id="303" max="10" man="1"/>
    <brk id="337" max="10" man="1"/>
    <brk id="369" max="10" man="1"/>
    <brk id="401" max="10" man="1"/>
    <brk id="433" max="10" man="1"/>
    <brk id="463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F33"/>
  <sheetViews>
    <sheetView showGridLines="0" view="pageBreakPreview" zoomScale="70" zoomScaleNormal="100" zoomScaleSheetLayoutView="70" workbookViewId="0">
      <selection activeCell="F25" sqref="F25"/>
    </sheetView>
  </sheetViews>
  <sheetFormatPr defaultColWidth="16.5703125" defaultRowHeight="24" customHeight="1"/>
  <cols>
    <col min="1" max="1" width="21" style="139" customWidth="1"/>
    <col min="2" max="2" width="76.42578125" style="137" customWidth="1"/>
    <col min="3" max="5" width="20.140625" style="227" customWidth="1"/>
    <col min="6" max="6" width="22.42578125" style="227" customWidth="1"/>
    <col min="7" max="16384" width="16.5703125" style="156"/>
  </cols>
  <sheetData>
    <row r="1" spans="1:6" s="244" customFormat="1" ht="24" customHeight="1">
      <c r="A1" s="2548" t="str">
        <f>งานครุภัณฑ์จัดจ้างหรือสั่งทำ!A1</f>
        <v xml:space="preserve">แบบแสดงรายการ ปริมาณงาน และราคา  </v>
      </c>
      <c r="B1" s="2548"/>
      <c r="C1" s="2548"/>
      <c r="D1" s="2548"/>
      <c r="E1" s="2548"/>
      <c r="F1" s="2548"/>
    </row>
    <row r="2" spans="1:6" s="245" customFormat="1" ht="24" customHeight="1">
      <c r="A2" s="2343"/>
      <c r="B2" s="138" t="str">
        <f>งานครุภัณฑ์จัดจ้างหรือสั่งทำ!C2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188"/>
    </row>
    <row r="3" spans="1:6" s="245" customFormat="1" ht="24" customHeight="1">
      <c r="A3" s="2343"/>
      <c r="B3" s="143" t="str">
        <f>งานครุภัณฑ์จัดจ้างหรือสั่งทำ!C3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</row>
    <row r="4" spans="1:6" s="245" customFormat="1" ht="24" customHeight="1">
      <c r="A4" s="2343"/>
      <c r="B4" s="143" t="str">
        <f>งานครุภัณฑ์จัดจ้างหรือสั่งทำ!C4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</row>
    <row r="5" spans="1:6" s="245" customFormat="1" ht="24" customHeight="1">
      <c r="A5" s="2343"/>
      <c r="B5" s="137" t="str">
        <f>งานครุภัณฑ์จัดจ้างหรือสั่งทำ!C5</f>
        <v>แบบเลขที่  RMUTP-DOA-63-4-PL001.</v>
      </c>
    </row>
    <row r="6" spans="1:6" s="248" customFormat="1" ht="24" customHeight="1">
      <c r="A6" s="2343"/>
      <c r="B6" s="144" t="str">
        <f>งานครุภัณฑ์จัดจ้างหรือสั่งทำ!C6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246"/>
      <c r="D6" s="246"/>
      <c r="E6" s="246"/>
      <c r="F6" s="247"/>
    </row>
    <row r="7" spans="1:6" s="248" customFormat="1" ht="24" customHeight="1">
      <c r="A7" s="2343"/>
      <c r="B7" s="144" t="str">
        <f>งานครุภัณฑ์จัดจ้างหรือสั่งทำ!C7</f>
        <v>คำนวณราคากลาง   เมื่อวันที่ 16  เดือน สิงหาคม พ.ศ. 2567</v>
      </c>
      <c r="C7" s="246"/>
      <c r="D7" s="246"/>
      <c r="E7" s="249"/>
      <c r="F7" s="196" t="s">
        <v>146</v>
      </c>
    </row>
    <row r="8" spans="1:6" ht="24" customHeight="1">
      <c r="A8" s="2343"/>
      <c r="B8" s="144"/>
      <c r="C8" s="151"/>
      <c r="D8" s="146"/>
      <c r="E8" s="190"/>
      <c r="F8" s="221"/>
    </row>
    <row r="9" spans="1:6" s="250" customFormat="1" ht="24" customHeight="1">
      <c r="A9" s="2561" t="s">
        <v>52</v>
      </c>
      <c r="B9" s="2561" t="s">
        <v>53</v>
      </c>
      <c r="C9" s="2561" t="s">
        <v>1772</v>
      </c>
      <c r="D9" s="2561"/>
      <c r="E9" s="2561"/>
      <c r="F9" s="2561" t="s">
        <v>58</v>
      </c>
    </row>
    <row r="10" spans="1:6" s="250" customFormat="1" ht="29.1" customHeight="1">
      <c r="A10" s="2561"/>
      <c r="B10" s="2561"/>
      <c r="C10" s="366" t="s">
        <v>62</v>
      </c>
      <c r="D10" s="366" t="s">
        <v>63</v>
      </c>
      <c r="E10" s="366" t="s">
        <v>64</v>
      </c>
      <c r="F10" s="2561"/>
    </row>
    <row r="11" spans="1:6" s="152" customFormat="1" ht="24" customHeight="1">
      <c r="A11" s="381">
        <v>8</v>
      </c>
      <c r="B11" s="382" t="s">
        <v>623</v>
      </c>
      <c r="C11" s="351"/>
      <c r="D11" s="351"/>
      <c r="E11" s="351"/>
      <c r="F11" s="396"/>
    </row>
    <row r="12" spans="1:6" ht="24" customHeight="1">
      <c r="A12" s="170">
        <v>8.1</v>
      </c>
      <c r="B12" s="452" t="str">
        <f>งานภูมิทัศน์!C91</f>
        <v>รวมราคา งานปลูกต้นไม้, ปูหญ้า และปรับแต่งสวน</v>
      </c>
      <c r="C12" s="154">
        <f>งานภูมิทัศน์!H91</f>
        <v>247008</v>
      </c>
      <c r="D12" s="154">
        <f>งานภูมิทัศน์!I91</f>
        <v>74102.400000000009</v>
      </c>
      <c r="E12" s="154">
        <f>งานภูมิทัศน์!J91</f>
        <v>321110.39999999997</v>
      </c>
      <c r="F12" s="266"/>
    </row>
    <row r="13" spans="1:6" ht="24" customHeight="1">
      <c r="A13" s="157">
        <v>8.1999999999999993</v>
      </c>
      <c r="B13" s="453" t="str">
        <f>งานภูมิทัศน์!C117</f>
        <v>รวมราคา งานถนน</v>
      </c>
      <c r="C13" s="252">
        <f>งานภูมิทัศน์!H117</f>
        <v>4229022.0730899991</v>
      </c>
      <c r="D13" s="252">
        <f>งานภูมิทัศน์!I117</f>
        <v>319682.20999999996</v>
      </c>
      <c r="E13" s="252">
        <f>งานภูมิทัศน์!J117</f>
        <v>4548704.2830899991</v>
      </c>
      <c r="F13" s="251"/>
    </row>
    <row r="14" spans="1:6" ht="24" customHeight="1">
      <c r="A14" s="157">
        <v>8.3000000000000007</v>
      </c>
      <c r="B14" s="453" t="str">
        <f>งานภูมิทัศน์!C143</f>
        <v>รวมราคา งานรางระบายน้ำ</v>
      </c>
      <c r="C14" s="159">
        <f>งานภูมิทัศน์!H143</f>
        <v>615617.7121</v>
      </c>
      <c r="D14" s="159">
        <f>งานภูมิทัศน์!I143</f>
        <v>69098.600000000006</v>
      </c>
      <c r="E14" s="159">
        <f>งานภูมิทัศน์!J143</f>
        <v>684716.31209999998</v>
      </c>
      <c r="F14" s="251"/>
    </row>
    <row r="15" spans="1:6" ht="24" customHeight="1">
      <c r="A15" s="157">
        <v>8.4</v>
      </c>
      <c r="B15" s="453" t="str">
        <f>งานภูมิทัศน์!C183</f>
        <v>รวมราคา งานบ่อพัก และ ท่อระบายน้ำทิ้ง</v>
      </c>
      <c r="C15" s="159">
        <f>งานภูมิทัศน์!H183</f>
        <v>676249.44369999995</v>
      </c>
      <c r="D15" s="159">
        <f>งานภูมิทัศน์!I183</f>
        <v>114379.7</v>
      </c>
      <c r="E15" s="159">
        <f>งานภูมิทัศน์!J183</f>
        <v>790629.1436999999</v>
      </c>
      <c r="F15" s="251"/>
    </row>
    <row r="16" spans="1:6" ht="24" customHeight="1">
      <c r="A16" s="157"/>
      <c r="B16" s="453"/>
      <c r="C16" s="159"/>
      <c r="D16" s="159"/>
      <c r="E16" s="159"/>
      <c r="F16" s="251"/>
    </row>
    <row r="17" spans="1:6" ht="24" customHeight="1">
      <c r="A17" s="157"/>
      <c r="B17" s="453"/>
      <c r="C17" s="159"/>
      <c r="D17" s="159"/>
      <c r="E17" s="159"/>
      <c r="F17" s="251"/>
    </row>
    <row r="18" spans="1:6" ht="24" customHeight="1">
      <c r="A18" s="157"/>
      <c r="B18" s="453"/>
      <c r="C18" s="159"/>
      <c r="D18" s="159"/>
      <c r="E18" s="159"/>
      <c r="F18" s="251"/>
    </row>
    <row r="19" spans="1:6" s="137" customFormat="1" ht="24" customHeight="1">
      <c r="A19" s="157"/>
      <c r="B19" s="453"/>
      <c r="C19" s="159"/>
      <c r="D19" s="159"/>
      <c r="E19" s="159"/>
      <c r="F19" s="251"/>
    </row>
    <row r="20" spans="1:6" s="137" customFormat="1" ht="24" customHeight="1" thickBot="1">
      <c r="A20" s="167"/>
      <c r="B20" s="454"/>
      <c r="C20" s="172"/>
      <c r="D20" s="172"/>
      <c r="E20" s="172"/>
      <c r="F20" s="172"/>
    </row>
    <row r="21" spans="1:6" s="230" customFormat="1" ht="24" customHeight="1" thickTop="1" thickBot="1">
      <c r="A21" s="379"/>
      <c r="B21" s="379" t="str">
        <f>"รวมราคา "&amp;B11</f>
        <v>รวมราคา กลุ่มงานที่ 3 งานภูมิสถาปัตยกรรม</v>
      </c>
      <c r="C21" s="390">
        <f>SUM(C12:C20)</f>
        <v>5767897.228889999</v>
      </c>
      <c r="D21" s="390">
        <f>SUM(D12:D20)</f>
        <v>577262.90999999992</v>
      </c>
      <c r="E21" s="390">
        <f>SUM(E12:E20)</f>
        <v>6345160.1388899991</v>
      </c>
      <c r="F21" s="390"/>
    </row>
    <row r="22" spans="1:6" s="174" customFormat="1" ht="24" customHeight="1" thickTop="1">
      <c r="A22" s="202"/>
      <c r="B22" s="181"/>
    </row>
    <row r="23" spans="1:6" s="137" customFormat="1" ht="24" customHeight="1">
      <c r="A23" s="139"/>
      <c r="B23" s="881" t="s">
        <v>133</v>
      </c>
      <c r="C23" s="757"/>
      <c r="D23" s="202"/>
      <c r="E23" s="177"/>
      <c r="F23" s="764"/>
    </row>
    <row r="24" spans="1:6" s="137" customFormat="1" ht="24" customHeight="1">
      <c r="A24" s="139"/>
      <c r="B24" s="176" t="s">
        <v>1769</v>
      </c>
      <c r="C24" s="176" t="s">
        <v>134</v>
      </c>
      <c r="E24" s="173"/>
      <c r="F24" s="428"/>
    </row>
    <row r="25" spans="1:6" s="137" customFormat="1" ht="24" customHeight="1">
      <c r="A25" s="139"/>
      <c r="B25" s="174" t="s">
        <v>1970</v>
      </c>
      <c r="C25" s="227" t="s">
        <v>1971</v>
      </c>
      <c r="E25" s="176"/>
      <c r="F25" s="765"/>
    </row>
    <row r="26" spans="1:6" s="137" customFormat="1" ht="24" customHeight="1">
      <c r="A26" s="139"/>
      <c r="B26" s="176" t="s">
        <v>2031</v>
      </c>
      <c r="C26" s="176" t="s">
        <v>2031</v>
      </c>
      <c r="D26" s="174"/>
      <c r="E26" s="174"/>
      <c r="F26" s="444"/>
    </row>
    <row r="27" spans="1:6" s="137" customFormat="1" ht="24" customHeight="1">
      <c r="A27" s="139"/>
      <c r="B27" s="174" t="s">
        <v>1984</v>
      </c>
      <c r="C27" s="174" t="s">
        <v>1985</v>
      </c>
      <c r="D27" s="174"/>
      <c r="E27" s="174"/>
      <c r="F27" s="437"/>
    </row>
    <row r="28" spans="1:6" s="137" customFormat="1" ht="24" customHeight="1">
      <c r="A28" s="139"/>
      <c r="B28" s="176" t="s">
        <v>670</v>
      </c>
    </row>
    <row r="29" spans="1:6" s="137" customFormat="1" ht="24" customHeight="1">
      <c r="B29" s="174" t="s">
        <v>1972</v>
      </c>
      <c r="C29" s="176"/>
      <c r="D29" s="176"/>
      <c r="E29" s="176"/>
      <c r="F29" s="176"/>
    </row>
    <row r="30" spans="1:6" s="174" customFormat="1" ht="24" customHeight="1">
      <c r="B30" s="137"/>
      <c r="C30" s="137"/>
    </row>
    <row r="31" spans="1:6" s="174" customFormat="1" ht="24" customHeight="1">
      <c r="B31" s="176"/>
      <c r="C31" s="176"/>
      <c r="D31" s="176"/>
      <c r="E31" s="176"/>
      <c r="F31" s="137"/>
    </row>
    <row r="32" spans="1:6" s="174" customFormat="1" ht="24" customHeight="1">
      <c r="E32" s="139"/>
      <c r="F32" s="140"/>
    </row>
    <row r="33" spans="2:6" s="174" customFormat="1" ht="24" customHeight="1">
      <c r="B33" s="2583"/>
      <c r="C33" s="2583"/>
      <c r="D33" s="260"/>
      <c r="E33" s="202"/>
      <c r="F33" s="177"/>
    </row>
  </sheetData>
  <mergeCells count="7">
    <mergeCell ref="B33:C33"/>
    <mergeCell ref="A2:A8"/>
    <mergeCell ref="A1:F1"/>
    <mergeCell ref="A9:A10"/>
    <mergeCell ref="B9:B10"/>
    <mergeCell ref="C9:E9"/>
    <mergeCell ref="F9:F10"/>
  </mergeCells>
  <printOptions horizontalCentered="1"/>
  <pageMargins left="0.23622047244094499" right="0.23622047244094499" top="0.511811023622047" bottom="0.27559055118110198" header="0.511811023622047" footer="0.31496062992126"/>
  <pageSetup paperSize="9" scale="75" fitToHeight="0" orientation="landscape" r:id="rId1"/>
  <headerFooter alignWithMargins="0">
    <oddHeader>&amp;R&amp;"TH Sarabun New,ตัวหนา"&amp;16แบบ ปร.4 หน้าที่ &amp;P จาก 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Y198"/>
  <sheetViews>
    <sheetView view="pageBreakPreview" topLeftCell="A166" zoomScale="98" zoomScaleNormal="60" zoomScaleSheetLayoutView="98" workbookViewId="0">
      <selection activeCell="I50" sqref="I50"/>
    </sheetView>
  </sheetViews>
  <sheetFormatPr defaultColWidth="16.5703125" defaultRowHeight="24" customHeight="1"/>
  <cols>
    <col min="1" max="1" width="16.5703125" style="894" customWidth="1"/>
    <col min="2" max="2" width="7.7109375" style="1293" customWidth="1"/>
    <col min="3" max="3" width="54.42578125" style="922" customWidth="1"/>
    <col min="4" max="4" width="11.85546875" style="1296" customWidth="1"/>
    <col min="5" max="5" width="8.5703125" style="1392" bestFit="1" customWidth="1"/>
    <col min="6" max="10" width="16" style="1296" customWidth="1"/>
    <col min="11" max="11" width="13.28515625" style="1296" customWidth="1"/>
    <col min="12" max="12" width="31.28515625" style="1329" customWidth="1"/>
    <col min="13" max="13" width="53.42578125" style="1292" customWidth="1"/>
    <col min="14" max="16384" width="16.5703125" style="1292"/>
  </cols>
  <sheetData>
    <row r="1" spans="1:13" ht="24" customHeight="1">
      <c r="A1" s="2587" t="str">
        <f>'[1]8.กลุ่มงานที่ 3'!A1:F1</f>
        <v xml:space="preserve">แบบแสดงรายการ ปริมาณงาน และราคา  </v>
      </c>
      <c r="B1" s="2587"/>
      <c r="C1" s="2587"/>
      <c r="D1" s="2587"/>
      <c r="E1" s="2587"/>
      <c r="F1" s="2587"/>
      <c r="G1" s="2587"/>
      <c r="H1" s="2587"/>
      <c r="I1" s="2587"/>
      <c r="J1" s="2587"/>
      <c r="K1" s="2587"/>
      <c r="L1" s="1319"/>
    </row>
    <row r="2" spans="1:13" s="922" customFormat="1" ht="24" customHeight="1">
      <c r="A2" s="2593"/>
      <c r="B2" s="2593"/>
      <c r="C2" s="1302" t="str">
        <f>[1]ปร6!B2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1293"/>
      <c r="H2" s="868"/>
      <c r="J2" s="1320"/>
      <c r="K2" s="1320"/>
      <c r="L2" s="1321"/>
      <c r="M2" s="407"/>
    </row>
    <row r="3" spans="1:13" s="922" customFormat="1" ht="24" customHeight="1">
      <c r="A3" s="2593"/>
      <c r="B3" s="2593"/>
      <c r="C3" s="1304" t="str">
        <f>'[1]8.กลุ่มงานที่ 3'!B3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H3" s="868"/>
      <c r="J3" s="1303"/>
      <c r="K3" s="1322"/>
      <c r="L3" s="1304"/>
      <c r="M3" s="407"/>
    </row>
    <row r="4" spans="1:13" s="922" customFormat="1" ht="24" customHeight="1">
      <c r="A4" s="2593"/>
      <c r="B4" s="2593"/>
      <c r="C4" s="1304" t="str">
        <f>'[1]8.กลุ่มงานที่ 3'!B4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H4" s="868"/>
      <c r="J4" s="1303"/>
      <c r="K4" s="1322"/>
      <c r="L4" s="1304"/>
      <c r="M4" s="407"/>
    </row>
    <row r="5" spans="1:13" s="922" customFormat="1" ht="24" customHeight="1">
      <c r="A5" s="2593"/>
      <c r="B5" s="2593"/>
      <c r="C5" s="1304" t="str">
        <f>'[1]8.กลุ่มงานที่ 3'!B5</f>
        <v>แบบเลขที่  RMUTP-DOA-63-4-PL001.</v>
      </c>
      <c r="H5" s="868"/>
      <c r="J5" s="1303"/>
      <c r="K5" s="1322"/>
      <c r="L5" s="1304"/>
      <c r="M5" s="407"/>
    </row>
    <row r="6" spans="1:13" s="952" customFormat="1" ht="24" customHeight="1">
      <c r="A6" s="2593"/>
      <c r="B6" s="2593"/>
      <c r="C6" s="1305" t="str">
        <f>'[1]8.กลุ่มงานที่ 3'!B6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306"/>
      <c r="E6" s="1306"/>
      <c r="F6" s="1307"/>
      <c r="H6" s="874"/>
      <c r="J6" s="1308"/>
      <c r="K6" s="1323"/>
      <c r="L6" s="1305"/>
      <c r="M6" s="407"/>
    </row>
    <row r="7" spans="1:13" s="952" customFormat="1" ht="24" customHeight="1">
      <c r="A7" s="2593"/>
      <c r="B7" s="2593"/>
      <c r="C7" s="1305" t="str">
        <f>ปร6!B7</f>
        <v>คำนวณราคากลาง   เมื่อวันที่ 16  เดือน สิงหาคม พ.ศ. 2567</v>
      </c>
      <c r="D7" s="1306"/>
      <c r="E7" s="1309"/>
      <c r="F7" s="1307"/>
      <c r="H7" s="874"/>
      <c r="J7" s="1308"/>
      <c r="K7" s="1310" t="s">
        <v>146</v>
      </c>
      <c r="L7" s="1305"/>
      <c r="M7" s="407"/>
    </row>
    <row r="8" spans="1:13" s="1311" customFormat="1" ht="24" customHeight="1">
      <c r="A8" s="2594"/>
      <c r="B8" s="2594"/>
      <c r="C8" s="952"/>
      <c r="E8" s="1306"/>
      <c r="F8" s="1324"/>
      <c r="H8" s="1279"/>
      <c r="I8" s="1279"/>
      <c r="J8" s="1279"/>
      <c r="K8" s="1307"/>
      <c r="L8" s="1325"/>
    </row>
    <row r="9" spans="1:13" ht="24" customHeight="1">
      <c r="A9" s="2588" t="s">
        <v>52</v>
      </c>
      <c r="B9" s="2589" t="s">
        <v>53</v>
      </c>
      <c r="C9" s="2590"/>
      <c r="D9" s="2588" t="s">
        <v>54</v>
      </c>
      <c r="E9" s="2588" t="s">
        <v>55</v>
      </c>
      <c r="F9" s="2588" t="s">
        <v>1772</v>
      </c>
      <c r="G9" s="2588"/>
      <c r="H9" s="2588" t="s">
        <v>1772</v>
      </c>
      <c r="I9" s="2588"/>
      <c r="J9" s="2595" t="s">
        <v>64</v>
      </c>
      <c r="K9" s="2597" t="s">
        <v>58</v>
      </c>
      <c r="L9" s="1326"/>
    </row>
    <row r="10" spans="1:13" ht="24" customHeight="1">
      <c r="A10" s="2588"/>
      <c r="B10" s="2591"/>
      <c r="C10" s="2592"/>
      <c r="D10" s="2588"/>
      <c r="E10" s="2588"/>
      <c r="F10" s="1185" t="s">
        <v>59</v>
      </c>
      <c r="G10" s="1185" t="s">
        <v>60</v>
      </c>
      <c r="H10" s="1185" t="s">
        <v>62</v>
      </c>
      <c r="I10" s="1185" t="s">
        <v>63</v>
      </c>
      <c r="J10" s="2596"/>
      <c r="K10" s="2598"/>
      <c r="L10" s="1326"/>
    </row>
    <row r="11" spans="1:13" ht="24" customHeight="1">
      <c r="A11" s="929">
        <v>8</v>
      </c>
      <c r="B11" s="2584" t="s">
        <v>623</v>
      </c>
      <c r="C11" s="2584"/>
      <c r="D11" s="1327"/>
      <c r="E11" s="1328"/>
      <c r="F11" s="1328"/>
      <c r="G11" s="1328"/>
      <c r="H11" s="1327"/>
      <c r="I11" s="1327"/>
      <c r="J11" s="1327"/>
      <c r="K11" s="1327"/>
    </row>
    <row r="12" spans="1:13" ht="24" customHeight="1">
      <c r="A12" s="1315">
        <v>8.1</v>
      </c>
      <c r="B12" s="2599" t="s">
        <v>1795</v>
      </c>
      <c r="C12" s="2599"/>
      <c r="D12" s="1330"/>
      <c r="E12" s="1331"/>
      <c r="F12" s="1331"/>
      <c r="G12" s="1331"/>
      <c r="H12" s="1330"/>
      <c r="I12" s="1330"/>
      <c r="J12" s="1330"/>
      <c r="K12" s="1330"/>
    </row>
    <row r="13" spans="1:13" ht="24" customHeight="1">
      <c r="A13" s="1332" t="s">
        <v>1118</v>
      </c>
      <c r="B13" s="2600" t="s">
        <v>1794</v>
      </c>
      <c r="C13" s="2601"/>
      <c r="D13" s="1297"/>
      <c r="E13" s="1298"/>
      <c r="F13" s="1297"/>
      <c r="G13" s="1297"/>
      <c r="H13" s="1297"/>
      <c r="I13" s="1297"/>
      <c r="J13" s="1297"/>
      <c r="K13" s="1297"/>
    </row>
    <row r="14" spans="1:13" ht="24" customHeight="1">
      <c r="A14" s="1314"/>
      <c r="B14" s="892" t="s">
        <v>139</v>
      </c>
      <c r="C14" s="1333" t="s">
        <v>1132</v>
      </c>
      <c r="D14" s="1301">
        <v>4</v>
      </c>
      <c r="E14" s="1295" t="s">
        <v>83</v>
      </c>
      <c r="F14" s="1295">
        <v>1500</v>
      </c>
      <c r="G14" s="1295">
        <f>F14*0.3</f>
        <v>450</v>
      </c>
      <c r="H14" s="1301">
        <f>F14*D14</f>
        <v>6000</v>
      </c>
      <c r="I14" s="1301">
        <f>G14*D14</f>
        <v>1800</v>
      </c>
      <c r="J14" s="1301">
        <f>H14+I14</f>
        <v>7800</v>
      </c>
      <c r="K14" s="935"/>
      <c r="L14" s="1304" t="s">
        <v>1986</v>
      </c>
      <c r="M14" s="1334" t="s">
        <v>1836</v>
      </c>
    </row>
    <row r="15" spans="1:13" ht="24" customHeight="1">
      <c r="A15" s="1314"/>
      <c r="B15" s="892" t="s">
        <v>139</v>
      </c>
      <c r="C15" s="1333" t="s">
        <v>1131</v>
      </c>
      <c r="D15" s="1301">
        <v>6</v>
      </c>
      <c r="E15" s="1295" t="s">
        <v>83</v>
      </c>
      <c r="F15" s="1295">
        <v>2000</v>
      </c>
      <c r="G15" s="1295">
        <f>F15*0.3</f>
        <v>600</v>
      </c>
      <c r="H15" s="1301">
        <f>F15*D15</f>
        <v>12000</v>
      </c>
      <c r="I15" s="1301">
        <f>G15*D15</f>
        <v>3600</v>
      </c>
      <c r="J15" s="1301">
        <f>H15+I15</f>
        <v>15600</v>
      </c>
      <c r="K15" s="935"/>
      <c r="L15" s="1304" t="s">
        <v>1986</v>
      </c>
      <c r="M15" s="1334" t="s">
        <v>1836</v>
      </c>
    </row>
    <row r="16" spans="1:13" ht="24" customHeight="1">
      <c r="A16" s="1314"/>
      <c r="B16" s="892" t="s">
        <v>139</v>
      </c>
      <c r="C16" s="1333" t="s">
        <v>1127</v>
      </c>
      <c r="D16" s="1301">
        <v>20</v>
      </c>
      <c r="E16" s="1295" t="s">
        <v>83</v>
      </c>
      <c r="F16" s="1295">
        <v>200</v>
      </c>
      <c r="G16" s="1295">
        <f t="shared" ref="G16:G18" si="0">F16*0.3</f>
        <v>60</v>
      </c>
      <c r="H16" s="1301">
        <f>F16*D16</f>
        <v>4000</v>
      </c>
      <c r="I16" s="1301">
        <f>G16*D16</f>
        <v>1200</v>
      </c>
      <c r="J16" s="1301">
        <f>H16+I16</f>
        <v>5200</v>
      </c>
      <c r="K16" s="935"/>
      <c r="L16" s="1304" t="s">
        <v>1986</v>
      </c>
      <c r="M16" s="1334" t="s">
        <v>1836</v>
      </c>
    </row>
    <row r="17" spans="1:13" ht="24" customHeight="1">
      <c r="A17" s="1314"/>
      <c r="B17" s="892" t="s">
        <v>139</v>
      </c>
      <c r="C17" s="1333" t="s">
        <v>1134</v>
      </c>
      <c r="D17" s="1301">
        <v>2</v>
      </c>
      <c r="E17" s="1295" t="s">
        <v>1133</v>
      </c>
      <c r="F17" s="1295">
        <v>350</v>
      </c>
      <c r="G17" s="1295">
        <f t="shared" si="0"/>
        <v>105</v>
      </c>
      <c r="H17" s="1301">
        <f>F17*D17</f>
        <v>700</v>
      </c>
      <c r="I17" s="1301">
        <f>G17*D17</f>
        <v>210</v>
      </c>
      <c r="J17" s="1301">
        <f>H17+I17</f>
        <v>910</v>
      </c>
      <c r="K17" s="935"/>
      <c r="L17" s="1304" t="s">
        <v>1986</v>
      </c>
      <c r="M17" s="1334" t="s">
        <v>1836</v>
      </c>
    </row>
    <row r="18" spans="1:13" ht="24" customHeight="1">
      <c r="A18" s="1314"/>
      <c r="B18" s="892" t="s">
        <v>139</v>
      </c>
      <c r="C18" s="1333" t="s">
        <v>1901</v>
      </c>
      <c r="D18" s="1301">
        <v>20</v>
      </c>
      <c r="E18" s="1295" t="s">
        <v>1128</v>
      </c>
      <c r="F18" s="1295">
        <v>120</v>
      </c>
      <c r="G18" s="1295">
        <f t="shared" si="0"/>
        <v>36</v>
      </c>
      <c r="H18" s="1301">
        <f>F18*D18</f>
        <v>2400</v>
      </c>
      <c r="I18" s="1301">
        <f>G18*D18</f>
        <v>720</v>
      </c>
      <c r="J18" s="1301">
        <f>H18+I18</f>
        <v>3120</v>
      </c>
      <c r="K18" s="935"/>
      <c r="L18" s="1304" t="s">
        <v>1986</v>
      </c>
      <c r="M18" s="1334" t="s">
        <v>1836</v>
      </c>
    </row>
    <row r="19" spans="1:13" ht="24" customHeight="1">
      <c r="A19" s="1314" t="s">
        <v>1119</v>
      </c>
      <c r="B19" s="2585" t="s">
        <v>1793</v>
      </c>
      <c r="C19" s="2586"/>
      <c r="D19" s="1301"/>
      <c r="E19" s="1295"/>
      <c r="F19" s="1301"/>
      <c r="G19" s="1301"/>
      <c r="H19" s="1301"/>
      <c r="I19" s="1301"/>
      <c r="J19" s="1301"/>
      <c r="K19" s="1301"/>
    </row>
    <row r="20" spans="1:13" ht="24" customHeight="1">
      <c r="A20" s="1314"/>
      <c r="B20" s="892" t="s">
        <v>139</v>
      </c>
      <c r="C20" s="1333" t="s">
        <v>1130</v>
      </c>
      <c r="D20" s="1301">
        <v>1</v>
      </c>
      <c r="E20" s="1295" t="s">
        <v>83</v>
      </c>
      <c r="F20" s="1295">
        <v>2500</v>
      </c>
      <c r="G20" s="1295">
        <f>F20*0.3</f>
        <v>750</v>
      </c>
      <c r="H20" s="1301">
        <f>F20*D20</f>
        <v>2500</v>
      </c>
      <c r="I20" s="1301">
        <f>G20*D20</f>
        <v>750</v>
      </c>
      <c r="J20" s="1301">
        <f>H20+I20</f>
        <v>3250</v>
      </c>
      <c r="K20" s="935"/>
      <c r="L20" s="1304" t="s">
        <v>1986</v>
      </c>
      <c r="M20" s="1334" t="s">
        <v>1836</v>
      </c>
    </row>
    <row r="21" spans="1:13" ht="24" customHeight="1">
      <c r="A21" s="1314"/>
      <c r="B21" s="892" t="s">
        <v>139</v>
      </c>
      <c r="C21" s="1333" t="s">
        <v>1137</v>
      </c>
      <c r="D21" s="1301">
        <v>2</v>
      </c>
      <c r="E21" s="1295" t="s">
        <v>83</v>
      </c>
      <c r="F21" s="1295">
        <v>800</v>
      </c>
      <c r="G21" s="1295">
        <f t="shared" ref="G21:G24" si="1">F21*0.3</f>
        <v>240</v>
      </c>
      <c r="H21" s="1301">
        <f>F21*D21</f>
        <v>1600</v>
      </c>
      <c r="I21" s="1301">
        <f>G21*D21</f>
        <v>480</v>
      </c>
      <c r="J21" s="1301">
        <f>H21+I21</f>
        <v>2080</v>
      </c>
      <c r="K21" s="935"/>
      <c r="L21" s="1304" t="s">
        <v>1986</v>
      </c>
      <c r="M21" s="1334" t="s">
        <v>1836</v>
      </c>
    </row>
    <row r="22" spans="1:13" ht="24" customHeight="1">
      <c r="A22" s="1314"/>
      <c r="B22" s="892" t="s">
        <v>139</v>
      </c>
      <c r="C22" s="1333" t="s">
        <v>1135</v>
      </c>
      <c r="D22" s="1301">
        <v>1</v>
      </c>
      <c r="E22" s="1295" t="s">
        <v>1133</v>
      </c>
      <c r="F22" s="1295">
        <v>1200</v>
      </c>
      <c r="G22" s="1295">
        <f t="shared" si="1"/>
        <v>360</v>
      </c>
      <c r="H22" s="1301">
        <f>F22*D22</f>
        <v>1200</v>
      </c>
      <c r="I22" s="1301">
        <f>G22*D22</f>
        <v>360</v>
      </c>
      <c r="J22" s="1301">
        <f>H22+I22</f>
        <v>1560</v>
      </c>
      <c r="K22" s="935"/>
      <c r="L22" s="1304" t="s">
        <v>1986</v>
      </c>
      <c r="M22" s="1334" t="s">
        <v>1836</v>
      </c>
    </row>
    <row r="23" spans="1:13" ht="24" customHeight="1">
      <c r="A23" s="1314"/>
      <c r="B23" s="892" t="s">
        <v>139</v>
      </c>
      <c r="C23" s="1333" t="s">
        <v>1138</v>
      </c>
      <c r="D23" s="1301">
        <v>2</v>
      </c>
      <c r="E23" s="1295" t="s">
        <v>1133</v>
      </c>
      <c r="F23" s="1295">
        <v>500</v>
      </c>
      <c r="G23" s="1295">
        <f t="shared" si="1"/>
        <v>150</v>
      </c>
      <c r="H23" s="1301">
        <f>F23*D23</f>
        <v>1000</v>
      </c>
      <c r="I23" s="1301">
        <f>G23*D23</f>
        <v>300</v>
      </c>
      <c r="J23" s="1301">
        <f>H23+I23</f>
        <v>1300</v>
      </c>
      <c r="K23" s="935"/>
      <c r="L23" s="1304" t="s">
        <v>1986</v>
      </c>
      <c r="M23" s="1334" t="s">
        <v>1836</v>
      </c>
    </row>
    <row r="24" spans="1:13" ht="24" customHeight="1">
      <c r="A24" s="1314"/>
      <c r="B24" s="892" t="s">
        <v>139</v>
      </c>
      <c r="C24" s="1333" t="s">
        <v>1901</v>
      </c>
      <c r="D24" s="1301">
        <v>10</v>
      </c>
      <c r="E24" s="1295" t="s">
        <v>1128</v>
      </c>
      <c r="F24" s="1295">
        <v>120</v>
      </c>
      <c r="G24" s="1295">
        <f t="shared" si="1"/>
        <v>36</v>
      </c>
      <c r="H24" s="1301">
        <f>F24*D24</f>
        <v>1200</v>
      </c>
      <c r="I24" s="1301">
        <f>G24*D24</f>
        <v>360</v>
      </c>
      <c r="J24" s="1301">
        <f>H24+I24</f>
        <v>1560</v>
      </c>
      <c r="K24" s="935"/>
      <c r="L24" s="1304" t="s">
        <v>1986</v>
      </c>
      <c r="M24" s="1334" t="s">
        <v>1836</v>
      </c>
    </row>
    <row r="25" spans="1:13" ht="24" customHeight="1">
      <c r="A25" s="1314" t="s">
        <v>1120</v>
      </c>
      <c r="B25" s="2585" t="s">
        <v>1790</v>
      </c>
      <c r="C25" s="2586"/>
      <c r="D25" s="1301"/>
      <c r="E25" s="1295"/>
      <c r="F25" s="1301"/>
      <c r="G25" s="1301"/>
      <c r="H25" s="1301"/>
      <c r="I25" s="1301"/>
      <c r="J25" s="1301"/>
      <c r="K25" s="1301"/>
    </row>
    <row r="26" spans="1:13" ht="24" customHeight="1">
      <c r="A26" s="1314"/>
      <c r="B26" s="892" t="s">
        <v>139</v>
      </c>
      <c r="C26" s="1333" t="s">
        <v>1129</v>
      </c>
      <c r="D26" s="1301">
        <v>2</v>
      </c>
      <c r="E26" s="1295" t="s">
        <v>83</v>
      </c>
      <c r="F26" s="1295">
        <v>2200</v>
      </c>
      <c r="G26" s="1295">
        <f>F26*0.3</f>
        <v>660</v>
      </c>
      <c r="H26" s="1301">
        <f t="shared" ref="H26:H31" si="2">F26*D26</f>
        <v>4400</v>
      </c>
      <c r="I26" s="1301">
        <f t="shared" ref="I26:I31" si="3">G26*D26</f>
        <v>1320</v>
      </c>
      <c r="J26" s="1301">
        <f t="shared" ref="J26:J31" si="4">H26+I26</f>
        <v>5720</v>
      </c>
      <c r="K26" s="935"/>
      <c r="L26" s="1304" t="s">
        <v>1986</v>
      </c>
      <c r="M26" s="1334" t="s">
        <v>1836</v>
      </c>
    </row>
    <row r="27" spans="1:13" ht="24" customHeight="1">
      <c r="A27" s="1314"/>
      <c r="B27" s="892" t="s">
        <v>139</v>
      </c>
      <c r="C27" s="1333" t="s">
        <v>1136</v>
      </c>
      <c r="D27" s="1301">
        <v>3</v>
      </c>
      <c r="E27" s="1295" t="s">
        <v>83</v>
      </c>
      <c r="F27" s="1295">
        <v>800</v>
      </c>
      <c r="G27" s="1295">
        <f t="shared" ref="G27:G31" si="5">F27*0.3</f>
        <v>240</v>
      </c>
      <c r="H27" s="1301">
        <f t="shared" si="2"/>
        <v>2400</v>
      </c>
      <c r="I27" s="1301">
        <f t="shared" si="3"/>
        <v>720</v>
      </c>
      <c r="J27" s="1301">
        <f t="shared" si="4"/>
        <v>3120</v>
      </c>
      <c r="K27" s="935"/>
      <c r="L27" s="1304" t="s">
        <v>1986</v>
      </c>
      <c r="M27" s="1334" t="s">
        <v>1836</v>
      </c>
    </row>
    <row r="28" spans="1:13" ht="24" customHeight="1">
      <c r="A28" s="1314"/>
      <c r="B28" s="892" t="s">
        <v>139</v>
      </c>
      <c r="C28" s="1333" t="s">
        <v>1139</v>
      </c>
      <c r="D28" s="1301">
        <v>12</v>
      </c>
      <c r="E28" s="1295" t="s">
        <v>83</v>
      </c>
      <c r="F28" s="1295">
        <v>100</v>
      </c>
      <c r="G28" s="1295">
        <f t="shared" si="5"/>
        <v>30</v>
      </c>
      <c r="H28" s="1301">
        <f t="shared" si="2"/>
        <v>1200</v>
      </c>
      <c r="I28" s="1301">
        <f t="shared" si="3"/>
        <v>360</v>
      </c>
      <c r="J28" s="1301">
        <f t="shared" si="4"/>
        <v>1560</v>
      </c>
      <c r="K28" s="935"/>
      <c r="L28" s="1304" t="s">
        <v>1986</v>
      </c>
      <c r="M28" s="1334" t="s">
        <v>1836</v>
      </c>
    </row>
    <row r="29" spans="1:13" ht="24" customHeight="1">
      <c r="A29" s="1314"/>
      <c r="B29" s="892" t="s">
        <v>139</v>
      </c>
      <c r="C29" s="1333" t="s">
        <v>1135</v>
      </c>
      <c r="D29" s="1301">
        <v>5</v>
      </c>
      <c r="E29" s="1295" t="s">
        <v>1133</v>
      </c>
      <c r="F29" s="1295">
        <v>1200</v>
      </c>
      <c r="G29" s="1295">
        <f t="shared" si="5"/>
        <v>360</v>
      </c>
      <c r="H29" s="1301">
        <f t="shared" si="2"/>
        <v>6000</v>
      </c>
      <c r="I29" s="1301">
        <f t="shared" si="3"/>
        <v>1800</v>
      </c>
      <c r="J29" s="1301">
        <f t="shared" si="4"/>
        <v>7800</v>
      </c>
      <c r="K29" s="935"/>
      <c r="L29" s="1304" t="s">
        <v>1986</v>
      </c>
      <c r="M29" s="1334" t="s">
        <v>1836</v>
      </c>
    </row>
    <row r="30" spans="1:13" ht="24" customHeight="1">
      <c r="A30" s="1314"/>
      <c r="B30" s="892" t="s">
        <v>139</v>
      </c>
      <c r="C30" s="1333" t="s">
        <v>1138</v>
      </c>
      <c r="D30" s="1301">
        <v>4</v>
      </c>
      <c r="E30" s="1295" t="s">
        <v>1133</v>
      </c>
      <c r="F30" s="1295">
        <v>498</v>
      </c>
      <c r="G30" s="1295">
        <f t="shared" si="5"/>
        <v>149.4</v>
      </c>
      <c r="H30" s="1301">
        <f>F30*D30</f>
        <v>1992</v>
      </c>
      <c r="I30" s="1301">
        <f>G30*D30</f>
        <v>597.6</v>
      </c>
      <c r="J30" s="1301">
        <f>H30+I30</f>
        <v>2589.6</v>
      </c>
      <c r="K30" s="935"/>
      <c r="L30" s="1304" t="s">
        <v>1986</v>
      </c>
      <c r="M30" s="1334" t="s">
        <v>1836</v>
      </c>
    </row>
    <row r="31" spans="1:13" ht="24" customHeight="1">
      <c r="A31" s="1314"/>
      <c r="B31" s="892" t="s">
        <v>139</v>
      </c>
      <c r="C31" s="1333" t="s">
        <v>1901</v>
      </c>
      <c r="D31" s="1301">
        <v>25</v>
      </c>
      <c r="E31" s="1295" t="s">
        <v>1128</v>
      </c>
      <c r="F31" s="1295">
        <v>120</v>
      </c>
      <c r="G31" s="1295">
        <f t="shared" si="5"/>
        <v>36</v>
      </c>
      <c r="H31" s="1301">
        <f t="shared" si="2"/>
        <v>3000</v>
      </c>
      <c r="I31" s="1301">
        <f t="shared" si="3"/>
        <v>900</v>
      </c>
      <c r="J31" s="1301">
        <f t="shared" si="4"/>
        <v>3900</v>
      </c>
      <c r="K31" s="935"/>
      <c r="L31" s="1304" t="s">
        <v>1986</v>
      </c>
      <c r="M31" s="1334" t="s">
        <v>1836</v>
      </c>
    </row>
    <row r="32" spans="1:13" ht="24" customHeight="1">
      <c r="A32" s="1380"/>
      <c r="B32" s="1380"/>
      <c r="C32" s="1380"/>
      <c r="D32" s="1195"/>
      <c r="E32" s="1195"/>
      <c r="F32" s="1195"/>
      <c r="G32" s="1195"/>
      <c r="H32" s="1195"/>
      <c r="I32" s="1195"/>
      <c r="J32" s="1195"/>
      <c r="K32" s="1195"/>
      <c r="L32" s="1304"/>
      <c r="M32" s="1334"/>
    </row>
    <row r="33" spans="1:13" ht="24" customHeight="1">
      <c r="A33" s="922"/>
      <c r="B33" s="1196" t="s">
        <v>133</v>
      </c>
      <c r="C33" s="1381"/>
      <c r="D33" s="1381"/>
      <c r="E33" s="1382"/>
      <c r="F33" s="1382"/>
      <c r="G33" s="1382"/>
      <c r="H33" s="1382"/>
      <c r="I33" s="1382"/>
      <c r="J33" s="1382"/>
      <c r="K33" s="1382"/>
      <c r="L33" s="1304"/>
      <c r="M33" s="1334"/>
    </row>
    <row r="34" spans="1:13" ht="24" customHeight="1">
      <c r="A34" s="1134"/>
      <c r="B34" s="1017" t="s">
        <v>1769</v>
      </c>
      <c r="C34" s="1384"/>
      <c r="D34" s="1134"/>
      <c r="E34" s="1134"/>
      <c r="F34" s="1017" t="s">
        <v>134</v>
      </c>
      <c r="G34" s="1384"/>
      <c r="H34" s="1134"/>
      <c r="I34" s="1134"/>
      <c r="J34" s="1134"/>
      <c r="K34" s="1134"/>
      <c r="L34" s="1304"/>
      <c r="M34" s="1334"/>
    </row>
    <row r="35" spans="1:13" ht="24" customHeight="1">
      <c r="A35" s="1134"/>
      <c r="B35" s="419" t="s">
        <v>1970</v>
      </c>
      <c r="C35" s="1385"/>
      <c r="D35" s="1134"/>
      <c r="E35" s="1386"/>
      <c r="F35" s="1019" t="s">
        <v>1971</v>
      </c>
      <c r="G35" s="1387"/>
      <c r="H35" s="1386"/>
      <c r="I35" s="1386"/>
      <c r="J35" s="1386"/>
      <c r="K35" s="1386"/>
      <c r="L35" s="1304"/>
      <c r="M35" s="1334"/>
    </row>
    <row r="36" spans="1:13" ht="24" customHeight="1">
      <c r="A36" s="1134"/>
      <c r="B36" s="1017" t="s">
        <v>2031</v>
      </c>
      <c r="C36" s="1385"/>
      <c r="D36" s="1134"/>
      <c r="E36" s="1386"/>
      <c r="F36" s="1017" t="s">
        <v>2035</v>
      </c>
      <c r="G36" s="1387"/>
      <c r="H36" s="1386"/>
      <c r="I36" s="1386"/>
      <c r="J36" s="1386"/>
      <c r="K36" s="1386"/>
      <c r="L36" s="1304"/>
      <c r="M36" s="1334"/>
    </row>
    <row r="37" spans="1:13" ht="24" customHeight="1">
      <c r="A37" s="1134"/>
      <c r="B37" s="419" t="s">
        <v>1984</v>
      </c>
      <c r="C37" s="1385"/>
      <c r="D37" s="1134"/>
      <c r="E37" s="1386"/>
      <c r="F37" s="419" t="s">
        <v>1985</v>
      </c>
      <c r="G37" s="1387"/>
      <c r="H37" s="1386"/>
      <c r="I37" s="1386"/>
      <c r="J37" s="1386"/>
      <c r="K37" s="1386"/>
      <c r="L37" s="1304"/>
      <c r="M37" s="1334"/>
    </row>
    <row r="38" spans="1:13" ht="24" customHeight="1">
      <c r="A38" s="1134"/>
      <c r="B38" s="1017" t="s">
        <v>670</v>
      </c>
      <c r="C38" s="1384"/>
      <c r="D38" s="1384"/>
      <c r="E38" s="1389"/>
      <c r="F38" s="866"/>
      <c r="G38" s="1389"/>
      <c r="H38" s="1389"/>
      <c r="I38" s="1389"/>
      <c r="J38" s="1389"/>
      <c r="K38" s="1389"/>
      <c r="L38" s="1304"/>
      <c r="M38" s="1334"/>
    </row>
    <row r="39" spans="1:13" ht="24" customHeight="1">
      <c r="A39" s="1134"/>
      <c r="B39" s="419" t="s">
        <v>1972</v>
      </c>
      <c r="C39" s="1387"/>
      <c r="D39" s="1387"/>
      <c r="E39" s="1134"/>
      <c r="F39" s="1134"/>
      <c r="G39" s="1134"/>
      <c r="H39" s="1134"/>
      <c r="I39" s="1134"/>
      <c r="J39" s="1134"/>
      <c r="K39" s="1134"/>
      <c r="L39" s="1304"/>
      <c r="M39" s="1334"/>
    </row>
    <row r="40" spans="1:13" ht="24" customHeight="1">
      <c r="A40" s="1314" t="s">
        <v>1121</v>
      </c>
      <c r="B40" s="2585" t="s">
        <v>1791</v>
      </c>
      <c r="C40" s="2586"/>
      <c r="D40" s="1301"/>
      <c r="E40" s="1295"/>
      <c r="F40" s="1301"/>
      <c r="G40" s="1301"/>
      <c r="H40" s="1301"/>
      <c r="I40" s="1301"/>
      <c r="J40" s="1301"/>
      <c r="K40" s="1301"/>
    </row>
    <row r="41" spans="1:13" ht="24" customHeight="1">
      <c r="A41" s="1314"/>
      <c r="B41" s="892" t="s">
        <v>139</v>
      </c>
      <c r="C41" s="1333" t="s">
        <v>1129</v>
      </c>
      <c r="D41" s="1301">
        <v>1</v>
      </c>
      <c r="E41" s="1295" t="s">
        <v>83</v>
      </c>
      <c r="F41" s="1295">
        <v>2200</v>
      </c>
      <c r="G41" s="1295">
        <f>F41*0.3</f>
        <v>660</v>
      </c>
      <c r="H41" s="1301">
        <f>F41*D41</f>
        <v>2200</v>
      </c>
      <c r="I41" s="1301">
        <f>G41*D41</f>
        <v>660</v>
      </c>
      <c r="J41" s="1301">
        <f>H41+I41</f>
        <v>2860</v>
      </c>
      <c r="K41" s="935"/>
      <c r="L41" s="1304" t="s">
        <v>1986</v>
      </c>
      <c r="M41" s="1334" t="s">
        <v>1836</v>
      </c>
    </row>
    <row r="42" spans="1:13" ht="24" customHeight="1">
      <c r="A42" s="1314"/>
      <c r="B42" s="892" t="s">
        <v>139</v>
      </c>
      <c r="C42" s="1333" t="s">
        <v>1139</v>
      </c>
      <c r="D42" s="1301">
        <v>6</v>
      </c>
      <c r="E42" s="1295" t="s">
        <v>83</v>
      </c>
      <c r="F42" s="1295">
        <v>100</v>
      </c>
      <c r="G42" s="1295">
        <f t="shared" ref="G42:G45" si="6">F42*0.3</f>
        <v>30</v>
      </c>
      <c r="H42" s="1301">
        <f>F42*D42</f>
        <v>600</v>
      </c>
      <c r="I42" s="1301">
        <f>G42*D42</f>
        <v>180</v>
      </c>
      <c r="J42" s="1301">
        <f>H42+I42</f>
        <v>780</v>
      </c>
      <c r="K42" s="935"/>
      <c r="L42" s="1304" t="s">
        <v>1986</v>
      </c>
      <c r="M42" s="1334" t="s">
        <v>1836</v>
      </c>
    </row>
    <row r="43" spans="1:13" ht="24" customHeight="1">
      <c r="A43" s="1314"/>
      <c r="B43" s="892" t="s">
        <v>139</v>
      </c>
      <c r="C43" s="1333" t="s">
        <v>1135</v>
      </c>
      <c r="D43" s="1301">
        <v>1</v>
      </c>
      <c r="E43" s="1295" t="s">
        <v>1133</v>
      </c>
      <c r="F43" s="1295">
        <v>1200</v>
      </c>
      <c r="G43" s="1295">
        <f t="shared" si="6"/>
        <v>360</v>
      </c>
      <c r="H43" s="1301">
        <f>F43*D43</f>
        <v>1200</v>
      </c>
      <c r="I43" s="1301">
        <f>G43*D43</f>
        <v>360</v>
      </c>
      <c r="J43" s="1301">
        <f>H43+I43</f>
        <v>1560</v>
      </c>
      <c r="K43" s="935"/>
      <c r="L43" s="1304" t="s">
        <v>1986</v>
      </c>
      <c r="M43" s="1334" t="s">
        <v>1836</v>
      </c>
    </row>
    <row r="44" spans="1:13" ht="24" customHeight="1">
      <c r="A44" s="1314"/>
      <c r="B44" s="892" t="s">
        <v>139</v>
      </c>
      <c r="C44" s="1333" t="s">
        <v>1138</v>
      </c>
      <c r="D44" s="1301">
        <v>2</v>
      </c>
      <c r="E44" s="1295" t="s">
        <v>1133</v>
      </c>
      <c r="F44" s="1295">
        <v>498</v>
      </c>
      <c r="G44" s="1295">
        <f t="shared" si="6"/>
        <v>149.4</v>
      </c>
      <c r="H44" s="1301">
        <f>F44*D44</f>
        <v>996</v>
      </c>
      <c r="I44" s="1301">
        <f>G44*D44</f>
        <v>298.8</v>
      </c>
      <c r="J44" s="1301">
        <f>H44+I44</f>
        <v>1294.8</v>
      </c>
      <c r="K44" s="935"/>
      <c r="L44" s="1304" t="s">
        <v>1986</v>
      </c>
      <c r="M44" s="1334" t="s">
        <v>1836</v>
      </c>
    </row>
    <row r="45" spans="1:13" ht="24" customHeight="1">
      <c r="A45" s="1314"/>
      <c r="B45" s="892" t="s">
        <v>139</v>
      </c>
      <c r="C45" s="1333" t="s">
        <v>1901</v>
      </c>
      <c r="D45" s="1301">
        <v>10</v>
      </c>
      <c r="E45" s="1295" t="s">
        <v>1128</v>
      </c>
      <c r="F45" s="1295">
        <v>120</v>
      </c>
      <c r="G45" s="1295">
        <f t="shared" si="6"/>
        <v>36</v>
      </c>
      <c r="H45" s="1301">
        <f>F45*D45</f>
        <v>1200</v>
      </c>
      <c r="I45" s="1301">
        <f>G45*D45</f>
        <v>360</v>
      </c>
      <c r="J45" s="1301">
        <f>H45+I45</f>
        <v>1560</v>
      </c>
      <c r="K45" s="935"/>
      <c r="L45" s="1304" t="s">
        <v>1986</v>
      </c>
      <c r="M45" s="1334" t="s">
        <v>1836</v>
      </c>
    </row>
    <row r="46" spans="1:13" ht="24" customHeight="1">
      <c r="A46" s="1314" t="s">
        <v>1122</v>
      </c>
      <c r="B46" s="2585" t="s">
        <v>1792</v>
      </c>
      <c r="C46" s="2586"/>
      <c r="D46" s="1301"/>
      <c r="E46" s="1295"/>
      <c r="F46" s="1301"/>
      <c r="G46" s="1301"/>
      <c r="H46" s="1301"/>
      <c r="I46" s="1301"/>
      <c r="J46" s="1301"/>
      <c r="K46" s="1301"/>
    </row>
    <row r="47" spans="1:13" ht="24" customHeight="1">
      <c r="A47" s="935"/>
      <c r="B47" s="892" t="s">
        <v>139</v>
      </c>
      <c r="C47" s="1333" t="s">
        <v>1132</v>
      </c>
      <c r="D47" s="1301">
        <v>4</v>
      </c>
      <c r="E47" s="1295" t="s">
        <v>83</v>
      </c>
      <c r="F47" s="1295">
        <v>1800</v>
      </c>
      <c r="G47" s="1295">
        <f>F47*0.3</f>
        <v>540</v>
      </c>
      <c r="H47" s="1301">
        <f>F47*D47</f>
        <v>7200</v>
      </c>
      <c r="I47" s="1301">
        <f>G47*D47</f>
        <v>2160</v>
      </c>
      <c r="J47" s="1301">
        <f>H47+I47</f>
        <v>9360</v>
      </c>
      <c r="K47" s="935"/>
      <c r="L47" s="1304" t="s">
        <v>1986</v>
      </c>
      <c r="M47" s="1334" t="s">
        <v>1836</v>
      </c>
    </row>
    <row r="48" spans="1:13" ht="24" customHeight="1">
      <c r="A48" s="935"/>
      <c r="B48" s="892" t="s">
        <v>139</v>
      </c>
      <c r="C48" s="1333" t="s">
        <v>1131</v>
      </c>
      <c r="D48" s="1301">
        <v>5</v>
      </c>
      <c r="E48" s="1295" t="s">
        <v>83</v>
      </c>
      <c r="F48" s="1295">
        <v>2000</v>
      </c>
      <c r="G48" s="1295">
        <f t="shared" ref="G48:G51" si="7">F48*0.3</f>
        <v>600</v>
      </c>
      <c r="H48" s="1301">
        <f>F48*D48</f>
        <v>10000</v>
      </c>
      <c r="I48" s="1301">
        <f>G48*D48</f>
        <v>3000</v>
      </c>
      <c r="J48" s="1301">
        <f>H48+I48</f>
        <v>13000</v>
      </c>
      <c r="K48" s="935"/>
      <c r="L48" s="1304" t="s">
        <v>1986</v>
      </c>
      <c r="M48" s="1334" t="s">
        <v>1836</v>
      </c>
    </row>
    <row r="49" spans="1:13" ht="24" customHeight="1">
      <c r="A49" s="935"/>
      <c r="B49" s="892" t="s">
        <v>139</v>
      </c>
      <c r="C49" s="1333" t="s">
        <v>1134</v>
      </c>
      <c r="D49" s="1301">
        <v>4</v>
      </c>
      <c r="E49" s="1295" t="s">
        <v>1133</v>
      </c>
      <c r="F49" s="1295">
        <v>350</v>
      </c>
      <c r="G49" s="1295">
        <f t="shared" si="7"/>
        <v>105</v>
      </c>
      <c r="H49" s="1301">
        <f>F49*D49</f>
        <v>1400</v>
      </c>
      <c r="I49" s="1301">
        <f>G49*D49</f>
        <v>420</v>
      </c>
      <c r="J49" s="1301">
        <f>H49+I49</f>
        <v>1820</v>
      </c>
      <c r="K49" s="935"/>
      <c r="L49" s="1304" t="s">
        <v>1986</v>
      </c>
      <c r="M49" s="1334" t="s">
        <v>1836</v>
      </c>
    </row>
    <row r="50" spans="1:13" ht="24" customHeight="1">
      <c r="A50" s="933"/>
      <c r="B50" s="896" t="s">
        <v>139</v>
      </c>
      <c r="C50" s="1335" t="s">
        <v>1138</v>
      </c>
      <c r="D50" s="1297">
        <v>5</v>
      </c>
      <c r="E50" s="1298" t="s">
        <v>1133</v>
      </c>
      <c r="F50" s="1298">
        <v>498</v>
      </c>
      <c r="G50" s="1295">
        <f t="shared" si="7"/>
        <v>149.4</v>
      </c>
      <c r="H50" s="1297">
        <f>F50*D50</f>
        <v>2490</v>
      </c>
      <c r="I50" s="1297">
        <f>G50*D50</f>
        <v>747</v>
      </c>
      <c r="J50" s="1297">
        <f>H50+I50</f>
        <v>3237</v>
      </c>
      <c r="K50" s="933"/>
      <c r="L50" s="1304" t="s">
        <v>1986</v>
      </c>
      <c r="M50" s="1334" t="s">
        <v>1836</v>
      </c>
    </row>
    <row r="51" spans="1:13" ht="24" customHeight="1">
      <c r="A51" s="933"/>
      <c r="B51" s="896" t="s">
        <v>139</v>
      </c>
      <c r="C51" s="1335" t="s">
        <v>1901</v>
      </c>
      <c r="D51" s="1297">
        <v>25</v>
      </c>
      <c r="E51" s="1298" t="s">
        <v>1128</v>
      </c>
      <c r="F51" s="1298">
        <v>120</v>
      </c>
      <c r="G51" s="1295">
        <f t="shared" si="7"/>
        <v>36</v>
      </c>
      <c r="H51" s="1297">
        <f>F51*D51</f>
        <v>3000</v>
      </c>
      <c r="I51" s="1297">
        <f>G51*D51</f>
        <v>900</v>
      </c>
      <c r="J51" s="1297">
        <f>H51+I51</f>
        <v>3900</v>
      </c>
      <c r="K51" s="933"/>
      <c r="L51" s="1304" t="s">
        <v>1986</v>
      </c>
      <c r="M51" s="1334" t="s">
        <v>1836</v>
      </c>
    </row>
    <row r="52" spans="1:13" ht="24" customHeight="1">
      <c r="A52" s="1332" t="s">
        <v>1123</v>
      </c>
      <c r="B52" s="1336" t="s">
        <v>1796</v>
      </c>
      <c r="C52" s="1335"/>
      <c r="D52" s="1297"/>
      <c r="E52" s="1298"/>
      <c r="F52" s="1298"/>
      <c r="G52" s="1298"/>
      <c r="H52" s="1297"/>
      <c r="I52" s="1297"/>
      <c r="J52" s="1297"/>
      <c r="K52" s="933"/>
      <c r="L52" s="1304"/>
      <c r="M52" s="1334"/>
    </row>
    <row r="53" spans="1:13" ht="24" customHeight="1">
      <c r="A53" s="935"/>
      <c r="B53" s="892" t="s">
        <v>139</v>
      </c>
      <c r="C53" s="1333" t="s">
        <v>1130</v>
      </c>
      <c r="D53" s="1301">
        <v>1</v>
      </c>
      <c r="E53" s="1295" t="s">
        <v>83</v>
      </c>
      <c r="F53" s="1295">
        <v>2500</v>
      </c>
      <c r="G53" s="1295">
        <f>F53*0.3</f>
        <v>750</v>
      </c>
      <c r="H53" s="1301">
        <f t="shared" ref="H53:H60" si="8">F53*D53</f>
        <v>2500</v>
      </c>
      <c r="I53" s="1301">
        <f t="shared" ref="I53:I60" si="9">G53*D53</f>
        <v>750</v>
      </c>
      <c r="J53" s="1301">
        <f t="shared" ref="J53:J60" si="10">H53+I53</f>
        <v>3250</v>
      </c>
      <c r="K53" s="935"/>
      <c r="L53" s="1304" t="s">
        <v>1986</v>
      </c>
      <c r="M53" s="1334" t="s">
        <v>1836</v>
      </c>
    </row>
    <row r="54" spans="1:13" ht="24" customHeight="1">
      <c r="A54" s="935"/>
      <c r="B54" s="892" t="s">
        <v>139</v>
      </c>
      <c r="C54" s="1333" t="s">
        <v>1137</v>
      </c>
      <c r="D54" s="1301">
        <v>2</v>
      </c>
      <c r="E54" s="1295" t="s">
        <v>83</v>
      </c>
      <c r="F54" s="1295">
        <v>800</v>
      </c>
      <c r="G54" s="1295">
        <f t="shared" ref="G54:G60" si="11">F54*0.3</f>
        <v>240</v>
      </c>
      <c r="H54" s="1301">
        <f t="shared" si="8"/>
        <v>1600</v>
      </c>
      <c r="I54" s="1301">
        <f t="shared" si="9"/>
        <v>480</v>
      </c>
      <c r="J54" s="1301">
        <f t="shared" si="10"/>
        <v>2080</v>
      </c>
      <c r="K54" s="935"/>
      <c r="L54" s="1304" t="s">
        <v>1986</v>
      </c>
      <c r="M54" s="1334" t="s">
        <v>1836</v>
      </c>
    </row>
    <row r="55" spans="1:13" ht="24" customHeight="1">
      <c r="A55" s="935"/>
      <c r="B55" s="892" t="s">
        <v>139</v>
      </c>
      <c r="C55" s="1333" t="s">
        <v>1132</v>
      </c>
      <c r="D55" s="1301">
        <v>4</v>
      </c>
      <c r="E55" s="1295" t="s">
        <v>83</v>
      </c>
      <c r="F55" s="1295">
        <v>1800</v>
      </c>
      <c r="G55" s="1295">
        <f t="shared" si="11"/>
        <v>540</v>
      </c>
      <c r="H55" s="1301">
        <f t="shared" si="8"/>
        <v>7200</v>
      </c>
      <c r="I55" s="1301">
        <f t="shared" si="9"/>
        <v>2160</v>
      </c>
      <c r="J55" s="1301">
        <f t="shared" si="10"/>
        <v>9360</v>
      </c>
      <c r="K55" s="935"/>
      <c r="L55" s="1304" t="s">
        <v>1986</v>
      </c>
      <c r="M55" s="1334" t="s">
        <v>1836</v>
      </c>
    </row>
    <row r="56" spans="1:13" ht="24" customHeight="1">
      <c r="A56" s="935"/>
      <c r="B56" s="892" t="s">
        <v>139</v>
      </c>
      <c r="C56" s="1333" t="s">
        <v>1131</v>
      </c>
      <c r="D56" s="1301">
        <v>5</v>
      </c>
      <c r="E56" s="1295" t="s">
        <v>83</v>
      </c>
      <c r="F56" s="1295">
        <v>2000</v>
      </c>
      <c r="G56" s="1295">
        <f t="shared" si="11"/>
        <v>600</v>
      </c>
      <c r="H56" s="1301">
        <f t="shared" si="8"/>
        <v>10000</v>
      </c>
      <c r="I56" s="1301">
        <f t="shared" si="9"/>
        <v>3000</v>
      </c>
      <c r="J56" s="1301">
        <f t="shared" si="10"/>
        <v>13000</v>
      </c>
      <c r="K56" s="935"/>
      <c r="L56" s="1304" t="s">
        <v>1986</v>
      </c>
      <c r="M56" s="1334" t="s">
        <v>1836</v>
      </c>
    </row>
    <row r="57" spans="1:13" ht="24" customHeight="1">
      <c r="A57" s="935"/>
      <c r="B57" s="892" t="s">
        <v>139</v>
      </c>
      <c r="C57" s="1333" t="s">
        <v>1135</v>
      </c>
      <c r="D57" s="1301">
        <v>1</v>
      </c>
      <c r="E57" s="1295" t="s">
        <v>1133</v>
      </c>
      <c r="F57" s="1295">
        <v>1200</v>
      </c>
      <c r="G57" s="1295">
        <f t="shared" si="11"/>
        <v>360</v>
      </c>
      <c r="H57" s="1301">
        <f t="shared" si="8"/>
        <v>1200</v>
      </c>
      <c r="I57" s="1301">
        <f t="shared" si="9"/>
        <v>360</v>
      </c>
      <c r="J57" s="1301">
        <f t="shared" si="10"/>
        <v>1560</v>
      </c>
      <c r="K57" s="935"/>
      <c r="L57" s="1304" t="s">
        <v>1986</v>
      </c>
      <c r="M57" s="1334" t="s">
        <v>1836</v>
      </c>
    </row>
    <row r="58" spans="1:13" ht="24" customHeight="1">
      <c r="A58" s="935"/>
      <c r="B58" s="892" t="s">
        <v>139</v>
      </c>
      <c r="C58" s="1333" t="s">
        <v>1134</v>
      </c>
      <c r="D58" s="1301">
        <v>4</v>
      </c>
      <c r="E58" s="1295" t="s">
        <v>1133</v>
      </c>
      <c r="F58" s="1295">
        <v>350</v>
      </c>
      <c r="G58" s="1295">
        <f t="shared" si="11"/>
        <v>105</v>
      </c>
      <c r="H58" s="1301">
        <f t="shared" si="8"/>
        <v>1400</v>
      </c>
      <c r="I58" s="1301">
        <f t="shared" si="9"/>
        <v>420</v>
      </c>
      <c r="J58" s="1301">
        <f t="shared" si="10"/>
        <v>1820</v>
      </c>
      <c r="K58" s="935"/>
      <c r="L58" s="1304" t="s">
        <v>1986</v>
      </c>
      <c r="M58" s="1334" t="s">
        <v>1836</v>
      </c>
    </row>
    <row r="59" spans="1:13" ht="24" customHeight="1">
      <c r="A59" s="935"/>
      <c r="B59" s="892" t="s">
        <v>139</v>
      </c>
      <c r="C59" s="1333" t="s">
        <v>1138</v>
      </c>
      <c r="D59" s="1301">
        <v>7</v>
      </c>
      <c r="E59" s="1295" t="s">
        <v>1133</v>
      </c>
      <c r="F59" s="1295">
        <v>498</v>
      </c>
      <c r="G59" s="1295">
        <f t="shared" si="11"/>
        <v>149.4</v>
      </c>
      <c r="H59" s="1301">
        <f t="shared" si="8"/>
        <v>3486</v>
      </c>
      <c r="I59" s="1301">
        <f t="shared" si="9"/>
        <v>1045.8</v>
      </c>
      <c r="J59" s="1301">
        <f t="shared" si="10"/>
        <v>4531.8</v>
      </c>
      <c r="K59" s="935"/>
      <c r="L59" s="1304" t="s">
        <v>1986</v>
      </c>
      <c r="M59" s="1334" t="s">
        <v>1836</v>
      </c>
    </row>
    <row r="60" spans="1:13" ht="24" customHeight="1">
      <c r="A60" s="935"/>
      <c r="B60" s="892" t="s">
        <v>139</v>
      </c>
      <c r="C60" s="1333" t="s">
        <v>1901</v>
      </c>
      <c r="D60" s="1301">
        <v>30</v>
      </c>
      <c r="E60" s="1295" t="s">
        <v>1128</v>
      </c>
      <c r="F60" s="1295">
        <v>120</v>
      </c>
      <c r="G60" s="1295">
        <f t="shared" si="11"/>
        <v>36</v>
      </c>
      <c r="H60" s="1301">
        <f t="shared" si="8"/>
        <v>3600</v>
      </c>
      <c r="I60" s="1301">
        <f t="shared" si="9"/>
        <v>1080</v>
      </c>
      <c r="J60" s="1301">
        <f t="shared" si="10"/>
        <v>4680</v>
      </c>
      <c r="K60" s="935"/>
      <c r="L60" s="1304" t="s">
        <v>1986</v>
      </c>
      <c r="M60" s="1334" t="s">
        <v>1836</v>
      </c>
    </row>
    <row r="61" spans="1:13" ht="24" customHeight="1">
      <c r="A61" s="1314" t="s">
        <v>1124</v>
      </c>
      <c r="B61" s="2585" t="s">
        <v>1797</v>
      </c>
      <c r="C61" s="2586"/>
      <c r="D61" s="1301"/>
      <c r="E61" s="1295"/>
      <c r="F61" s="1301"/>
      <c r="G61" s="1301"/>
      <c r="H61" s="1301"/>
      <c r="I61" s="1301"/>
      <c r="J61" s="1301"/>
      <c r="K61" s="1301"/>
    </row>
    <row r="62" spans="1:13" ht="24" customHeight="1">
      <c r="A62" s="935"/>
      <c r="B62" s="892" t="s">
        <v>139</v>
      </c>
      <c r="C62" s="1333" t="s">
        <v>1129</v>
      </c>
      <c r="D62" s="1301">
        <v>1</v>
      </c>
      <c r="E62" s="1295" t="s">
        <v>83</v>
      </c>
      <c r="F62" s="1295">
        <v>2200</v>
      </c>
      <c r="G62" s="1295">
        <f>F62*0.3</f>
        <v>660</v>
      </c>
      <c r="H62" s="1301">
        <f t="shared" ref="H62:H77" si="12">F62*D62</f>
        <v>2200</v>
      </c>
      <c r="I62" s="1301">
        <f t="shared" ref="I62:I77" si="13">G62*D62</f>
        <v>660</v>
      </c>
      <c r="J62" s="1301">
        <f t="shared" ref="J62:J77" si="14">H62+I62</f>
        <v>2860</v>
      </c>
      <c r="K62" s="935"/>
      <c r="L62" s="1304" t="s">
        <v>1986</v>
      </c>
      <c r="M62" s="1334" t="s">
        <v>1836</v>
      </c>
    </row>
    <row r="63" spans="1:13" ht="24" customHeight="1">
      <c r="A63" s="935"/>
      <c r="B63" s="892" t="s">
        <v>139</v>
      </c>
      <c r="C63" s="1333" t="s">
        <v>1139</v>
      </c>
      <c r="D63" s="1301">
        <v>6</v>
      </c>
      <c r="E63" s="1295" t="s">
        <v>83</v>
      </c>
      <c r="F63" s="1295">
        <v>100</v>
      </c>
      <c r="G63" s="1295">
        <f t="shared" ref="G63:G77" si="15">F63*0.3</f>
        <v>30</v>
      </c>
      <c r="H63" s="1301">
        <f t="shared" si="12"/>
        <v>600</v>
      </c>
      <c r="I63" s="1301">
        <f t="shared" si="13"/>
        <v>180</v>
      </c>
      <c r="J63" s="1301">
        <f t="shared" si="14"/>
        <v>780</v>
      </c>
      <c r="K63" s="935"/>
      <c r="L63" s="1304" t="s">
        <v>1986</v>
      </c>
      <c r="M63" s="1334" t="s">
        <v>1836</v>
      </c>
    </row>
    <row r="64" spans="1:13" ht="24" customHeight="1">
      <c r="A64" s="935"/>
      <c r="B64" s="892" t="s">
        <v>139</v>
      </c>
      <c r="C64" s="1333" t="s">
        <v>1132</v>
      </c>
      <c r="D64" s="1301">
        <v>4</v>
      </c>
      <c r="E64" s="1295" t="s">
        <v>83</v>
      </c>
      <c r="F64" s="1295">
        <v>1800</v>
      </c>
      <c r="G64" s="1295">
        <f t="shared" si="15"/>
        <v>540</v>
      </c>
      <c r="H64" s="1301">
        <f t="shared" si="12"/>
        <v>7200</v>
      </c>
      <c r="I64" s="1301">
        <f t="shared" si="13"/>
        <v>2160</v>
      </c>
      <c r="J64" s="1301">
        <f t="shared" si="14"/>
        <v>9360</v>
      </c>
      <c r="K64" s="935"/>
      <c r="L64" s="1304" t="s">
        <v>1986</v>
      </c>
      <c r="M64" s="1334" t="s">
        <v>1836</v>
      </c>
    </row>
    <row r="65" spans="1:13" ht="24" customHeight="1">
      <c r="A65" s="1380"/>
      <c r="B65" s="1380"/>
      <c r="C65" s="1380"/>
      <c r="D65" s="1195"/>
      <c r="E65" s="1195"/>
      <c r="F65" s="1195"/>
      <c r="G65" s="1195"/>
      <c r="H65" s="1195"/>
      <c r="I65" s="1195"/>
      <c r="J65" s="1195"/>
      <c r="K65" s="1195"/>
      <c r="L65" s="1304"/>
      <c r="M65" s="1334"/>
    </row>
    <row r="66" spans="1:13" ht="24" customHeight="1">
      <c r="A66" s="922"/>
      <c r="B66" s="1196" t="s">
        <v>133</v>
      </c>
      <c r="C66" s="1381"/>
      <c r="D66" s="1381"/>
      <c r="E66" s="1382"/>
      <c r="F66" s="1382"/>
      <c r="G66" s="1382"/>
      <c r="H66" s="1382"/>
      <c r="I66" s="1382"/>
      <c r="J66" s="1382"/>
      <c r="K66" s="1382"/>
      <c r="L66" s="1304"/>
      <c r="M66" s="1334"/>
    </row>
    <row r="67" spans="1:13" ht="24" customHeight="1">
      <c r="A67" s="1134"/>
      <c r="B67" s="1017" t="s">
        <v>1769</v>
      </c>
      <c r="C67" s="1384"/>
      <c r="D67" s="1134"/>
      <c r="E67" s="1134"/>
      <c r="F67" s="1017" t="s">
        <v>134</v>
      </c>
      <c r="G67" s="1384"/>
      <c r="H67" s="1134"/>
      <c r="I67" s="1134"/>
      <c r="J67" s="1134"/>
      <c r="K67" s="1134"/>
      <c r="L67" s="1304"/>
      <c r="M67" s="1334"/>
    </row>
    <row r="68" spans="1:13" ht="24" customHeight="1">
      <c r="A68" s="1134"/>
      <c r="B68" s="419" t="s">
        <v>1970</v>
      </c>
      <c r="C68" s="1385"/>
      <c r="D68" s="1134"/>
      <c r="E68" s="1386"/>
      <c r="F68" s="1019" t="s">
        <v>1971</v>
      </c>
      <c r="G68" s="1387"/>
      <c r="H68" s="1386"/>
      <c r="I68" s="1386"/>
      <c r="J68" s="1386"/>
      <c r="K68" s="1386"/>
      <c r="L68" s="1304"/>
      <c r="M68" s="1334"/>
    </row>
    <row r="69" spans="1:13" ht="24" customHeight="1">
      <c r="A69" s="1134"/>
      <c r="B69" s="1017" t="s">
        <v>2031</v>
      </c>
      <c r="C69" s="1385"/>
      <c r="D69" s="1134"/>
      <c r="E69" s="1386"/>
      <c r="F69" s="1017" t="s">
        <v>2035</v>
      </c>
      <c r="G69" s="1387"/>
      <c r="H69" s="1386"/>
      <c r="I69" s="1386"/>
      <c r="J69" s="1386"/>
      <c r="K69" s="1386"/>
      <c r="L69" s="1304"/>
      <c r="M69" s="1334"/>
    </row>
    <row r="70" spans="1:13" ht="24" customHeight="1">
      <c r="A70" s="1134"/>
      <c r="B70" s="419" t="s">
        <v>1984</v>
      </c>
      <c r="C70" s="1385"/>
      <c r="D70" s="1134"/>
      <c r="E70" s="1386"/>
      <c r="F70" s="419" t="s">
        <v>1985</v>
      </c>
      <c r="G70" s="1387"/>
      <c r="H70" s="1386"/>
      <c r="I70" s="1386"/>
      <c r="J70" s="1386"/>
      <c r="K70" s="1386"/>
      <c r="L70" s="1304"/>
      <c r="M70" s="1334"/>
    </row>
    <row r="71" spans="1:13" ht="24" customHeight="1">
      <c r="A71" s="1134"/>
      <c r="B71" s="1017" t="s">
        <v>670</v>
      </c>
      <c r="C71" s="1384"/>
      <c r="D71" s="1384"/>
      <c r="E71" s="1389"/>
      <c r="F71" s="866"/>
      <c r="G71" s="1389"/>
      <c r="H71" s="1389"/>
      <c r="I71" s="1389"/>
      <c r="J71" s="1389"/>
      <c r="K71" s="1389"/>
      <c r="L71" s="1304"/>
      <c r="M71" s="1334"/>
    </row>
    <row r="72" spans="1:13" ht="24" customHeight="1">
      <c r="A72" s="1134"/>
      <c r="B72" s="419" t="s">
        <v>1972</v>
      </c>
      <c r="C72" s="1387"/>
      <c r="D72" s="1387"/>
      <c r="E72" s="1134"/>
      <c r="F72" s="1134"/>
      <c r="G72" s="1134"/>
      <c r="H72" s="1134"/>
      <c r="I72" s="1134"/>
      <c r="J72" s="1134"/>
      <c r="K72" s="1134"/>
      <c r="L72" s="1304"/>
      <c r="M72" s="1334"/>
    </row>
    <row r="73" spans="1:13" ht="24" customHeight="1">
      <c r="A73" s="935"/>
      <c r="B73" s="892" t="s">
        <v>139</v>
      </c>
      <c r="C73" s="1333" t="s">
        <v>1131</v>
      </c>
      <c r="D73" s="1301">
        <v>5</v>
      </c>
      <c r="E73" s="1295" t="s">
        <v>83</v>
      </c>
      <c r="F73" s="1295">
        <v>2000</v>
      </c>
      <c r="G73" s="1295">
        <f t="shared" si="15"/>
        <v>600</v>
      </c>
      <c r="H73" s="1301">
        <f t="shared" si="12"/>
        <v>10000</v>
      </c>
      <c r="I73" s="1301">
        <f t="shared" si="13"/>
        <v>3000</v>
      </c>
      <c r="J73" s="1301">
        <f t="shared" si="14"/>
        <v>13000</v>
      </c>
      <c r="K73" s="935"/>
      <c r="L73" s="1304" t="s">
        <v>1986</v>
      </c>
      <c r="M73" s="1334" t="s">
        <v>1836</v>
      </c>
    </row>
    <row r="74" spans="1:13" ht="24" customHeight="1">
      <c r="A74" s="935"/>
      <c r="B74" s="892" t="s">
        <v>139</v>
      </c>
      <c r="C74" s="1333" t="s">
        <v>1135</v>
      </c>
      <c r="D74" s="1301">
        <v>1</v>
      </c>
      <c r="E74" s="1295" t="s">
        <v>1133</v>
      </c>
      <c r="F74" s="1295">
        <v>1200</v>
      </c>
      <c r="G74" s="1295">
        <f t="shared" si="15"/>
        <v>360</v>
      </c>
      <c r="H74" s="1301">
        <f t="shared" si="12"/>
        <v>1200</v>
      </c>
      <c r="I74" s="1301">
        <f t="shared" si="13"/>
        <v>360</v>
      </c>
      <c r="J74" s="1301">
        <f t="shared" si="14"/>
        <v>1560</v>
      </c>
      <c r="K74" s="935"/>
      <c r="L74" s="1304" t="s">
        <v>1986</v>
      </c>
      <c r="M74" s="1334" t="s">
        <v>1836</v>
      </c>
    </row>
    <row r="75" spans="1:13" ht="24" customHeight="1">
      <c r="A75" s="935"/>
      <c r="B75" s="892" t="s">
        <v>139</v>
      </c>
      <c r="C75" s="1333" t="s">
        <v>1134</v>
      </c>
      <c r="D75" s="1301">
        <v>4</v>
      </c>
      <c r="E75" s="1295" t="s">
        <v>1133</v>
      </c>
      <c r="F75" s="1295">
        <v>350</v>
      </c>
      <c r="G75" s="1295">
        <f t="shared" si="15"/>
        <v>105</v>
      </c>
      <c r="H75" s="1301">
        <f t="shared" si="12"/>
        <v>1400</v>
      </c>
      <c r="I75" s="1301">
        <f t="shared" si="13"/>
        <v>420</v>
      </c>
      <c r="J75" s="1301">
        <f t="shared" si="14"/>
        <v>1820</v>
      </c>
      <c r="K75" s="935"/>
      <c r="L75" s="1304" t="s">
        <v>1986</v>
      </c>
      <c r="M75" s="1334" t="s">
        <v>1836</v>
      </c>
    </row>
    <row r="76" spans="1:13" ht="24" customHeight="1">
      <c r="A76" s="935"/>
      <c r="B76" s="892" t="s">
        <v>139</v>
      </c>
      <c r="C76" s="1333" t="s">
        <v>1138</v>
      </c>
      <c r="D76" s="1301">
        <v>7</v>
      </c>
      <c r="E76" s="1295" t="s">
        <v>1133</v>
      </c>
      <c r="F76" s="1295">
        <v>498</v>
      </c>
      <c r="G76" s="1295">
        <f t="shared" si="15"/>
        <v>149.4</v>
      </c>
      <c r="H76" s="1301">
        <f t="shared" si="12"/>
        <v>3486</v>
      </c>
      <c r="I76" s="1301">
        <f t="shared" si="13"/>
        <v>1045.8</v>
      </c>
      <c r="J76" s="1301">
        <f t="shared" si="14"/>
        <v>4531.8</v>
      </c>
      <c r="K76" s="935"/>
      <c r="L76" s="1304" t="s">
        <v>1986</v>
      </c>
      <c r="M76" s="1334" t="s">
        <v>1836</v>
      </c>
    </row>
    <row r="77" spans="1:13" ht="24" customHeight="1">
      <c r="A77" s="935"/>
      <c r="B77" s="892" t="s">
        <v>139</v>
      </c>
      <c r="C77" s="1333" t="s">
        <v>1901</v>
      </c>
      <c r="D77" s="1301">
        <v>30</v>
      </c>
      <c r="E77" s="1295" t="s">
        <v>1128</v>
      </c>
      <c r="F77" s="1295">
        <v>120</v>
      </c>
      <c r="G77" s="1295">
        <f t="shared" si="15"/>
        <v>36</v>
      </c>
      <c r="H77" s="1301">
        <f t="shared" si="12"/>
        <v>3600</v>
      </c>
      <c r="I77" s="1301">
        <f t="shared" si="13"/>
        <v>1080</v>
      </c>
      <c r="J77" s="1301">
        <f t="shared" si="14"/>
        <v>4680</v>
      </c>
      <c r="K77" s="935"/>
      <c r="L77" s="1304" t="s">
        <v>1986</v>
      </c>
      <c r="M77" s="1334" t="s">
        <v>1836</v>
      </c>
    </row>
    <row r="78" spans="1:13" ht="24" customHeight="1">
      <c r="A78" s="935" t="s">
        <v>1125</v>
      </c>
      <c r="B78" s="2585" t="s">
        <v>1798</v>
      </c>
      <c r="C78" s="2586"/>
      <c r="D78" s="1301"/>
      <c r="E78" s="1295"/>
      <c r="F78" s="1301"/>
      <c r="G78" s="1301"/>
      <c r="H78" s="1301"/>
      <c r="I78" s="1301"/>
      <c r="J78" s="1301"/>
      <c r="K78" s="1301"/>
    </row>
    <row r="79" spans="1:13" ht="24" customHeight="1">
      <c r="A79" s="935"/>
      <c r="B79" s="892" t="s">
        <v>139</v>
      </c>
      <c r="C79" s="1333" t="s">
        <v>1132</v>
      </c>
      <c r="D79" s="1301">
        <v>18</v>
      </c>
      <c r="E79" s="1295" t="s">
        <v>83</v>
      </c>
      <c r="F79" s="1295">
        <v>1800</v>
      </c>
      <c r="G79" s="1295">
        <f>F79*0.3</f>
        <v>540</v>
      </c>
      <c r="H79" s="1301">
        <f>F79*D79</f>
        <v>32400</v>
      </c>
      <c r="I79" s="1301">
        <f>G79*D79</f>
        <v>9720</v>
      </c>
      <c r="J79" s="1301">
        <f>H79+I79</f>
        <v>42120</v>
      </c>
      <c r="K79" s="935"/>
      <c r="L79" s="1304" t="s">
        <v>1986</v>
      </c>
      <c r="M79" s="1334" t="s">
        <v>1836</v>
      </c>
    </row>
    <row r="80" spans="1:13" ht="24" customHeight="1">
      <c r="A80" s="935"/>
      <c r="B80" s="892" t="s">
        <v>139</v>
      </c>
      <c r="C80" s="1333" t="s">
        <v>1131</v>
      </c>
      <c r="D80" s="1301">
        <v>19</v>
      </c>
      <c r="E80" s="1295" t="s">
        <v>83</v>
      </c>
      <c r="F80" s="1295">
        <v>2000</v>
      </c>
      <c r="G80" s="1295">
        <f t="shared" ref="G80:G83" si="16">F80*0.3</f>
        <v>600</v>
      </c>
      <c r="H80" s="1301">
        <f>F80*D80</f>
        <v>38000</v>
      </c>
      <c r="I80" s="1301">
        <f>G80*D80</f>
        <v>11400</v>
      </c>
      <c r="J80" s="1301">
        <f>H80+I80</f>
        <v>49400</v>
      </c>
      <c r="K80" s="935"/>
      <c r="L80" s="1304" t="s">
        <v>1986</v>
      </c>
      <c r="M80" s="1334" t="s">
        <v>1836</v>
      </c>
    </row>
    <row r="81" spans="1:13" ht="24" customHeight="1">
      <c r="A81" s="935"/>
      <c r="B81" s="892" t="s">
        <v>139</v>
      </c>
      <c r="C81" s="1333" t="s">
        <v>1134</v>
      </c>
      <c r="D81" s="1301">
        <v>18</v>
      </c>
      <c r="E81" s="1295" t="s">
        <v>1133</v>
      </c>
      <c r="F81" s="1295">
        <v>350</v>
      </c>
      <c r="G81" s="1295">
        <f t="shared" si="16"/>
        <v>105</v>
      </c>
      <c r="H81" s="1301">
        <f>F81*D81</f>
        <v>6300</v>
      </c>
      <c r="I81" s="1301">
        <f>G81*D81</f>
        <v>1890</v>
      </c>
      <c r="J81" s="1301">
        <f>H81+I81</f>
        <v>8190</v>
      </c>
      <c r="K81" s="935"/>
      <c r="L81" s="1304" t="s">
        <v>1986</v>
      </c>
      <c r="M81" s="1334" t="s">
        <v>1836</v>
      </c>
    </row>
    <row r="82" spans="1:13" ht="24" customHeight="1">
      <c r="A82" s="935"/>
      <c r="B82" s="892" t="s">
        <v>139</v>
      </c>
      <c r="C82" s="1333" t="s">
        <v>1138</v>
      </c>
      <c r="D82" s="1301">
        <v>19</v>
      </c>
      <c r="E82" s="1295" t="s">
        <v>1133</v>
      </c>
      <c r="F82" s="1295">
        <v>498</v>
      </c>
      <c r="G82" s="1295">
        <f t="shared" si="16"/>
        <v>149.4</v>
      </c>
      <c r="H82" s="1301">
        <f>F82*D82</f>
        <v>9462</v>
      </c>
      <c r="I82" s="1301">
        <f>G82*D82</f>
        <v>2838.6</v>
      </c>
      <c r="J82" s="1301">
        <f>H82+I82</f>
        <v>12300.6</v>
      </c>
      <c r="K82" s="935"/>
      <c r="L82" s="1304" t="s">
        <v>1986</v>
      </c>
      <c r="M82" s="1334" t="s">
        <v>1836</v>
      </c>
    </row>
    <row r="83" spans="1:13" ht="24" customHeight="1">
      <c r="A83" s="935"/>
      <c r="B83" s="892" t="s">
        <v>139</v>
      </c>
      <c r="C83" s="1333" t="s">
        <v>1901</v>
      </c>
      <c r="D83" s="1301">
        <v>90</v>
      </c>
      <c r="E83" s="1295" t="s">
        <v>1128</v>
      </c>
      <c r="F83" s="1295">
        <v>120</v>
      </c>
      <c r="G83" s="1295">
        <f t="shared" si="16"/>
        <v>36</v>
      </c>
      <c r="H83" s="1301">
        <f>F83*D83</f>
        <v>10800</v>
      </c>
      <c r="I83" s="1301">
        <f>G83*D83</f>
        <v>3240</v>
      </c>
      <c r="J83" s="1301">
        <f>H83+I83</f>
        <v>14040</v>
      </c>
      <c r="K83" s="935"/>
      <c r="L83" s="1304" t="s">
        <v>1986</v>
      </c>
      <c r="M83" s="1334" t="s">
        <v>1836</v>
      </c>
    </row>
    <row r="84" spans="1:13" ht="24" customHeight="1">
      <c r="A84" s="935" t="s">
        <v>1126</v>
      </c>
      <c r="B84" s="2585" t="s">
        <v>1799</v>
      </c>
      <c r="C84" s="2586"/>
      <c r="D84" s="1301"/>
      <c r="E84" s="1295"/>
      <c r="F84" s="1301"/>
      <c r="G84" s="1301"/>
      <c r="H84" s="1301"/>
      <c r="I84" s="1301"/>
      <c r="J84" s="1301"/>
      <c r="K84" s="1301"/>
    </row>
    <row r="85" spans="1:13" ht="24" customHeight="1">
      <c r="A85" s="935"/>
      <c r="B85" s="892" t="s">
        <v>139</v>
      </c>
      <c r="C85" s="1333" t="s">
        <v>1130</v>
      </c>
      <c r="D85" s="1301">
        <v>1</v>
      </c>
      <c r="E85" s="1295" t="s">
        <v>83</v>
      </c>
      <c r="F85" s="1295">
        <v>2500</v>
      </c>
      <c r="G85" s="1295">
        <f>F85*0.3</f>
        <v>750</v>
      </c>
      <c r="H85" s="1301">
        <f>F85*D85</f>
        <v>2500</v>
      </c>
      <c r="I85" s="1301">
        <f>G85*D85</f>
        <v>750</v>
      </c>
      <c r="J85" s="1301">
        <f>H85+I85</f>
        <v>3250</v>
      </c>
      <c r="K85" s="935"/>
      <c r="L85" s="1304" t="s">
        <v>1986</v>
      </c>
      <c r="M85" s="1334" t="s">
        <v>1836</v>
      </c>
    </row>
    <row r="86" spans="1:13" ht="24" customHeight="1">
      <c r="A86" s="935"/>
      <c r="B86" s="892" t="s">
        <v>139</v>
      </c>
      <c r="C86" s="1333" t="s">
        <v>1137</v>
      </c>
      <c r="D86" s="1301">
        <v>2</v>
      </c>
      <c r="E86" s="1295" t="s">
        <v>83</v>
      </c>
      <c r="F86" s="1295">
        <v>800</v>
      </c>
      <c r="G86" s="1295">
        <f t="shared" ref="G86:G89" si="17">F86*0.3</f>
        <v>240</v>
      </c>
      <c r="H86" s="1301">
        <f>F86*D86</f>
        <v>1600</v>
      </c>
      <c r="I86" s="1301">
        <f>G86*D86</f>
        <v>480</v>
      </c>
      <c r="J86" s="1301">
        <f>H86+I86</f>
        <v>2080</v>
      </c>
      <c r="K86" s="935"/>
      <c r="L86" s="1304" t="s">
        <v>1986</v>
      </c>
      <c r="M86" s="1334" t="s">
        <v>1836</v>
      </c>
    </row>
    <row r="87" spans="1:13" ht="24" customHeight="1">
      <c r="A87" s="935"/>
      <c r="B87" s="892" t="s">
        <v>139</v>
      </c>
      <c r="C87" s="1333" t="s">
        <v>1135</v>
      </c>
      <c r="D87" s="1301">
        <v>1</v>
      </c>
      <c r="E87" s="1295" t="s">
        <v>1133</v>
      </c>
      <c r="F87" s="1295">
        <v>1200</v>
      </c>
      <c r="G87" s="1295">
        <f t="shared" si="17"/>
        <v>360</v>
      </c>
      <c r="H87" s="1301">
        <f>F87*D87</f>
        <v>1200</v>
      </c>
      <c r="I87" s="1301">
        <f>G87*D87</f>
        <v>360</v>
      </c>
      <c r="J87" s="1301">
        <f>H87+I87</f>
        <v>1560</v>
      </c>
      <c r="K87" s="935"/>
      <c r="L87" s="1304" t="s">
        <v>1986</v>
      </c>
      <c r="M87" s="1334" t="s">
        <v>1836</v>
      </c>
    </row>
    <row r="88" spans="1:13" ht="24" customHeight="1">
      <c r="A88" s="933"/>
      <c r="B88" s="896" t="s">
        <v>139</v>
      </c>
      <c r="C88" s="1335" t="s">
        <v>1138</v>
      </c>
      <c r="D88" s="1297">
        <v>2</v>
      </c>
      <c r="E88" s="1298" t="s">
        <v>1133</v>
      </c>
      <c r="F88" s="1298">
        <v>498</v>
      </c>
      <c r="G88" s="1295">
        <f t="shared" si="17"/>
        <v>149.4</v>
      </c>
      <c r="H88" s="1297">
        <f>F88*D88</f>
        <v>996</v>
      </c>
      <c r="I88" s="1297">
        <f>G88*D88</f>
        <v>298.8</v>
      </c>
      <c r="J88" s="1297">
        <f>H88+I88</f>
        <v>1294.8</v>
      </c>
      <c r="K88" s="933"/>
      <c r="L88" s="1304" t="s">
        <v>1986</v>
      </c>
      <c r="M88" s="1334" t="s">
        <v>1836</v>
      </c>
    </row>
    <row r="89" spans="1:13" ht="24" customHeight="1">
      <c r="A89" s="935"/>
      <c r="B89" s="892" t="s">
        <v>139</v>
      </c>
      <c r="C89" s="1333" t="s">
        <v>1901</v>
      </c>
      <c r="D89" s="1301">
        <v>10</v>
      </c>
      <c r="E89" s="1295" t="s">
        <v>1128</v>
      </c>
      <c r="F89" s="1295">
        <v>120</v>
      </c>
      <c r="G89" s="1295">
        <f t="shared" si="17"/>
        <v>36</v>
      </c>
      <c r="H89" s="1301">
        <f>F89*D89</f>
        <v>1200</v>
      </c>
      <c r="I89" s="1301">
        <f>G89*D89</f>
        <v>360</v>
      </c>
      <c r="J89" s="1301">
        <f>H89+I89</f>
        <v>1560</v>
      </c>
      <c r="K89" s="935"/>
      <c r="L89" s="1304" t="s">
        <v>1986</v>
      </c>
      <c r="M89" s="1334" t="s">
        <v>1836</v>
      </c>
    </row>
    <row r="90" spans="1:13" ht="24" customHeight="1">
      <c r="B90" s="894"/>
      <c r="C90" s="1512"/>
      <c r="D90" s="1513"/>
      <c r="E90" s="1294"/>
      <c r="F90" s="1294"/>
      <c r="G90" s="1294"/>
      <c r="H90" s="1300"/>
      <c r="I90" s="1300"/>
      <c r="J90" s="1300"/>
      <c r="K90" s="959"/>
      <c r="L90" s="1304"/>
      <c r="M90" s="1334"/>
    </row>
    <row r="91" spans="1:13" s="1289" customFormat="1" ht="24" customHeight="1" thickBot="1">
      <c r="A91" s="1092"/>
      <c r="B91" s="1092"/>
      <c r="C91" s="1290" t="str">
        <f>"รวมราคา "&amp;B12</f>
        <v>รวมราคา งานปลูกต้นไม้, ปูหญ้า และปรับแต่งสวน</v>
      </c>
      <c r="D91" s="1337"/>
      <c r="E91" s="1299"/>
      <c r="F91" s="1299"/>
      <c r="G91" s="1299"/>
      <c r="H91" s="1338">
        <f>SUM(H12:H89)</f>
        <v>247008</v>
      </c>
      <c r="I91" s="1338">
        <f>SUM(I12:I89)</f>
        <v>74102.400000000009</v>
      </c>
      <c r="J91" s="1338">
        <f>SUM(J12:J89)</f>
        <v>321110.39999999997</v>
      </c>
      <c r="K91" s="962"/>
      <c r="L91" s="1339"/>
    </row>
    <row r="92" spans="1:13" s="1289" customFormat="1" ht="24" customHeight="1" thickTop="1">
      <c r="A92" s="1380"/>
      <c r="B92" s="1380"/>
      <c r="C92" s="1380"/>
      <c r="D92" s="1195"/>
      <c r="E92" s="1195"/>
      <c r="F92" s="1195"/>
      <c r="G92" s="1195"/>
      <c r="H92" s="1195"/>
      <c r="I92" s="1195"/>
      <c r="J92" s="1195"/>
      <c r="K92" s="1195"/>
      <c r="L92" s="1339"/>
    </row>
    <row r="93" spans="1:13" s="1289" customFormat="1" ht="24" customHeight="1">
      <c r="A93" s="922"/>
      <c r="B93" s="1196" t="s">
        <v>133</v>
      </c>
      <c r="C93" s="1381"/>
      <c r="D93" s="1381"/>
      <c r="E93" s="1382"/>
      <c r="F93" s="1382"/>
      <c r="G93" s="1382"/>
      <c r="H93" s="1382"/>
      <c r="I93" s="1382"/>
      <c r="J93" s="1382"/>
      <c r="K93" s="1382"/>
      <c r="L93" s="1339"/>
    </row>
    <row r="94" spans="1:13" s="1289" customFormat="1" ht="24" customHeight="1">
      <c r="A94" s="1134"/>
      <c r="B94" s="1017" t="s">
        <v>1769</v>
      </c>
      <c r="C94" s="1384"/>
      <c r="D94" s="1134"/>
      <c r="E94" s="1134"/>
      <c r="F94" s="1017" t="s">
        <v>134</v>
      </c>
      <c r="G94" s="1384"/>
      <c r="H94" s="1134"/>
      <c r="I94" s="1134"/>
      <c r="J94" s="1134"/>
      <c r="K94" s="1134"/>
      <c r="L94" s="1339"/>
    </row>
    <row r="95" spans="1:13" s="1289" customFormat="1" ht="24" customHeight="1">
      <c r="A95" s="1134"/>
      <c r="B95" s="419" t="s">
        <v>1970</v>
      </c>
      <c r="C95" s="1385"/>
      <c r="D95" s="1134"/>
      <c r="E95" s="1386"/>
      <c r="F95" s="1019" t="s">
        <v>1971</v>
      </c>
      <c r="G95" s="1387"/>
      <c r="H95" s="1386"/>
      <c r="I95" s="1386"/>
      <c r="J95" s="1386"/>
      <c r="K95" s="1386"/>
      <c r="L95" s="1339"/>
    </row>
    <row r="96" spans="1:13" s="1289" customFormat="1" ht="24" customHeight="1">
      <c r="A96" s="1134"/>
      <c r="B96" s="1017" t="s">
        <v>2031</v>
      </c>
      <c r="C96" s="1385"/>
      <c r="D96" s="1134"/>
      <c r="E96" s="1386"/>
      <c r="F96" s="1017" t="s">
        <v>2035</v>
      </c>
      <c r="G96" s="1387"/>
      <c r="H96" s="1386"/>
      <c r="I96" s="1386"/>
      <c r="J96" s="1386"/>
      <c r="K96" s="1386"/>
      <c r="L96" s="1339"/>
    </row>
    <row r="97" spans="1:25" s="1289" customFormat="1" ht="24" customHeight="1">
      <c r="A97" s="1134"/>
      <c r="B97" s="419" t="s">
        <v>1984</v>
      </c>
      <c r="C97" s="1385"/>
      <c r="D97" s="1134"/>
      <c r="E97" s="1386"/>
      <c r="F97" s="419" t="s">
        <v>1985</v>
      </c>
      <c r="G97" s="1387"/>
      <c r="H97" s="1386"/>
      <c r="I97" s="1386"/>
      <c r="J97" s="1386"/>
      <c r="K97" s="1386"/>
      <c r="L97" s="1339"/>
    </row>
    <row r="98" spans="1:25" s="1289" customFormat="1" ht="24" customHeight="1">
      <c r="A98" s="1134"/>
      <c r="B98" s="1017" t="s">
        <v>670</v>
      </c>
      <c r="C98" s="1384"/>
      <c r="D98" s="1384"/>
      <c r="E98" s="1389"/>
      <c r="F98" s="866"/>
      <c r="G98" s="1389"/>
      <c r="H98" s="1389"/>
      <c r="I98" s="1389"/>
      <c r="J98" s="1389"/>
      <c r="K98" s="1389"/>
      <c r="L98" s="1339"/>
    </row>
    <row r="99" spans="1:25" s="1289" customFormat="1" ht="24" customHeight="1">
      <c r="A99" s="1134"/>
      <c r="B99" s="419" t="s">
        <v>1972</v>
      </c>
      <c r="C99" s="1387"/>
      <c r="D99" s="1387"/>
      <c r="E99" s="1134"/>
      <c r="F99" s="1134"/>
      <c r="G99" s="1134"/>
      <c r="H99" s="1134"/>
      <c r="I99" s="1134"/>
      <c r="J99" s="1134"/>
      <c r="K99" s="1134"/>
      <c r="L99" s="1339"/>
    </row>
    <row r="100" spans="1:25" ht="24" customHeight="1">
      <c r="A100" s="1315">
        <v>8.1999999999999993</v>
      </c>
      <c r="B100" s="2604" t="s">
        <v>1117</v>
      </c>
      <c r="C100" s="2605"/>
      <c r="D100" s="1330"/>
      <c r="E100" s="1331"/>
      <c r="F100" s="1331"/>
      <c r="G100" s="1331"/>
      <c r="H100" s="1330"/>
      <c r="I100" s="1330"/>
      <c r="J100" s="1330"/>
      <c r="K100" s="1291"/>
      <c r="L100" s="1304"/>
      <c r="M100" s="407"/>
    </row>
    <row r="101" spans="1:25" ht="24" customHeight="1">
      <c r="A101" s="933"/>
      <c r="B101" s="2600" t="s">
        <v>65</v>
      </c>
      <c r="C101" s="2601"/>
      <c r="D101" s="1297"/>
      <c r="E101" s="1298"/>
      <c r="F101" s="1298"/>
      <c r="G101" s="1298"/>
      <c r="H101" s="1297"/>
      <c r="I101" s="1297"/>
      <c r="J101" s="1297"/>
      <c r="K101" s="1340"/>
      <c r="L101" s="1304"/>
      <c r="M101" s="407"/>
    </row>
    <row r="102" spans="1:25" s="1344" customFormat="1" ht="24" customHeight="1">
      <c r="A102" s="403"/>
      <c r="B102" s="1341" t="s">
        <v>107</v>
      </c>
      <c r="C102" s="1342" t="s">
        <v>1147</v>
      </c>
      <c r="D102" s="408">
        <v>124</v>
      </c>
      <c r="E102" s="408" t="s">
        <v>83</v>
      </c>
      <c r="F102" s="404">
        <v>21800</v>
      </c>
      <c r="G102" s="404">
        <v>0</v>
      </c>
      <c r="H102" s="404">
        <f>F102*D102</f>
        <v>2703200</v>
      </c>
      <c r="I102" s="404">
        <f>G102*D102</f>
        <v>0</v>
      </c>
      <c r="J102" s="404">
        <f>H102+I102</f>
        <v>2703200</v>
      </c>
      <c r="K102" s="1343"/>
      <c r="L102" s="1108" t="s">
        <v>1892</v>
      </c>
      <c r="M102" s="407" t="s">
        <v>622</v>
      </c>
      <c r="N102" s="1277"/>
      <c r="O102" s="1277">
        <v>28500</v>
      </c>
      <c r="P102" s="1277">
        <v>0</v>
      </c>
      <c r="Q102" s="1344" t="s">
        <v>139</v>
      </c>
      <c r="R102" s="1344" t="s">
        <v>1148</v>
      </c>
      <c r="S102" s="1344">
        <v>141</v>
      </c>
      <c r="T102" s="1344" t="s">
        <v>83</v>
      </c>
      <c r="U102" s="1277">
        <v>0</v>
      </c>
      <c r="V102" s="1277">
        <v>500</v>
      </c>
      <c r="W102" s="1277">
        <v>0</v>
      </c>
      <c r="X102" s="1277">
        <v>70500</v>
      </c>
      <c r="Y102" s="1277">
        <v>70500</v>
      </c>
    </row>
    <row r="103" spans="1:25" s="1344" customFormat="1" ht="24" customHeight="1">
      <c r="A103" s="403"/>
      <c r="B103" s="1341" t="s">
        <v>139</v>
      </c>
      <c r="C103" s="1342" t="s">
        <v>1155</v>
      </c>
      <c r="D103" s="408">
        <f>D102</f>
        <v>124</v>
      </c>
      <c r="E103" s="408" t="s">
        <v>83</v>
      </c>
      <c r="F103" s="404">
        <v>0</v>
      </c>
      <c r="G103" s="404">
        <v>250</v>
      </c>
      <c r="H103" s="404">
        <f>F103*D103</f>
        <v>0</v>
      </c>
      <c r="I103" s="404">
        <f>G103*D103</f>
        <v>31000</v>
      </c>
      <c r="J103" s="404">
        <f>H103+I103</f>
        <v>31000</v>
      </c>
      <c r="K103" s="404"/>
      <c r="L103" s="1345"/>
      <c r="M103" s="407" t="s">
        <v>643</v>
      </c>
      <c r="N103" s="1277"/>
      <c r="O103" s="1277">
        <v>300</v>
      </c>
      <c r="P103" s="1277">
        <v>0</v>
      </c>
      <c r="Q103" s="1344" t="s">
        <v>139</v>
      </c>
      <c r="R103" s="1344" t="s">
        <v>1149</v>
      </c>
      <c r="S103" s="1344">
        <v>3</v>
      </c>
      <c r="T103" s="1344" t="s">
        <v>113</v>
      </c>
      <c r="U103" s="1277">
        <v>28500</v>
      </c>
      <c r="V103" s="1277">
        <v>0</v>
      </c>
      <c r="W103" s="1277">
        <v>85500</v>
      </c>
      <c r="X103" s="1277">
        <v>0</v>
      </c>
      <c r="Y103" s="1277">
        <v>85500</v>
      </c>
    </row>
    <row r="104" spans="1:25" s="1344" customFormat="1" ht="24" customHeight="1">
      <c r="A104" s="403"/>
      <c r="B104" s="1312" t="s">
        <v>107</v>
      </c>
      <c r="C104" s="1313" t="s">
        <v>1814</v>
      </c>
      <c r="D104" s="936">
        <v>97</v>
      </c>
      <c r="E104" s="936" t="s">
        <v>84</v>
      </c>
      <c r="F104" s="414">
        <v>36</v>
      </c>
      <c r="G104" s="414">
        <v>13.65</v>
      </c>
      <c r="H104" s="404">
        <f>F104*D104</f>
        <v>3492</v>
      </c>
      <c r="I104" s="404">
        <f>G104*D104</f>
        <v>1324.05</v>
      </c>
      <c r="J104" s="404">
        <f>SUM(H104:I104)</f>
        <v>4816.05</v>
      </c>
      <c r="K104" s="404"/>
      <c r="L104" s="1345"/>
      <c r="M104" s="407" t="s">
        <v>643</v>
      </c>
      <c r="N104" s="1277"/>
      <c r="O104" s="1277"/>
      <c r="P104" s="1277"/>
      <c r="U104" s="1277"/>
      <c r="V104" s="1277"/>
      <c r="W104" s="1277"/>
      <c r="X104" s="1277"/>
      <c r="Y104" s="1277"/>
    </row>
    <row r="105" spans="1:25" s="1134" customFormat="1" ht="24" customHeight="1">
      <c r="A105" s="935"/>
      <c r="B105" s="1312" t="s">
        <v>107</v>
      </c>
      <c r="C105" s="1313" t="s">
        <v>403</v>
      </c>
      <c r="D105" s="936">
        <v>98</v>
      </c>
      <c r="E105" s="936" t="s">
        <v>85</v>
      </c>
      <c r="F105" s="414">
        <v>513.33000000000004</v>
      </c>
      <c r="G105" s="414">
        <v>91</v>
      </c>
      <c r="H105" s="404">
        <f>F105*D105</f>
        <v>50306.340000000004</v>
      </c>
      <c r="I105" s="404">
        <f>G105*D105</f>
        <v>8918</v>
      </c>
      <c r="J105" s="404">
        <f>SUM(H105:I105)</f>
        <v>59224.340000000004</v>
      </c>
      <c r="K105" s="1301"/>
      <c r="L105" s="1329"/>
      <c r="M105" s="1334" t="s">
        <v>1016</v>
      </c>
      <c r="N105" s="1134" t="s">
        <v>659</v>
      </c>
    </row>
    <row r="106" spans="1:25" s="1134" customFormat="1" ht="24" customHeight="1">
      <c r="A106" s="935"/>
      <c r="B106" s="2585" t="s">
        <v>1144</v>
      </c>
      <c r="C106" s="2586"/>
      <c r="D106" s="408"/>
      <c r="E106" s="936"/>
      <c r="F106" s="404"/>
      <c r="G106" s="404"/>
      <c r="H106" s="404"/>
      <c r="I106" s="404"/>
      <c r="J106" s="404"/>
      <c r="K106" s="1301"/>
      <c r="L106" s="1329"/>
    </row>
    <row r="107" spans="1:25" s="1134" customFormat="1" ht="24" customHeight="1">
      <c r="A107" s="935"/>
      <c r="B107" s="1312" t="s">
        <v>139</v>
      </c>
      <c r="C107" s="1313" t="s">
        <v>228</v>
      </c>
      <c r="D107" s="408">
        <v>302</v>
      </c>
      <c r="E107" s="936" t="s">
        <v>85</v>
      </c>
      <c r="F107" s="414">
        <v>2679.9</v>
      </c>
      <c r="G107" s="414">
        <v>519</v>
      </c>
      <c r="H107" s="404">
        <f t="shared" ref="H107:H115" si="18">F107*D107</f>
        <v>809329.8</v>
      </c>
      <c r="I107" s="404">
        <f t="shared" ref="I107:I115" si="19">G107*D107</f>
        <v>156738</v>
      </c>
      <c r="J107" s="404">
        <f t="shared" ref="J107:J115" si="20">SUM(H107:I107)</f>
        <v>966067.8</v>
      </c>
      <c r="K107" s="1301"/>
      <c r="L107" s="1329"/>
      <c r="M107" s="1334" t="s">
        <v>1016</v>
      </c>
      <c r="N107" s="1134" t="s">
        <v>659</v>
      </c>
    </row>
    <row r="108" spans="1:25" s="1134" customFormat="1" ht="24" customHeight="1">
      <c r="A108" s="935"/>
      <c r="B108" s="2585" t="s">
        <v>1145</v>
      </c>
      <c r="C108" s="2586"/>
      <c r="D108" s="408"/>
      <c r="E108" s="936"/>
      <c r="F108" s="404"/>
      <c r="G108" s="404"/>
      <c r="H108" s="404"/>
      <c r="I108" s="404"/>
      <c r="J108" s="404"/>
      <c r="K108" s="1301"/>
      <c r="L108" s="1329"/>
    </row>
    <row r="109" spans="1:25" s="1134" customFormat="1" ht="24" customHeight="1">
      <c r="A109" s="935"/>
      <c r="B109" s="1312" t="s">
        <v>139</v>
      </c>
      <c r="C109" s="1313" t="s">
        <v>165</v>
      </c>
      <c r="D109" s="408">
        <v>181.4</v>
      </c>
      <c r="E109" s="936" t="s">
        <v>86</v>
      </c>
      <c r="F109" s="404">
        <v>0</v>
      </c>
      <c r="G109" s="404">
        <v>121</v>
      </c>
      <c r="H109" s="404">
        <f t="shared" si="18"/>
        <v>0</v>
      </c>
      <c r="I109" s="404">
        <f t="shared" si="19"/>
        <v>21949.4</v>
      </c>
      <c r="J109" s="404">
        <f t="shared" si="20"/>
        <v>21949.4</v>
      </c>
      <c r="K109" s="1301"/>
      <c r="L109" s="1329"/>
      <c r="M109" s="1334" t="s">
        <v>1017</v>
      </c>
      <c r="N109" s="1134" t="s">
        <v>659</v>
      </c>
    </row>
    <row r="110" spans="1:25" s="1134" customFormat="1" ht="24" customHeight="1">
      <c r="A110" s="935"/>
      <c r="B110" s="1312" t="s">
        <v>139</v>
      </c>
      <c r="C110" s="1313" t="s">
        <v>198</v>
      </c>
      <c r="D110" s="408">
        <f>D109*0.5</f>
        <v>90.7</v>
      </c>
      <c r="E110" s="936" t="s">
        <v>164</v>
      </c>
      <c r="F110" s="404">
        <v>400</v>
      </c>
      <c r="G110" s="404"/>
      <c r="H110" s="404">
        <f t="shared" si="18"/>
        <v>36280</v>
      </c>
      <c r="I110" s="404">
        <f t="shared" si="19"/>
        <v>0</v>
      </c>
      <c r="J110" s="404">
        <f t="shared" si="20"/>
        <v>36280</v>
      </c>
      <c r="K110" s="1301"/>
      <c r="L110" s="1329"/>
      <c r="M110" s="1334" t="s">
        <v>1018</v>
      </c>
    </row>
    <row r="111" spans="1:25" s="1134" customFormat="1" ht="24" customHeight="1">
      <c r="A111" s="935"/>
      <c r="B111" s="1312" t="s">
        <v>139</v>
      </c>
      <c r="C111" s="1313" t="s">
        <v>166</v>
      </c>
      <c r="D111" s="408">
        <f>D110*0.3</f>
        <v>27.21</v>
      </c>
      <c r="E111" s="936" t="s">
        <v>164</v>
      </c>
      <c r="F111" s="404">
        <v>400</v>
      </c>
      <c r="G111" s="404">
        <v>0</v>
      </c>
      <c r="H111" s="404">
        <f t="shared" si="18"/>
        <v>10884</v>
      </c>
      <c r="I111" s="404">
        <f t="shared" si="19"/>
        <v>0</v>
      </c>
      <c r="J111" s="404">
        <f t="shared" si="20"/>
        <v>10884</v>
      </c>
      <c r="K111" s="1301"/>
      <c r="L111" s="1329"/>
      <c r="M111" s="1334" t="s">
        <v>1018</v>
      </c>
    </row>
    <row r="112" spans="1:25" s="1134" customFormat="1" ht="24" customHeight="1">
      <c r="A112" s="935"/>
      <c r="B112" s="1312" t="s">
        <v>139</v>
      </c>
      <c r="C112" s="1313" t="s">
        <v>199</v>
      </c>
      <c r="D112" s="408">
        <f>D109*0.25</f>
        <v>45.35</v>
      </c>
      <c r="E112" s="936" t="s">
        <v>87</v>
      </c>
      <c r="F112" s="414">
        <v>23.89</v>
      </c>
      <c r="G112" s="414">
        <v>0</v>
      </c>
      <c r="H112" s="404">
        <f t="shared" si="18"/>
        <v>1083.4115000000002</v>
      </c>
      <c r="I112" s="404">
        <f t="shared" si="19"/>
        <v>0</v>
      </c>
      <c r="J112" s="404">
        <f t="shared" si="20"/>
        <v>1083.4115000000002</v>
      </c>
      <c r="K112" s="1301"/>
      <c r="L112" s="1329"/>
      <c r="M112" s="1334" t="s">
        <v>660</v>
      </c>
    </row>
    <row r="113" spans="1:18" s="1134" customFormat="1" ht="24" customHeight="1">
      <c r="A113" s="935"/>
      <c r="B113" s="2585" t="s">
        <v>1146</v>
      </c>
      <c r="C113" s="2586"/>
      <c r="D113" s="408"/>
      <c r="E113" s="936"/>
      <c r="F113" s="404"/>
      <c r="G113" s="404"/>
      <c r="H113" s="404"/>
      <c r="I113" s="404"/>
      <c r="J113" s="404"/>
      <c r="K113" s="1301"/>
      <c r="L113" s="1329"/>
    </row>
    <row r="114" spans="1:18" s="1134" customFormat="1" ht="24" customHeight="1">
      <c r="A114" s="935"/>
      <c r="B114" s="1312" t="s">
        <v>139</v>
      </c>
      <c r="C114" s="1313" t="s">
        <v>89</v>
      </c>
      <c r="D114" s="408">
        <v>27709.1</v>
      </c>
      <c r="E114" s="936" t="s">
        <v>87</v>
      </c>
      <c r="F114" s="1346">
        <v>21.4</v>
      </c>
      <c r="G114" s="1346">
        <v>3.6</v>
      </c>
      <c r="H114" s="404">
        <f t="shared" si="18"/>
        <v>592974.73999999987</v>
      </c>
      <c r="I114" s="404">
        <f t="shared" si="19"/>
        <v>99752.76</v>
      </c>
      <c r="J114" s="404">
        <f t="shared" si="20"/>
        <v>692727.49999999988</v>
      </c>
      <c r="K114" s="1301"/>
      <c r="L114" s="1329"/>
      <c r="M114" s="1334" t="s">
        <v>1016</v>
      </c>
      <c r="N114" s="1134" t="s">
        <v>659</v>
      </c>
    </row>
    <row r="115" spans="1:18" s="1134" customFormat="1" ht="24" customHeight="1">
      <c r="A115" s="935"/>
      <c r="B115" s="1312" t="s">
        <v>139</v>
      </c>
      <c r="C115" s="1313" t="s">
        <v>200</v>
      </c>
      <c r="D115" s="936">
        <f>SUM(D114:D114)*0.03</f>
        <v>831.27299999999991</v>
      </c>
      <c r="E115" s="936" t="s">
        <v>87</v>
      </c>
      <c r="F115" s="1346">
        <v>25.83</v>
      </c>
      <c r="G115" s="1346">
        <v>0</v>
      </c>
      <c r="H115" s="404">
        <f t="shared" si="18"/>
        <v>21471.781589999995</v>
      </c>
      <c r="I115" s="404">
        <f t="shared" si="19"/>
        <v>0</v>
      </c>
      <c r="J115" s="404">
        <f t="shared" si="20"/>
        <v>21471.781589999995</v>
      </c>
      <c r="K115" s="1301"/>
      <c r="L115" s="1329"/>
      <c r="M115" s="1334" t="s">
        <v>1019</v>
      </c>
    </row>
    <row r="116" spans="1:18" s="1134" customFormat="1" ht="24" customHeight="1">
      <c r="A116" s="894"/>
      <c r="B116" s="1514"/>
      <c r="C116" s="1515"/>
      <c r="D116" s="1516"/>
      <c r="E116" s="961"/>
      <c r="F116" s="1517"/>
      <c r="G116" s="1517"/>
      <c r="H116" s="412"/>
      <c r="I116" s="412"/>
      <c r="J116" s="412"/>
      <c r="K116" s="1300"/>
      <c r="L116" s="1329"/>
      <c r="M116" s="1334"/>
    </row>
    <row r="117" spans="1:18" s="1289" customFormat="1" ht="24" customHeight="1" thickBot="1">
      <c r="A117" s="1092"/>
      <c r="B117" s="1092"/>
      <c r="C117" s="1290" t="str">
        <f>"รวมราคา "&amp;B100</f>
        <v>รวมราคา งานถนน</v>
      </c>
      <c r="D117" s="1337"/>
      <c r="E117" s="1299"/>
      <c r="F117" s="1299"/>
      <c r="G117" s="1299"/>
      <c r="H117" s="1338">
        <f>SUM(H101:H115)</f>
        <v>4229022.0730899991</v>
      </c>
      <c r="I117" s="1338">
        <f>SUM(I101:I115)</f>
        <v>319682.20999999996</v>
      </c>
      <c r="J117" s="1338">
        <f>SUM(J101:J115)</f>
        <v>4548704.2830899991</v>
      </c>
      <c r="K117" s="962"/>
      <c r="L117" s="1339"/>
    </row>
    <row r="118" spans="1:18" s="1289" customFormat="1" ht="24" customHeight="1" thickTop="1">
      <c r="A118" s="1380"/>
      <c r="B118" s="1380"/>
      <c r="C118" s="1380"/>
      <c r="D118" s="1195"/>
      <c r="E118" s="1195"/>
      <c r="F118" s="1195"/>
      <c r="G118" s="1195"/>
      <c r="H118" s="1195"/>
      <c r="I118" s="1195"/>
      <c r="J118" s="1195"/>
      <c r="K118" s="1195"/>
      <c r="L118" s="1339"/>
    </row>
    <row r="119" spans="1:18" s="1289" customFormat="1" ht="24" customHeight="1">
      <c r="A119" s="922"/>
      <c r="B119" s="1196" t="s">
        <v>133</v>
      </c>
      <c r="C119" s="1381"/>
      <c r="D119" s="1381"/>
      <c r="E119" s="1382"/>
      <c r="F119" s="1382"/>
      <c r="G119" s="1382"/>
      <c r="H119" s="1382"/>
      <c r="I119" s="1382"/>
      <c r="J119" s="1382"/>
      <c r="K119" s="1382"/>
      <c r="L119" s="1339"/>
    </row>
    <row r="120" spans="1:18" s="1289" customFormat="1" ht="24" customHeight="1">
      <c r="A120" s="1134"/>
      <c r="B120" s="1017" t="s">
        <v>1769</v>
      </c>
      <c r="C120" s="1384"/>
      <c r="D120" s="1134"/>
      <c r="E120" s="1134"/>
      <c r="F120" s="1017" t="s">
        <v>134</v>
      </c>
      <c r="G120" s="1384"/>
      <c r="H120" s="1134"/>
      <c r="I120" s="1134"/>
      <c r="J120" s="1134"/>
      <c r="K120" s="1134"/>
      <c r="L120" s="1339"/>
    </row>
    <row r="121" spans="1:18" s="1289" customFormat="1" ht="24" customHeight="1">
      <c r="A121" s="1134"/>
      <c r="B121" s="419" t="s">
        <v>1970</v>
      </c>
      <c r="C121" s="1385"/>
      <c r="D121" s="1134"/>
      <c r="E121" s="1386"/>
      <c r="F121" s="1019" t="s">
        <v>1971</v>
      </c>
      <c r="G121" s="1387"/>
      <c r="H121" s="1386"/>
      <c r="I121" s="1386"/>
      <c r="J121" s="1386"/>
      <c r="K121" s="1386"/>
      <c r="L121" s="1339"/>
    </row>
    <row r="122" spans="1:18" s="1289" customFormat="1" ht="24" customHeight="1">
      <c r="A122" s="1134"/>
      <c r="B122" s="1017" t="s">
        <v>2031</v>
      </c>
      <c r="C122" s="1385"/>
      <c r="D122" s="1134"/>
      <c r="E122" s="1386"/>
      <c r="F122" s="1017" t="s">
        <v>2035</v>
      </c>
      <c r="G122" s="1387"/>
      <c r="H122" s="1386"/>
      <c r="I122" s="1386"/>
      <c r="J122" s="1386"/>
      <c r="K122" s="1386"/>
      <c r="L122" s="1339"/>
    </row>
    <row r="123" spans="1:18" s="1289" customFormat="1" ht="24" customHeight="1">
      <c r="A123" s="1134"/>
      <c r="B123" s="419" t="s">
        <v>1984</v>
      </c>
      <c r="C123" s="1385"/>
      <c r="D123" s="1134"/>
      <c r="E123" s="1386"/>
      <c r="F123" s="419" t="s">
        <v>1985</v>
      </c>
      <c r="G123" s="1387"/>
      <c r="H123" s="1386"/>
      <c r="I123" s="1386"/>
      <c r="J123" s="1386"/>
      <c r="K123" s="1386"/>
      <c r="L123" s="1339"/>
    </row>
    <row r="124" spans="1:18" s="1289" customFormat="1" ht="24" customHeight="1">
      <c r="A124" s="1134"/>
      <c r="B124" s="1017" t="s">
        <v>670</v>
      </c>
      <c r="C124" s="1384"/>
      <c r="D124" s="1384"/>
      <c r="E124" s="1389"/>
      <c r="F124" s="866"/>
      <c r="G124" s="1389"/>
      <c r="H124" s="1389"/>
      <c r="I124" s="1389"/>
      <c r="J124" s="1389"/>
      <c r="K124" s="1389"/>
      <c r="L124" s="1339"/>
    </row>
    <row r="125" spans="1:18" s="1289" customFormat="1" ht="24" customHeight="1">
      <c r="A125" s="1134"/>
      <c r="B125" s="419" t="s">
        <v>1972</v>
      </c>
      <c r="C125" s="1387"/>
      <c r="D125" s="1387"/>
      <c r="E125" s="1134"/>
      <c r="F125" s="1134"/>
      <c r="G125" s="1134"/>
      <c r="H125" s="1134"/>
      <c r="I125" s="1134"/>
      <c r="J125" s="1134"/>
      <c r="K125" s="1134"/>
      <c r="L125" s="1339"/>
    </row>
    <row r="126" spans="1:18" ht="24" customHeight="1">
      <c r="A126" s="1315">
        <v>8.3000000000000007</v>
      </c>
      <c r="B126" s="2604" t="s">
        <v>1150</v>
      </c>
      <c r="C126" s="2605"/>
      <c r="D126" s="1330"/>
      <c r="E126" s="1331"/>
      <c r="F126" s="1331"/>
      <c r="G126" s="1331"/>
      <c r="H126" s="1330"/>
      <c r="I126" s="1330"/>
      <c r="J126" s="1330"/>
      <c r="K126" s="1291"/>
      <c r="L126" s="1304"/>
      <c r="M126" s="1334"/>
    </row>
    <row r="127" spans="1:18" ht="24" customHeight="1">
      <c r="A127" s="933"/>
      <c r="B127" s="2600" t="s">
        <v>65</v>
      </c>
      <c r="C127" s="2601"/>
      <c r="D127" s="1297"/>
      <c r="E127" s="1298"/>
      <c r="F127" s="1298"/>
      <c r="G127" s="1298"/>
      <c r="H127" s="1297"/>
      <c r="I127" s="1297"/>
      <c r="J127" s="1297"/>
      <c r="K127" s="933"/>
      <c r="L127" s="1304"/>
      <c r="M127" s="407"/>
    </row>
    <row r="128" spans="1:18" s="407" customFormat="1" ht="24" customHeight="1">
      <c r="A128" s="935"/>
      <c r="B128" s="1312" t="s">
        <v>107</v>
      </c>
      <c r="C128" s="1313" t="s">
        <v>402</v>
      </c>
      <c r="D128" s="936">
        <v>15.4</v>
      </c>
      <c r="E128" s="936" t="s">
        <v>85</v>
      </c>
      <c r="F128" s="414">
        <v>2460</v>
      </c>
      <c r="G128" s="414">
        <v>426</v>
      </c>
      <c r="H128" s="404">
        <f>F128*D128</f>
        <v>37884</v>
      </c>
      <c r="I128" s="404">
        <f>G128*D128</f>
        <v>6560.4000000000005</v>
      </c>
      <c r="J128" s="404">
        <f>SUM(H128:I128)</f>
        <v>44444.4</v>
      </c>
      <c r="K128" s="1301"/>
      <c r="L128" s="1329"/>
      <c r="M128" s="1334" t="s">
        <v>1016</v>
      </c>
      <c r="N128" s="1134" t="s">
        <v>659</v>
      </c>
      <c r="O128" s="1134"/>
      <c r="P128" s="1134"/>
      <c r="Q128" s="1134"/>
      <c r="R128" s="1134"/>
    </row>
    <row r="129" spans="1:18" s="1134" customFormat="1" ht="24" customHeight="1">
      <c r="A129" s="935"/>
      <c r="B129" s="1312" t="s">
        <v>107</v>
      </c>
      <c r="C129" s="1313" t="s">
        <v>403</v>
      </c>
      <c r="D129" s="936">
        <v>7</v>
      </c>
      <c r="E129" s="936" t="s">
        <v>85</v>
      </c>
      <c r="F129" s="414">
        <v>513.33000000000004</v>
      </c>
      <c r="G129" s="414">
        <v>91</v>
      </c>
      <c r="H129" s="404">
        <f>F129*D129</f>
        <v>3593.3100000000004</v>
      </c>
      <c r="I129" s="404">
        <f>G129*D129</f>
        <v>637</v>
      </c>
      <c r="J129" s="404">
        <f>SUM(H129:I129)</f>
        <v>4230.3100000000004</v>
      </c>
      <c r="K129" s="1301"/>
      <c r="L129" s="1329"/>
      <c r="M129" s="1334" t="s">
        <v>1016</v>
      </c>
      <c r="N129" s="1134" t="s">
        <v>659</v>
      </c>
    </row>
    <row r="130" spans="1:18" s="1134" customFormat="1" ht="24" customHeight="1">
      <c r="A130" s="935"/>
      <c r="B130" s="2585" t="s">
        <v>1151</v>
      </c>
      <c r="C130" s="2586"/>
      <c r="D130" s="408"/>
      <c r="E130" s="936"/>
      <c r="F130" s="404"/>
      <c r="G130" s="404"/>
      <c r="H130" s="404"/>
      <c r="I130" s="404"/>
      <c r="J130" s="404"/>
      <c r="K130" s="1301"/>
      <c r="L130" s="1329"/>
    </row>
    <row r="131" spans="1:18" s="1134" customFormat="1" ht="24" customHeight="1">
      <c r="A131" s="935"/>
      <c r="B131" s="1312" t="s">
        <v>139</v>
      </c>
      <c r="C131" s="1313" t="s">
        <v>228</v>
      </c>
      <c r="D131" s="408">
        <v>15.4</v>
      </c>
      <c r="E131" s="936" t="s">
        <v>85</v>
      </c>
      <c r="F131" s="414">
        <v>2679.9</v>
      </c>
      <c r="G131" s="414">
        <v>327</v>
      </c>
      <c r="H131" s="404">
        <f>F131*D131</f>
        <v>41270.46</v>
      </c>
      <c r="I131" s="404">
        <f>G131*D131</f>
        <v>5035.8</v>
      </c>
      <c r="J131" s="404">
        <f>SUM(H131:I131)</f>
        <v>46306.26</v>
      </c>
      <c r="K131" s="1301"/>
      <c r="L131" s="1329"/>
      <c r="M131" s="1334" t="s">
        <v>1016</v>
      </c>
      <c r="N131" s="1134" t="s">
        <v>659</v>
      </c>
    </row>
    <row r="132" spans="1:18" s="1134" customFormat="1" ht="24" customHeight="1">
      <c r="A132" s="935"/>
      <c r="B132" s="2585" t="s">
        <v>1152</v>
      </c>
      <c r="C132" s="2586"/>
      <c r="D132" s="408">
        <v>221</v>
      </c>
      <c r="E132" s="936"/>
      <c r="F132" s="404"/>
      <c r="G132" s="404"/>
      <c r="H132" s="404"/>
      <c r="I132" s="404"/>
      <c r="J132" s="404"/>
      <c r="K132" s="1301"/>
      <c r="L132" s="1329"/>
    </row>
    <row r="133" spans="1:18" s="1134" customFormat="1" ht="24" customHeight="1">
      <c r="A133" s="935"/>
      <c r="B133" s="1312" t="s">
        <v>139</v>
      </c>
      <c r="C133" s="1313" t="s">
        <v>165</v>
      </c>
      <c r="D133" s="408">
        <f>D132</f>
        <v>221</v>
      </c>
      <c r="E133" s="936" t="s">
        <v>86</v>
      </c>
      <c r="F133" s="404"/>
      <c r="G133" s="404">
        <v>121</v>
      </c>
      <c r="H133" s="404">
        <f>F133*D133</f>
        <v>0</v>
      </c>
      <c r="I133" s="404">
        <f>G133*D133</f>
        <v>26741</v>
      </c>
      <c r="J133" s="404">
        <f>SUM(H133:I133)</f>
        <v>26741</v>
      </c>
      <c r="K133" s="1301"/>
      <c r="L133" s="1329"/>
      <c r="M133" s="1334" t="s">
        <v>1017</v>
      </c>
      <c r="N133" s="1134" t="s">
        <v>659</v>
      </c>
    </row>
    <row r="134" spans="1:18" s="1134" customFormat="1" ht="24" customHeight="1">
      <c r="A134" s="935"/>
      <c r="B134" s="1312" t="s">
        <v>139</v>
      </c>
      <c r="C134" s="1313" t="s">
        <v>198</v>
      </c>
      <c r="D134" s="408">
        <f>D132*0.5</f>
        <v>110.5</v>
      </c>
      <c r="E134" s="936" t="s">
        <v>164</v>
      </c>
      <c r="F134" s="404">
        <v>400</v>
      </c>
      <c r="G134" s="404"/>
      <c r="H134" s="404">
        <f>F134*D134</f>
        <v>44200</v>
      </c>
      <c r="I134" s="404">
        <f>G134*D134</f>
        <v>0</v>
      </c>
      <c r="J134" s="404">
        <f>SUM(H134:I134)</f>
        <v>44200</v>
      </c>
      <c r="K134" s="1301"/>
      <c r="L134" s="1329"/>
      <c r="M134" s="1334" t="s">
        <v>1018</v>
      </c>
    </row>
    <row r="135" spans="1:18" s="1134" customFormat="1" ht="24" customHeight="1">
      <c r="A135" s="935"/>
      <c r="B135" s="1312" t="s">
        <v>139</v>
      </c>
      <c r="C135" s="1313" t="s">
        <v>166</v>
      </c>
      <c r="D135" s="408">
        <f>D134*0.3</f>
        <v>33.15</v>
      </c>
      <c r="E135" s="936" t="s">
        <v>164</v>
      </c>
      <c r="F135" s="404">
        <v>400</v>
      </c>
      <c r="G135" s="404">
        <v>0</v>
      </c>
      <c r="H135" s="404">
        <f>F135*D135</f>
        <v>13260</v>
      </c>
      <c r="I135" s="404">
        <f>G135*D135</f>
        <v>0</v>
      </c>
      <c r="J135" s="404">
        <f>SUM(H135:I135)</f>
        <v>13260</v>
      </c>
      <c r="K135" s="1301"/>
      <c r="L135" s="1329"/>
      <c r="M135" s="1334" t="s">
        <v>1018</v>
      </c>
    </row>
    <row r="136" spans="1:18" s="1134" customFormat="1" ht="29.25" customHeight="1">
      <c r="A136" s="935"/>
      <c r="B136" s="1347" t="s">
        <v>139</v>
      </c>
      <c r="C136" s="1313" t="s">
        <v>199</v>
      </c>
      <c r="D136" s="408">
        <f>D132*0.25</f>
        <v>55.25</v>
      </c>
      <c r="E136" s="936" t="s">
        <v>87</v>
      </c>
      <c r="F136" s="414">
        <v>23.89</v>
      </c>
      <c r="G136" s="414">
        <v>0</v>
      </c>
      <c r="H136" s="404">
        <f>F136*D136</f>
        <v>1319.9225000000001</v>
      </c>
      <c r="I136" s="404">
        <f>G136*D136</f>
        <v>0</v>
      </c>
      <c r="J136" s="404">
        <f>SUM(H136:I136)</f>
        <v>1319.9225000000001</v>
      </c>
      <c r="K136" s="1348"/>
      <c r="L136" s="1329"/>
      <c r="M136" s="1334" t="s">
        <v>660</v>
      </c>
    </row>
    <row r="137" spans="1:18" s="1134" customFormat="1" ht="24" customHeight="1">
      <c r="A137" s="933"/>
      <c r="B137" s="2600" t="s">
        <v>1153</v>
      </c>
      <c r="C137" s="2601"/>
      <c r="D137" s="410"/>
      <c r="E137" s="934"/>
      <c r="F137" s="406"/>
      <c r="G137" s="406"/>
      <c r="H137" s="406"/>
      <c r="I137" s="406"/>
      <c r="J137" s="406"/>
      <c r="K137" s="1297"/>
      <c r="L137" s="1329"/>
    </row>
    <row r="138" spans="1:18" s="1134" customFormat="1" ht="24" customHeight="1">
      <c r="A138" s="935"/>
      <c r="B138" s="1312" t="s">
        <v>139</v>
      </c>
      <c r="C138" s="1313" t="s">
        <v>89</v>
      </c>
      <c r="D138" s="408">
        <v>4804</v>
      </c>
      <c r="E138" s="936" t="s">
        <v>87</v>
      </c>
      <c r="F138" s="1346">
        <v>21.4</v>
      </c>
      <c r="G138" s="1346">
        <v>3.6</v>
      </c>
      <c r="H138" s="404">
        <f>F138*D138</f>
        <v>102805.59999999999</v>
      </c>
      <c r="I138" s="404">
        <f>G138*D138</f>
        <v>17294.400000000001</v>
      </c>
      <c r="J138" s="404">
        <f>SUM(H138:I138)</f>
        <v>120100</v>
      </c>
      <c r="K138" s="1301"/>
      <c r="L138" s="1329"/>
      <c r="M138" s="1334" t="s">
        <v>1016</v>
      </c>
      <c r="N138" s="1134" t="s">
        <v>659</v>
      </c>
    </row>
    <row r="139" spans="1:18" s="1134" customFormat="1" ht="24" customHeight="1">
      <c r="A139" s="935"/>
      <c r="B139" s="1312" t="s">
        <v>139</v>
      </c>
      <c r="C139" s="1313" t="s">
        <v>200</v>
      </c>
      <c r="D139" s="936">
        <f>SUM(D138:D138)*0.03</f>
        <v>144.12</v>
      </c>
      <c r="E139" s="936" t="s">
        <v>87</v>
      </c>
      <c r="F139" s="1346">
        <v>25.83</v>
      </c>
      <c r="G139" s="1346">
        <v>0</v>
      </c>
      <c r="H139" s="404">
        <f>F139*D139</f>
        <v>3722.6196</v>
      </c>
      <c r="I139" s="404">
        <f>G139*D139</f>
        <v>0</v>
      </c>
      <c r="J139" s="404">
        <f>SUM(H139:I139)</f>
        <v>3722.6196</v>
      </c>
      <c r="K139" s="1301"/>
      <c r="L139" s="1329"/>
      <c r="M139" s="1334" t="s">
        <v>1019</v>
      </c>
    </row>
    <row r="140" spans="1:18" s="407" customFormat="1" ht="24" customHeight="1">
      <c r="A140" s="935"/>
      <c r="B140" s="1318" t="s">
        <v>107</v>
      </c>
      <c r="C140" s="1333" t="s">
        <v>1203</v>
      </c>
      <c r="D140" s="936">
        <v>120</v>
      </c>
      <c r="E140" s="936" t="s">
        <v>1154</v>
      </c>
      <c r="F140" s="414">
        <v>2800</v>
      </c>
      <c r="G140" s="414">
        <v>0</v>
      </c>
      <c r="H140" s="404">
        <f>F140*D140</f>
        <v>336000</v>
      </c>
      <c r="I140" s="404">
        <f>G140*D140</f>
        <v>0</v>
      </c>
      <c r="J140" s="404">
        <f>SUM(H140:I140)</f>
        <v>336000</v>
      </c>
      <c r="K140" s="1301"/>
      <c r="L140" s="1108" t="s">
        <v>1884</v>
      </c>
      <c r="M140" s="1349" t="s">
        <v>622</v>
      </c>
      <c r="N140" s="1134" t="s">
        <v>659</v>
      </c>
      <c r="O140" s="1134"/>
      <c r="P140" s="1134"/>
      <c r="Q140" s="1134"/>
      <c r="R140" s="1134"/>
    </row>
    <row r="141" spans="1:18" s="407" customFormat="1" ht="24" customHeight="1">
      <c r="A141" s="894"/>
      <c r="B141" s="1341" t="s">
        <v>139</v>
      </c>
      <c r="C141" s="1350" t="s">
        <v>1234</v>
      </c>
      <c r="D141" s="408">
        <v>1283</v>
      </c>
      <c r="E141" s="408" t="s">
        <v>87</v>
      </c>
      <c r="F141" s="404">
        <v>24.6</v>
      </c>
      <c r="G141" s="404">
        <v>10</v>
      </c>
      <c r="H141" s="404">
        <f>F141*D141</f>
        <v>31561.800000000003</v>
      </c>
      <c r="I141" s="404">
        <f>G141*D141</f>
        <v>12830</v>
      </c>
      <c r="J141" s="404">
        <f>H141+I141</f>
        <v>44391.8</v>
      </c>
      <c r="K141" s="1301"/>
      <c r="L141" s="1329"/>
      <c r="M141" s="1334"/>
      <c r="N141" s="1134"/>
      <c r="O141" s="1134"/>
      <c r="P141" s="1134"/>
      <c r="Q141" s="1134"/>
      <c r="R141" s="1134"/>
    </row>
    <row r="142" spans="1:18" s="407" customFormat="1" ht="24" customHeight="1">
      <c r="A142" s="894"/>
      <c r="B142" s="1518"/>
      <c r="C142" s="1519"/>
      <c r="D142" s="1520"/>
      <c r="E142" s="424"/>
      <c r="F142" s="412"/>
      <c r="G142" s="412"/>
      <c r="H142" s="412"/>
      <c r="I142" s="412"/>
      <c r="J142" s="412"/>
      <c r="K142" s="1300"/>
      <c r="L142" s="1329"/>
      <c r="M142" s="1334"/>
      <c r="N142" s="1134"/>
      <c r="O142" s="1134"/>
      <c r="P142" s="1134"/>
      <c r="Q142" s="1134"/>
      <c r="R142" s="1134"/>
    </row>
    <row r="143" spans="1:18" s="1289" customFormat="1" ht="24" customHeight="1" thickBot="1">
      <c r="A143" s="1092"/>
      <c r="B143" s="1092"/>
      <c r="C143" s="1290" t="str">
        <f>"รวมราคา "&amp;B126</f>
        <v>รวมราคา งานรางระบายน้ำ</v>
      </c>
      <c r="D143" s="1337"/>
      <c r="E143" s="1299"/>
      <c r="F143" s="1299"/>
      <c r="G143" s="1299"/>
      <c r="H143" s="1338">
        <f>SUM(H127:H141)</f>
        <v>615617.7121</v>
      </c>
      <c r="I143" s="1338">
        <f>SUM(I127:I141)</f>
        <v>69098.600000000006</v>
      </c>
      <c r="J143" s="1338">
        <f>SUM(J127:J141)</f>
        <v>684716.31209999998</v>
      </c>
      <c r="K143" s="962"/>
      <c r="L143" s="1339"/>
    </row>
    <row r="144" spans="1:18" s="1289" customFormat="1" ht="24" customHeight="1" thickTop="1">
      <c r="A144" s="1380"/>
      <c r="B144" s="1380"/>
      <c r="C144" s="1380"/>
      <c r="D144" s="1195"/>
      <c r="E144" s="1195"/>
      <c r="F144" s="1195"/>
      <c r="G144" s="1195"/>
      <c r="H144" s="1195"/>
      <c r="I144" s="1195"/>
      <c r="J144" s="1195"/>
      <c r="K144" s="1195"/>
      <c r="L144" s="1339"/>
    </row>
    <row r="145" spans="1:19" s="1289" customFormat="1" ht="24" customHeight="1">
      <c r="A145" s="922"/>
      <c r="B145" s="1196" t="s">
        <v>133</v>
      </c>
      <c r="C145" s="1381"/>
      <c r="D145" s="1381"/>
      <c r="E145" s="1382"/>
      <c r="F145" s="1382"/>
      <c r="G145" s="1382"/>
      <c r="H145" s="1382"/>
      <c r="I145" s="1382"/>
      <c r="J145" s="1382"/>
      <c r="K145" s="1382"/>
      <c r="L145" s="1339"/>
    </row>
    <row r="146" spans="1:19" s="1289" customFormat="1" ht="24" customHeight="1">
      <c r="A146" s="1134"/>
      <c r="B146" s="1017" t="s">
        <v>1769</v>
      </c>
      <c r="C146" s="1384"/>
      <c r="D146" s="1134"/>
      <c r="E146" s="1134"/>
      <c r="F146" s="1017" t="s">
        <v>134</v>
      </c>
      <c r="G146" s="1384"/>
      <c r="H146" s="1134"/>
      <c r="I146" s="1134"/>
      <c r="J146" s="1134"/>
      <c r="K146" s="1134"/>
      <c r="L146" s="1339"/>
    </row>
    <row r="147" spans="1:19" s="1289" customFormat="1" ht="24" customHeight="1">
      <c r="A147" s="1134"/>
      <c r="B147" s="419" t="s">
        <v>1970</v>
      </c>
      <c r="C147" s="1385"/>
      <c r="D147" s="1134"/>
      <c r="E147" s="1386"/>
      <c r="F147" s="1019" t="s">
        <v>1971</v>
      </c>
      <c r="G147" s="1387"/>
      <c r="H147" s="1386"/>
      <c r="I147" s="1386"/>
      <c r="J147" s="1386"/>
      <c r="K147" s="1386"/>
      <c r="L147" s="1339"/>
    </row>
    <row r="148" spans="1:19" s="1289" customFormat="1" ht="24" customHeight="1">
      <c r="A148" s="1134"/>
      <c r="B148" s="1017" t="s">
        <v>2031</v>
      </c>
      <c r="C148" s="1385"/>
      <c r="D148" s="1134"/>
      <c r="E148" s="1386"/>
      <c r="F148" s="1017" t="s">
        <v>2035</v>
      </c>
      <c r="G148" s="1387"/>
      <c r="H148" s="1386"/>
      <c r="I148" s="1386"/>
      <c r="J148" s="1386"/>
      <c r="K148" s="1386"/>
      <c r="L148" s="1339"/>
    </row>
    <row r="149" spans="1:19" s="1289" customFormat="1" ht="24" customHeight="1">
      <c r="A149" s="1134"/>
      <c r="B149" s="419" t="s">
        <v>1984</v>
      </c>
      <c r="C149" s="1385"/>
      <c r="D149" s="1134"/>
      <c r="E149" s="1386"/>
      <c r="F149" s="419" t="s">
        <v>1985</v>
      </c>
      <c r="G149" s="1387"/>
      <c r="H149" s="1386"/>
      <c r="I149" s="1386"/>
      <c r="J149" s="1386"/>
      <c r="K149" s="1386"/>
      <c r="L149" s="1339"/>
    </row>
    <row r="150" spans="1:19" s="1289" customFormat="1" ht="24" customHeight="1">
      <c r="A150" s="1134"/>
      <c r="B150" s="1017" t="s">
        <v>670</v>
      </c>
      <c r="C150" s="1384"/>
      <c r="D150" s="1384"/>
      <c r="E150" s="1389"/>
      <c r="F150" s="866"/>
      <c r="G150" s="1389"/>
      <c r="H150" s="1389"/>
      <c r="I150" s="1389"/>
      <c r="J150" s="1389"/>
      <c r="K150" s="1389"/>
      <c r="L150" s="1339"/>
    </row>
    <row r="151" spans="1:19" s="1289" customFormat="1" ht="24" customHeight="1">
      <c r="A151" s="1134"/>
      <c r="B151" s="419" t="s">
        <v>1972</v>
      </c>
      <c r="C151" s="1387"/>
      <c r="D151" s="1387"/>
      <c r="E151" s="1134"/>
      <c r="F151" s="1134"/>
      <c r="G151" s="1134"/>
      <c r="H151" s="1134"/>
      <c r="I151" s="1134"/>
      <c r="J151" s="1134"/>
      <c r="K151" s="1134"/>
      <c r="L151" s="1339"/>
    </row>
    <row r="152" spans="1:19" s="1134" customFormat="1" ht="24" customHeight="1">
      <c r="A152" s="969">
        <v>8.4</v>
      </c>
      <c r="B152" s="2443" t="s">
        <v>442</v>
      </c>
      <c r="C152" s="2444"/>
      <c r="D152" s="1351"/>
      <c r="E152" s="1352"/>
      <c r="F152" s="1353"/>
      <c r="G152" s="1354"/>
      <c r="H152" s="1355"/>
      <c r="I152" s="1354"/>
      <c r="J152" s="1354"/>
      <c r="K152" s="1356"/>
      <c r="L152" s="1357"/>
      <c r="M152" s="1334"/>
    </row>
    <row r="153" spans="1:19" s="1344" customFormat="1" ht="24" customHeight="1">
      <c r="A153" s="1358" t="s">
        <v>1196</v>
      </c>
      <c r="B153" s="1359" t="s">
        <v>1789</v>
      </c>
      <c r="C153" s="1360"/>
      <c r="D153" s="410"/>
      <c r="E153" s="410"/>
      <c r="F153" s="406"/>
      <c r="G153" s="406"/>
      <c r="H153" s="406"/>
      <c r="I153" s="406"/>
      <c r="J153" s="406"/>
      <c r="K153" s="406"/>
      <c r="L153" s="1345"/>
      <c r="M153" s="868"/>
      <c r="N153" s="868"/>
      <c r="O153" s="868"/>
      <c r="P153" s="868"/>
    </row>
    <row r="154" spans="1:19" s="1344" customFormat="1" ht="24" customHeight="1">
      <c r="A154" s="403"/>
      <c r="B154" s="1341" t="s">
        <v>139</v>
      </c>
      <c r="C154" s="1350" t="s">
        <v>1184</v>
      </c>
      <c r="D154" s="408">
        <v>120</v>
      </c>
      <c r="E154" s="408" t="s">
        <v>84</v>
      </c>
      <c r="F154" s="404">
        <v>1380</v>
      </c>
      <c r="G154" s="404">
        <f>F154*0.1</f>
        <v>138</v>
      </c>
      <c r="H154" s="404">
        <f>D154*F154</f>
        <v>165600</v>
      </c>
      <c r="I154" s="404">
        <f>D154*G154</f>
        <v>16560</v>
      </c>
      <c r="J154" s="404">
        <f>H154+I154</f>
        <v>182160</v>
      </c>
      <c r="K154" s="404"/>
      <c r="L154" s="1345"/>
      <c r="M154" s="1349" t="s">
        <v>622</v>
      </c>
      <c r="N154" s="1134" t="s">
        <v>659</v>
      </c>
      <c r="O154" s="868"/>
      <c r="P154" s="868"/>
    </row>
    <row r="155" spans="1:19" s="1344" customFormat="1" ht="24" customHeight="1">
      <c r="A155" s="403"/>
      <c r="B155" s="1341" t="s">
        <v>139</v>
      </c>
      <c r="C155" s="1350" t="s">
        <v>1185</v>
      </c>
      <c r="D155" s="408">
        <v>2</v>
      </c>
      <c r="E155" s="408" t="s">
        <v>85</v>
      </c>
      <c r="F155" s="404">
        <v>0</v>
      </c>
      <c r="G155" s="404">
        <v>485</v>
      </c>
      <c r="H155" s="404">
        <f>D155*F155</f>
        <v>0</v>
      </c>
      <c r="I155" s="404">
        <f>D155*G155</f>
        <v>970</v>
      </c>
      <c r="J155" s="404">
        <f>H155+I155</f>
        <v>970</v>
      </c>
      <c r="K155" s="404"/>
      <c r="L155" s="1345"/>
      <c r="M155" s="1349" t="s">
        <v>622</v>
      </c>
      <c r="N155" s="1134" t="s">
        <v>659</v>
      </c>
      <c r="O155" s="868"/>
      <c r="P155" s="868"/>
    </row>
    <row r="156" spans="1:19" s="1344" customFormat="1" ht="24" customHeight="1">
      <c r="A156" s="403"/>
      <c r="B156" s="1341"/>
      <c r="C156" s="1350" t="s">
        <v>1186</v>
      </c>
      <c r="D156" s="408">
        <v>100</v>
      </c>
      <c r="E156" s="408" t="s">
        <v>1128</v>
      </c>
      <c r="F156" s="404">
        <v>114</v>
      </c>
      <c r="G156" s="404">
        <v>0</v>
      </c>
      <c r="H156" s="404">
        <f>D156*F156</f>
        <v>11400</v>
      </c>
      <c r="I156" s="404">
        <f>D156*G156</f>
        <v>0</v>
      </c>
      <c r="J156" s="404">
        <f>H156+I156</f>
        <v>11400</v>
      </c>
      <c r="K156" s="404"/>
      <c r="L156" s="1345"/>
      <c r="M156" s="1349" t="s">
        <v>622</v>
      </c>
      <c r="N156" s="1134" t="s">
        <v>659</v>
      </c>
      <c r="O156" s="868"/>
      <c r="P156" s="868"/>
    </row>
    <row r="157" spans="1:19" s="1366" customFormat="1" ht="24" customHeight="1">
      <c r="A157" s="1361" t="s">
        <v>1197</v>
      </c>
      <c r="B157" s="2606" t="s">
        <v>1187</v>
      </c>
      <c r="C157" s="2607"/>
      <c r="D157" s="1362"/>
      <c r="E157" s="1363"/>
      <c r="F157" s="1364"/>
      <c r="G157" s="1364"/>
      <c r="H157" s="404"/>
      <c r="I157" s="404"/>
      <c r="J157" s="404"/>
      <c r="K157" s="1361"/>
      <c r="L157" s="1365"/>
    </row>
    <row r="158" spans="1:19" s="1344" customFormat="1" ht="24" customHeight="1">
      <c r="A158" s="403"/>
      <c r="B158" s="1341" t="s">
        <v>139</v>
      </c>
      <c r="C158" s="1350" t="s">
        <v>1188</v>
      </c>
      <c r="D158" s="408">
        <v>216</v>
      </c>
      <c r="E158" s="408" t="s">
        <v>85</v>
      </c>
      <c r="F158" s="404">
        <v>0</v>
      </c>
      <c r="G158" s="404">
        <v>168</v>
      </c>
      <c r="H158" s="404">
        <f>F158*D158</f>
        <v>0</v>
      </c>
      <c r="I158" s="404">
        <f>G158*D158</f>
        <v>36288</v>
      </c>
      <c r="J158" s="404">
        <f>H158+I158</f>
        <v>36288</v>
      </c>
      <c r="K158" s="404"/>
      <c r="L158" s="1345"/>
      <c r="M158" s="939" t="s">
        <v>1015</v>
      </c>
      <c r="N158" s="1134" t="s">
        <v>659</v>
      </c>
      <c r="O158" s="407"/>
      <c r="P158" s="407"/>
      <c r="Q158" s="407"/>
      <c r="R158" s="407"/>
      <c r="S158" s="407"/>
    </row>
    <row r="159" spans="1:19" s="1344" customFormat="1" ht="24" customHeight="1">
      <c r="A159" s="403"/>
      <c r="B159" s="1341" t="s">
        <v>139</v>
      </c>
      <c r="C159" s="1350" t="s">
        <v>1189</v>
      </c>
      <c r="D159" s="408">
        <v>101</v>
      </c>
      <c r="E159" s="408" t="s">
        <v>85</v>
      </c>
      <c r="F159" s="404">
        <v>415</v>
      </c>
      <c r="G159" s="404">
        <v>112</v>
      </c>
      <c r="H159" s="404">
        <f>F159*D159</f>
        <v>41915</v>
      </c>
      <c r="I159" s="404">
        <f>G159*D159</f>
        <v>11312</v>
      </c>
      <c r="J159" s="404">
        <f>H159+I159</f>
        <v>53227</v>
      </c>
      <c r="K159" s="404"/>
      <c r="L159" s="1345"/>
      <c r="M159" s="939" t="s">
        <v>1016</v>
      </c>
      <c r="N159" s="1134" t="s">
        <v>659</v>
      </c>
      <c r="O159" s="407"/>
      <c r="P159" s="407"/>
      <c r="Q159" s="407"/>
      <c r="R159" s="407"/>
      <c r="S159" s="407"/>
    </row>
    <row r="160" spans="1:19" s="1344" customFormat="1" ht="24" customHeight="1">
      <c r="A160" s="403"/>
      <c r="B160" s="1341" t="s">
        <v>139</v>
      </c>
      <c r="C160" s="1350" t="s">
        <v>402</v>
      </c>
      <c r="D160" s="408">
        <v>1.9</v>
      </c>
      <c r="E160" s="408" t="s">
        <v>85</v>
      </c>
      <c r="F160" s="414">
        <v>2460</v>
      </c>
      <c r="G160" s="414">
        <v>426</v>
      </c>
      <c r="H160" s="404">
        <f>F160*D160</f>
        <v>4674</v>
      </c>
      <c r="I160" s="404">
        <f>G160*D160</f>
        <v>809.4</v>
      </c>
      <c r="J160" s="404">
        <f>H160+I160</f>
        <v>5483.4</v>
      </c>
      <c r="K160" s="404"/>
      <c r="L160" s="1345"/>
      <c r="M160" s="939" t="s">
        <v>1016</v>
      </c>
      <c r="N160" s="1134" t="s">
        <v>659</v>
      </c>
      <c r="O160" s="407"/>
      <c r="P160" s="407"/>
      <c r="Q160" s="407"/>
      <c r="R160" s="407"/>
      <c r="S160" s="407"/>
    </row>
    <row r="161" spans="1:18" s="1368" customFormat="1" ht="24" customHeight="1">
      <c r="A161" s="403"/>
      <c r="B161" s="1341" t="s">
        <v>139</v>
      </c>
      <c r="C161" s="1350" t="s">
        <v>403</v>
      </c>
      <c r="D161" s="408">
        <v>1.9</v>
      </c>
      <c r="E161" s="408" t="s">
        <v>85</v>
      </c>
      <c r="F161" s="404">
        <v>513.33000000000004</v>
      </c>
      <c r="G161" s="404">
        <v>91</v>
      </c>
      <c r="H161" s="404">
        <f>F161*D161</f>
        <v>975.327</v>
      </c>
      <c r="I161" s="404">
        <f>G161*D161</f>
        <v>172.9</v>
      </c>
      <c r="J161" s="404">
        <f>H161+I161</f>
        <v>1148.2270000000001</v>
      </c>
      <c r="K161" s="404"/>
      <c r="L161" s="1345"/>
      <c r="M161" s="939" t="s">
        <v>1016</v>
      </c>
      <c r="N161" s="1134" t="s">
        <v>659</v>
      </c>
      <c r="O161" s="1367"/>
      <c r="P161" s="1367"/>
    </row>
    <row r="162" spans="1:18" s="1344" customFormat="1" ht="24" customHeight="1">
      <c r="A162" s="409"/>
      <c r="B162" s="1341" t="s">
        <v>107</v>
      </c>
      <c r="C162" s="1313" t="s">
        <v>228</v>
      </c>
      <c r="D162" s="408">
        <v>16.8</v>
      </c>
      <c r="E162" s="408" t="s">
        <v>85</v>
      </c>
      <c r="F162" s="414">
        <v>2679.9</v>
      </c>
      <c r="G162" s="414">
        <v>327</v>
      </c>
      <c r="H162" s="404">
        <f>F162*D162</f>
        <v>45022.320000000007</v>
      </c>
      <c r="I162" s="404">
        <f>G162*D162</f>
        <v>5493.6</v>
      </c>
      <c r="J162" s="404">
        <f>H162+I162</f>
        <v>50515.920000000006</v>
      </c>
      <c r="K162" s="404"/>
      <c r="L162" s="1345"/>
      <c r="M162" s="939" t="s">
        <v>1016</v>
      </c>
      <c r="N162" s="1134" t="s">
        <v>659</v>
      </c>
      <c r="O162" s="868"/>
      <c r="P162" s="868"/>
    </row>
    <row r="163" spans="1:18" s="1344" customFormat="1" ht="24" customHeight="1">
      <c r="A163" s="409"/>
      <c r="B163" s="2608" t="s">
        <v>1190</v>
      </c>
      <c r="C163" s="2609"/>
      <c r="D163" s="404">
        <v>85</v>
      </c>
      <c r="E163" s="408" t="s">
        <v>86</v>
      </c>
      <c r="F163" s="404"/>
      <c r="G163" s="404"/>
      <c r="H163" s="404"/>
      <c r="I163" s="404"/>
      <c r="J163" s="404"/>
      <c r="K163" s="404"/>
      <c r="L163" s="1345"/>
      <c r="M163" s="868"/>
      <c r="N163" s="868"/>
      <c r="O163" s="868"/>
      <c r="P163" s="868"/>
    </row>
    <row r="164" spans="1:18" s="1344" customFormat="1" ht="24" customHeight="1">
      <c r="A164" s="403"/>
      <c r="B164" s="1341" t="s">
        <v>139</v>
      </c>
      <c r="C164" s="1313" t="s">
        <v>165</v>
      </c>
      <c r="D164" s="408">
        <f>D163</f>
        <v>85</v>
      </c>
      <c r="E164" s="408" t="s">
        <v>86</v>
      </c>
      <c r="F164" s="404">
        <v>0</v>
      </c>
      <c r="G164" s="404">
        <v>121</v>
      </c>
      <c r="H164" s="404">
        <f>F164*D164</f>
        <v>0</v>
      </c>
      <c r="I164" s="404">
        <f>G164*D164</f>
        <v>10285</v>
      </c>
      <c r="J164" s="404">
        <f>H164+I164</f>
        <v>10285</v>
      </c>
      <c r="K164" s="404"/>
      <c r="L164" s="1345"/>
      <c r="M164" s="939" t="s">
        <v>1017</v>
      </c>
      <c r="N164" s="1134" t="s">
        <v>659</v>
      </c>
      <c r="O164" s="1134"/>
      <c r="P164" s="1134"/>
      <c r="Q164" s="1134"/>
      <c r="R164" s="1134"/>
    </row>
    <row r="165" spans="1:18" s="1344" customFormat="1" ht="24" customHeight="1">
      <c r="A165" s="403"/>
      <c r="B165" s="1341" t="s">
        <v>139</v>
      </c>
      <c r="C165" s="1350" t="s">
        <v>198</v>
      </c>
      <c r="D165" s="408">
        <f>D164*0.5</f>
        <v>42.5</v>
      </c>
      <c r="E165" s="408" t="s">
        <v>86</v>
      </c>
      <c r="F165" s="404">
        <v>400</v>
      </c>
      <c r="G165" s="404">
        <v>0</v>
      </c>
      <c r="H165" s="404">
        <f>F165*D165</f>
        <v>17000</v>
      </c>
      <c r="I165" s="404">
        <f>G165*D165</f>
        <v>0</v>
      </c>
      <c r="J165" s="404">
        <f>H165+I165</f>
        <v>17000</v>
      </c>
      <c r="K165" s="404"/>
      <c r="L165" s="1345"/>
      <c r="M165" s="939" t="s">
        <v>1018</v>
      </c>
      <c r="N165" s="1134"/>
      <c r="O165" s="1134"/>
      <c r="P165" s="1134"/>
      <c r="Q165" s="1134"/>
      <c r="R165" s="1134"/>
    </row>
    <row r="166" spans="1:18" s="1344" customFormat="1" ht="24" customHeight="1">
      <c r="A166" s="403"/>
      <c r="B166" s="1341" t="s">
        <v>139</v>
      </c>
      <c r="C166" s="1350" t="s">
        <v>1191</v>
      </c>
      <c r="D166" s="408">
        <f>D165*0.3</f>
        <v>12.75</v>
      </c>
      <c r="E166" s="408" t="s">
        <v>164</v>
      </c>
      <c r="F166" s="404">
        <v>400</v>
      </c>
      <c r="G166" s="404">
        <v>0</v>
      </c>
      <c r="H166" s="404">
        <f>F166*D166</f>
        <v>5100</v>
      </c>
      <c r="I166" s="404">
        <f>G166*D166</f>
        <v>0</v>
      </c>
      <c r="J166" s="404">
        <f>H166+I166</f>
        <v>5100</v>
      </c>
      <c r="K166" s="404"/>
      <c r="L166" s="1345"/>
      <c r="M166" s="939" t="s">
        <v>1018</v>
      </c>
      <c r="N166" s="407"/>
      <c r="O166" s="407"/>
      <c r="P166" s="407"/>
      <c r="Q166" s="407"/>
      <c r="R166" s="407"/>
    </row>
    <row r="167" spans="1:18" s="1344" customFormat="1" ht="24" customHeight="1">
      <c r="A167" s="1369"/>
      <c r="B167" s="1341" t="s">
        <v>139</v>
      </c>
      <c r="C167" s="1313" t="s">
        <v>199</v>
      </c>
      <c r="D167" s="404">
        <f>D164*0.25</f>
        <v>21.25</v>
      </c>
      <c r="E167" s="408" t="s">
        <v>87</v>
      </c>
      <c r="F167" s="404">
        <v>23.89</v>
      </c>
      <c r="G167" s="1370">
        <v>0</v>
      </c>
      <c r="H167" s="404">
        <f>F167*D167</f>
        <v>507.66250000000002</v>
      </c>
      <c r="I167" s="404">
        <f>G167*D167</f>
        <v>0</v>
      </c>
      <c r="J167" s="404">
        <f>H167+I167</f>
        <v>507.66250000000002</v>
      </c>
      <c r="K167" s="404"/>
      <c r="L167" s="1345"/>
      <c r="M167" s="939" t="s">
        <v>660</v>
      </c>
      <c r="N167" s="407"/>
      <c r="O167" s="407"/>
      <c r="P167" s="407"/>
      <c r="Q167" s="407"/>
      <c r="R167" s="407"/>
    </row>
    <row r="168" spans="1:18" s="1344" customFormat="1" ht="24" customHeight="1">
      <c r="A168" s="1380"/>
      <c r="B168" s="1380"/>
      <c r="C168" s="1380"/>
      <c r="D168" s="1195"/>
      <c r="E168" s="1195"/>
      <c r="F168" s="1195"/>
      <c r="G168" s="1195"/>
      <c r="H168" s="1195"/>
      <c r="I168" s="1195"/>
      <c r="J168" s="1195"/>
      <c r="K168" s="1195"/>
      <c r="L168" s="1345"/>
      <c r="M168" s="939"/>
      <c r="N168" s="407"/>
      <c r="O168" s="407"/>
      <c r="P168" s="407"/>
      <c r="Q168" s="407"/>
      <c r="R168" s="407"/>
    </row>
    <row r="169" spans="1:18" s="1344" customFormat="1" ht="24" customHeight="1">
      <c r="A169" s="922"/>
      <c r="B169" s="1196" t="s">
        <v>133</v>
      </c>
      <c r="C169" s="1381"/>
      <c r="D169" s="1381"/>
      <c r="E169" s="1382"/>
      <c r="F169" s="1382"/>
      <c r="G169" s="1382"/>
      <c r="H169" s="1382"/>
      <c r="I169" s="1382"/>
      <c r="J169" s="1382"/>
      <c r="K169" s="1382"/>
      <c r="L169" s="1345"/>
      <c r="M169" s="939"/>
      <c r="N169" s="407"/>
      <c r="O169" s="407"/>
      <c r="P169" s="407"/>
      <c r="Q169" s="407"/>
      <c r="R169" s="407"/>
    </row>
    <row r="170" spans="1:18" s="1344" customFormat="1" ht="24" customHeight="1">
      <c r="A170" s="1134"/>
      <c r="B170" s="1017" t="s">
        <v>1769</v>
      </c>
      <c r="C170" s="1384"/>
      <c r="D170" s="1134"/>
      <c r="E170" s="1134"/>
      <c r="F170" s="1017" t="s">
        <v>134</v>
      </c>
      <c r="G170" s="1384"/>
      <c r="H170" s="1134"/>
      <c r="I170" s="1134"/>
      <c r="J170" s="1134"/>
      <c r="K170" s="1134"/>
      <c r="L170" s="1345"/>
      <c r="M170" s="939"/>
      <c r="N170" s="407"/>
      <c r="O170" s="407"/>
      <c r="P170" s="407"/>
      <c r="Q170" s="407"/>
      <c r="R170" s="407"/>
    </row>
    <row r="171" spans="1:18" s="1344" customFormat="1" ht="24" customHeight="1">
      <c r="A171" s="1134"/>
      <c r="B171" s="419" t="s">
        <v>1970</v>
      </c>
      <c r="C171" s="1385"/>
      <c r="D171" s="1134"/>
      <c r="E171" s="1386"/>
      <c r="F171" s="1019" t="s">
        <v>1971</v>
      </c>
      <c r="G171" s="1387"/>
      <c r="H171" s="1386"/>
      <c r="I171" s="1386"/>
      <c r="J171" s="1386"/>
      <c r="K171" s="1386"/>
      <c r="L171" s="1345"/>
      <c r="M171" s="939"/>
      <c r="N171" s="407"/>
      <c r="O171" s="407"/>
      <c r="P171" s="407"/>
      <c r="Q171" s="407"/>
      <c r="R171" s="407"/>
    </row>
    <row r="172" spans="1:18" s="1344" customFormat="1" ht="24" customHeight="1">
      <c r="A172" s="1134"/>
      <c r="B172" s="1017" t="s">
        <v>2031</v>
      </c>
      <c r="C172" s="1385"/>
      <c r="D172" s="1134"/>
      <c r="E172" s="1386"/>
      <c r="F172" s="1017" t="s">
        <v>2035</v>
      </c>
      <c r="G172" s="1387"/>
      <c r="H172" s="1386"/>
      <c r="I172" s="1386"/>
      <c r="J172" s="1386"/>
      <c r="K172" s="1386"/>
      <c r="L172" s="1345"/>
      <c r="M172" s="939"/>
      <c r="N172" s="407"/>
      <c r="O172" s="407"/>
      <c r="P172" s="407"/>
      <c r="Q172" s="407"/>
      <c r="R172" s="407"/>
    </row>
    <row r="173" spans="1:18" s="1344" customFormat="1" ht="24" customHeight="1">
      <c r="A173" s="1134"/>
      <c r="B173" s="419" t="s">
        <v>1984</v>
      </c>
      <c r="C173" s="1385"/>
      <c r="D173" s="1134"/>
      <c r="E173" s="1386"/>
      <c r="F173" s="419" t="s">
        <v>1985</v>
      </c>
      <c r="G173" s="1387"/>
      <c r="H173" s="1386"/>
      <c r="I173" s="1386"/>
      <c r="J173" s="1386"/>
      <c r="K173" s="1386"/>
      <c r="L173" s="1345"/>
      <c r="M173" s="939"/>
      <c r="N173" s="407"/>
      <c r="O173" s="407"/>
      <c r="P173" s="407"/>
      <c r="Q173" s="407"/>
      <c r="R173" s="407"/>
    </row>
    <row r="174" spans="1:18" s="1344" customFormat="1" ht="24" customHeight="1">
      <c r="A174" s="1134"/>
      <c r="B174" s="1017" t="s">
        <v>670</v>
      </c>
      <c r="C174" s="1384"/>
      <c r="D174" s="1384"/>
      <c r="E174" s="1389"/>
      <c r="F174" s="866"/>
      <c r="G174" s="1389"/>
      <c r="H174" s="1389"/>
      <c r="I174" s="1389"/>
      <c r="J174" s="1389"/>
      <c r="K174" s="1389"/>
      <c r="L174" s="1345"/>
      <c r="M174" s="939"/>
      <c r="N174" s="407"/>
      <c r="O174" s="407"/>
      <c r="P174" s="407"/>
      <c r="Q174" s="407"/>
      <c r="R174" s="407"/>
    </row>
    <row r="175" spans="1:18" s="1344" customFormat="1" ht="24" customHeight="1">
      <c r="A175" s="1134"/>
      <c r="B175" s="419" t="s">
        <v>1972</v>
      </c>
      <c r="C175" s="1387"/>
      <c r="D175" s="1387"/>
      <c r="E175" s="1134"/>
      <c r="F175" s="1134"/>
      <c r="G175" s="1134"/>
      <c r="H175" s="1134"/>
      <c r="I175" s="1134"/>
      <c r="J175" s="1134"/>
      <c r="K175" s="1134"/>
      <c r="L175" s="1345"/>
      <c r="M175" s="939"/>
      <c r="N175" s="407"/>
      <c r="O175" s="407"/>
      <c r="P175" s="407"/>
      <c r="Q175" s="407"/>
      <c r="R175" s="407"/>
    </row>
    <row r="176" spans="1:18" s="1344" customFormat="1" ht="24" customHeight="1">
      <c r="A176" s="409"/>
      <c r="B176" s="2603" t="s">
        <v>1192</v>
      </c>
      <c r="C176" s="2603"/>
      <c r="D176" s="410"/>
      <c r="E176" s="410"/>
      <c r="F176" s="406"/>
      <c r="G176" s="404"/>
      <c r="H176" s="404"/>
      <c r="I176" s="404"/>
      <c r="J176" s="404"/>
      <c r="K176" s="404"/>
      <c r="L176" s="1345"/>
      <c r="M176" s="939"/>
      <c r="N176" s="407"/>
      <c r="O176" s="407"/>
      <c r="P176" s="407"/>
      <c r="Q176" s="407"/>
      <c r="R176" s="407"/>
    </row>
    <row r="177" spans="1:16" s="1344" customFormat="1" ht="24" customHeight="1">
      <c r="A177" s="403"/>
      <c r="B177" s="1341" t="s">
        <v>139</v>
      </c>
      <c r="C177" s="1350" t="s">
        <v>1193</v>
      </c>
      <c r="D177" s="408">
        <v>7158</v>
      </c>
      <c r="E177" s="408" t="s">
        <v>87</v>
      </c>
      <c r="F177" s="1346">
        <v>21.4</v>
      </c>
      <c r="G177" s="1346">
        <v>3.6</v>
      </c>
      <c r="H177" s="404">
        <f>F177*D177</f>
        <v>153181.19999999998</v>
      </c>
      <c r="I177" s="404">
        <f>G177*D177</f>
        <v>25768.799999999999</v>
      </c>
      <c r="J177" s="404">
        <f>H177+I177</f>
        <v>178949.99999999997</v>
      </c>
      <c r="K177" s="404"/>
      <c r="L177" s="1345"/>
      <c r="M177" s="939" t="s">
        <v>1016</v>
      </c>
      <c r="N177" s="868"/>
      <c r="O177" s="868"/>
      <c r="P177" s="868"/>
    </row>
    <row r="178" spans="1:16" s="1344" customFormat="1" ht="24" customHeight="1">
      <c r="A178" s="403"/>
      <c r="B178" s="1341" t="s">
        <v>139</v>
      </c>
      <c r="C178" s="1350" t="s">
        <v>1194</v>
      </c>
      <c r="D178" s="408">
        <f>ROUNDDOWN(SUM(D177:D177)/1000*30,2)</f>
        <v>214.74</v>
      </c>
      <c r="E178" s="408" t="s">
        <v>87</v>
      </c>
      <c r="F178" s="1346">
        <v>25.83</v>
      </c>
      <c r="G178" s="1346">
        <v>0</v>
      </c>
      <c r="H178" s="404">
        <f>F178*D178</f>
        <v>5546.7341999999999</v>
      </c>
      <c r="I178" s="404">
        <f>G178*D178</f>
        <v>0</v>
      </c>
      <c r="J178" s="404">
        <f>H178+I178</f>
        <v>5546.7341999999999</v>
      </c>
      <c r="K178" s="404"/>
      <c r="L178" s="1345"/>
      <c r="M178" s="939"/>
      <c r="N178" s="868"/>
      <c r="O178" s="868"/>
      <c r="P178" s="868"/>
    </row>
    <row r="179" spans="1:16" s="1344" customFormat="1" ht="24" customHeight="1">
      <c r="A179" s="1358" t="s">
        <v>1198</v>
      </c>
      <c r="B179" s="1359" t="s">
        <v>281</v>
      </c>
      <c r="C179" s="1360"/>
      <c r="D179" s="1371"/>
      <c r="E179" s="410"/>
      <c r="F179" s="406"/>
      <c r="G179" s="406"/>
      <c r="H179" s="406"/>
      <c r="I179" s="406"/>
      <c r="J179" s="406"/>
      <c r="K179" s="405"/>
      <c r="L179" s="1372"/>
    </row>
    <row r="180" spans="1:16" s="882" customFormat="1" ht="24" customHeight="1">
      <c r="A180" s="403"/>
      <c r="B180" s="1341" t="s">
        <v>139</v>
      </c>
      <c r="C180" s="1350" t="s">
        <v>1195</v>
      </c>
      <c r="D180" s="408">
        <v>672</v>
      </c>
      <c r="E180" s="408" t="s">
        <v>87</v>
      </c>
      <c r="F180" s="404">
        <v>27.6</v>
      </c>
      <c r="G180" s="404">
        <v>10</v>
      </c>
      <c r="H180" s="404">
        <f>F180*D180</f>
        <v>18547.2</v>
      </c>
      <c r="I180" s="404">
        <f>G180*D180</f>
        <v>6720</v>
      </c>
      <c r="J180" s="404">
        <f>H180+I180</f>
        <v>25267.200000000001</v>
      </c>
      <c r="K180" s="404"/>
      <c r="L180" s="1345"/>
      <c r="M180" s="939" t="s">
        <v>1905</v>
      </c>
      <c r="N180" s="868"/>
      <c r="O180" s="868"/>
      <c r="P180" s="868"/>
    </row>
    <row r="181" spans="1:16" s="1344" customFormat="1" ht="24" customHeight="1">
      <c r="A181" s="403"/>
      <c r="B181" s="1341" t="s">
        <v>139</v>
      </c>
      <c r="C181" s="1350" t="s">
        <v>1200</v>
      </c>
      <c r="D181" s="408">
        <v>14</v>
      </c>
      <c r="E181" s="408" t="s">
        <v>5</v>
      </c>
      <c r="F181" s="414">
        <v>14770</v>
      </c>
      <c r="G181" s="414">
        <v>0</v>
      </c>
      <c r="H181" s="404">
        <f>F181*D181</f>
        <v>206780</v>
      </c>
      <c r="I181" s="404">
        <f>G181*D181</f>
        <v>0</v>
      </c>
      <c r="J181" s="404">
        <f>SUM(H181:I181)</f>
        <v>206780</v>
      </c>
      <c r="K181" s="404"/>
      <c r="L181" s="1108" t="s">
        <v>1884</v>
      </c>
      <c r="M181" s="1349" t="s">
        <v>622</v>
      </c>
      <c r="N181" s="868"/>
      <c r="O181" s="868"/>
      <c r="P181" s="868"/>
    </row>
    <row r="182" spans="1:16" s="1344" customFormat="1" ht="24" customHeight="1">
      <c r="A182" s="1521"/>
      <c r="B182" s="1518"/>
      <c r="C182" s="1519"/>
      <c r="D182" s="424"/>
      <c r="E182" s="424"/>
      <c r="F182" s="415"/>
      <c r="G182" s="415"/>
      <c r="H182" s="412"/>
      <c r="I182" s="412"/>
      <c r="J182" s="412"/>
      <c r="K182" s="412"/>
      <c r="L182" s="1345"/>
      <c r="M182" s="1349"/>
      <c r="N182" s="868"/>
      <c r="O182" s="868"/>
      <c r="P182" s="868"/>
    </row>
    <row r="183" spans="1:16" s="1289" customFormat="1" ht="24" customHeight="1" thickBot="1">
      <c r="A183" s="929"/>
      <c r="B183" s="1373"/>
      <c r="C183" s="1374" t="str">
        <f>"รวมราคา "&amp;B152</f>
        <v>รวมราคา งานบ่อพัก และ ท่อระบายน้ำทิ้ง</v>
      </c>
      <c r="D183" s="1375"/>
      <c r="E183" s="1376"/>
      <c r="F183" s="1376"/>
      <c r="G183" s="1376"/>
      <c r="H183" s="1375">
        <f>SUM(H152:H181)</f>
        <v>676249.44369999995</v>
      </c>
      <c r="I183" s="1375">
        <f>SUM(I152:I181)</f>
        <v>114379.7</v>
      </c>
      <c r="J183" s="1375">
        <f>SUM(J154:J181)</f>
        <v>790629.1436999999</v>
      </c>
      <c r="K183" s="929"/>
      <c r="L183" s="1339"/>
    </row>
    <row r="184" spans="1:16" ht="24" customHeight="1" thickTop="1" thickBot="1">
      <c r="A184" s="1377"/>
      <c r="B184" s="1378"/>
      <c r="C184" s="1173" t="str">
        <f>"รวมราคา "&amp;B11</f>
        <v>รวมราคา กลุ่มงานที่ 3 งานภูมิสถาปัตยกรรม</v>
      </c>
      <c r="D184" s="1379"/>
      <c r="E184" s="1379"/>
      <c r="F184" s="1379"/>
      <c r="G184" s="1379"/>
      <c r="H184" s="1379">
        <f>SUM(H183,H143,H117,H91)</f>
        <v>5767897.228889999</v>
      </c>
      <c r="I184" s="1379">
        <f>SUM(I183,I143,I117,I91)</f>
        <v>577262.90999999992</v>
      </c>
      <c r="J184" s="1379">
        <f>SUM(J183,J143,J117,J91)</f>
        <v>6345160.1388899991</v>
      </c>
      <c r="K184" s="1379"/>
      <c r="L184" s="1195"/>
    </row>
    <row r="185" spans="1:16" ht="24" customHeight="1" thickTop="1">
      <c r="A185" s="1380"/>
      <c r="B185" s="1380"/>
      <c r="C185" s="1380"/>
      <c r="D185" s="1195"/>
      <c r="E185" s="1195"/>
      <c r="F185" s="1195"/>
      <c r="G185" s="1195"/>
      <c r="H185" s="1195"/>
      <c r="I185" s="1195"/>
      <c r="J185" s="1195"/>
      <c r="K185" s="1195"/>
      <c r="L185" s="1195"/>
    </row>
    <row r="186" spans="1:16" s="922" customFormat="1" ht="24" customHeight="1">
      <c r="B186" s="1196" t="s">
        <v>133</v>
      </c>
      <c r="C186" s="1381"/>
      <c r="D186" s="1381"/>
      <c r="E186" s="1382"/>
      <c r="F186" s="1382"/>
      <c r="G186" s="1382"/>
      <c r="H186" s="1382"/>
      <c r="I186" s="1382"/>
      <c r="J186" s="1382"/>
      <c r="K186" s="1382"/>
      <c r="L186" s="1383"/>
    </row>
    <row r="187" spans="1:16" s="1134" customFormat="1" ht="24" customHeight="1">
      <c r="B187" s="1017" t="s">
        <v>1769</v>
      </c>
      <c r="C187" s="1384"/>
      <c r="F187" s="1017" t="s">
        <v>134</v>
      </c>
      <c r="G187" s="1384"/>
      <c r="L187" s="1302"/>
    </row>
    <row r="188" spans="1:16" s="1134" customFormat="1" ht="24" customHeight="1">
      <c r="B188" s="419" t="s">
        <v>1970</v>
      </c>
      <c r="C188" s="1385"/>
      <c r="E188" s="1386"/>
      <c r="F188" s="1019" t="s">
        <v>1971</v>
      </c>
      <c r="G188" s="1387"/>
      <c r="H188" s="1386"/>
      <c r="I188" s="1386"/>
      <c r="J188" s="1386"/>
      <c r="K188" s="1386"/>
      <c r="L188" s="1388"/>
    </row>
    <row r="189" spans="1:16" s="1134" customFormat="1" ht="24" customHeight="1">
      <c r="B189" s="1017" t="s">
        <v>2031</v>
      </c>
      <c r="C189" s="1385"/>
      <c r="E189" s="1386"/>
      <c r="F189" s="1017" t="s">
        <v>2035</v>
      </c>
      <c r="G189" s="1387"/>
      <c r="H189" s="1386"/>
      <c r="I189" s="1386"/>
      <c r="J189" s="1386"/>
      <c r="K189" s="1386"/>
      <c r="L189" s="1388"/>
    </row>
    <row r="190" spans="1:16" s="1134" customFormat="1" ht="24" customHeight="1">
      <c r="B190" s="419" t="s">
        <v>1984</v>
      </c>
      <c r="C190" s="1385"/>
      <c r="E190" s="1386"/>
      <c r="F190" s="419" t="s">
        <v>1985</v>
      </c>
      <c r="G190" s="1387"/>
      <c r="H190" s="1386"/>
      <c r="I190" s="1386"/>
      <c r="J190" s="1386"/>
      <c r="K190" s="1386"/>
      <c r="L190" s="1388"/>
    </row>
    <row r="191" spans="1:16" s="1134" customFormat="1" ht="24" customHeight="1">
      <c r="B191" s="1017" t="s">
        <v>670</v>
      </c>
      <c r="C191" s="1384"/>
      <c r="D191" s="1384"/>
      <c r="E191" s="1389"/>
      <c r="F191" s="866"/>
      <c r="G191" s="1389"/>
      <c r="H191" s="1389"/>
      <c r="I191" s="1389"/>
      <c r="J191" s="1389"/>
      <c r="K191" s="1389"/>
      <c r="L191" s="1390"/>
    </row>
    <row r="192" spans="1:16" s="1134" customFormat="1" ht="24" customHeight="1">
      <c r="B192" s="419" t="s">
        <v>1972</v>
      </c>
      <c r="C192" s="1387"/>
      <c r="D192" s="1387"/>
      <c r="L192" s="1302"/>
    </row>
    <row r="193" spans="1:12" s="1134" customFormat="1" ht="24" customHeight="1">
      <c r="B193" s="1389"/>
      <c r="C193" s="1389"/>
      <c r="D193" s="922"/>
      <c r="L193" s="1302"/>
    </row>
    <row r="194" spans="1:12" s="1134" customFormat="1" ht="24" customHeight="1">
      <c r="B194" s="1389"/>
      <c r="C194" s="1389"/>
      <c r="D194" s="1389"/>
      <c r="E194" s="1389"/>
      <c r="F194" s="1389"/>
      <c r="G194" s="1389"/>
      <c r="H194" s="1389"/>
      <c r="I194" s="1389"/>
      <c r="J194" s="1389"/>
      <c r="K194" s="1389"/>
      <c r="L194" s="1390"/>
    </row>
    <row r="195" spans="1:12" s="1311" customFormat="1" ht="24" customHeight="1">
      <c r="A195" s="1134"/>
      <c r="B195" s="1389"/>
      <c r="C195" s="1389"/>
      <c r="D195" s="1134"/>
      <c r="E195" s="1134"/>
      <c r="F195" s="1134"/>
      <c r="G195" s="1134"/>
      <c r="H195" s="1134"/>
      <c r="I195" s="1134"/>
      <c r="J195" s="1134"/>
      <c r="K195" s="1134"/>
      <c r="L195" s="1302"/>
    </row>
    <row r="196" spans="1:12" s="1311" customFormat="1" ht="24" customHeight="1">
      <c r="A196" s="1391"/>
      <c r="B196" s="1389"/>
      <c r="C196" s="1389"/>
      <c r="D196" s="1389"/>
      <c r="E196" s="1389"/>
      <c r="F196" s="1389"/>
      <c r="G196" s="1389"/>
      <c r="H196" s="1389"/>
      <c r="I196" s="1389"/>
      <c r="J196" s="1389"/>
      <c r="K196" s="1389"/>
      <c r="L196" s="1390"/>
    </row>
    <row r="197" spans="1:12" s="1311" customFormat="1" ht="24" customHeight="1">
      <c r="A197" s="1391"/>
      <c r="B197" s="1389"/>
      <c r="C197" s="1389"/>
      <c r="D197" s="1389"/>
      <c r="E197" s="1389"/>
      <c r="F197" s="1389"/>
      <c r="G197" s="1389"/>
      <c r="H197" s="1389"/>
      <c r="I197" s="1389"/>
      <c r="J197" s="1389"/>
      <c r="K197" s="1389"/>
      <c r="L197" s="1390"/>
    </row>
    <row r="198" spans="1:12" s="1311" customFormat="1" ht="24" customHeight="1">
      <c r="A198" s="2602"/>
      <c r="B198" s="2602"/>
      <c r="C198" s="2602"/>
      <c r="D198" s="2602"/>
      <c r="E198" s="2602"/>
      <c r="F198" s="2602"/>
      <c r="G198" s="2602"/>
      <c r="H198" s="2602"/>
      <c r="I198" s="2602"/>
      <c r="J198" s="2602"/>
      <c r="K198" s="2602"/>
      <c r="L198" s="1302"/>
    </row>
  </sheetData>
  <autoFilter ref="C1:C194" xr:uid="{00000000-0009-0000-0000-000011000000}"/>
  <mergeCells count="35">
    <mergeCell ref="B40:C40"/>
    <mergeCell ref="B84:C84"/>
    <mergeCell ref="B46:C46"/>
    <mergeCell ref="B61:C61"/>
    <mergeCell ref="B78:C78"/>
    <mergeCell ref="A198:K198"/>
    <mergeCell ref="B176:C176"/>
    <mergeCell ref="B100:C100"/>
    <mergeCell ref="B132:C132"/>
    <mergeCell ref="B137:C137"/>
    <mergeCell ref="B106:C106"/>
    <mergeCell ref="B108:C108"/>
    <mergeCell ref="B113:C113"/>
    <mergeCell ref="B127:C127"/>
    <mergeCell ref="B152:C152"/>
    <mergeCell ref="B101:C101"/>
    <mergeCell ref="B130:C130"/>
    <mergeCell ref="B126:C126"/>
    <mergeCell ref="B157:C157"/>
    <mergeCell ref="B163:C163"/>
    <mergeCell ref="B11:C11"/>
    <mergeCell ref="B19:C19"/>
    <mergeCell ref="B25:C25"/>
    <mergeCell ref="A1:K1"/>
    <mergeCell ref="H9:I9"/>
    <mergeCell ref="A9:A10"/>
    <mergeCell ref="D9:D10"/>
    <mergeCell ref="E9:E10"/>
    <mergeCell ref="F9:G9"/>
    <mergeCell ref="B9:C10"/>
    <mergeCell ref="A2:B8"/>
    <mergeCell ref="J9:J10"/>
    <mergeCell ref="K9:K10"/>
    <mergeCell ref="B12:C12"/>
    <mergeCell ref="B13:C13"/>
  </mergeCells>
  <phoneticPr fontId="68" type="noConversion"/>
  <printOptions horizontalCentered="1"/>
  <pageMargins left="0.23622047244094499" right="0.23622047244094499" top="0.511811023622047" bottom="0.27559055118110198" header="0.511811023622047" footer="0.31496062992126"/>
  <pageSetup paperSize="9" scale="47" fitToHeight="0" orientation="landscape" r:id="rId1"/>
  <headerFooter alignWithMargins="0">
    <oddHeader>&amp;R&amp;"TH Sarabun New,ตัวหนา"&amp;16แบบ ปร.4 หน้าที่ &amp;P จาก &amp;N</oddHeader>
  </headerFooter>
  <rowBreaks count="6" manualBreakCount="6">
    <brk id="39" max="10" man="1"/>
    <brk id="72" max="10" man="1"/>
    <brk id="99" max="10" man="1"/>
    <brk id="125" max="10" man="1"/>
    <brk id="151" max="10" man="1"/>
    <brk id="175" max="1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I30"/>
  <sheetViews>
    <sheetView showGridLines="0" view="pageBreakPreview" zoomScale="85" zoomScaleNormal="100" zoomScaleSheetLayoutView="85" workbookViewId="0">
      <selection activeCell="E26" sqref="E26"/>
    </sheetView>
  </sheetViews>
  <sheetFormatPr defaultColWidth="16.5703125" defaultRowHeight="24" customHeight="1"/>
  <cols>
    <col min="1" max="1" width="20.7109375" style="139" customWidth="1"/>
    <col min="2" max="2" width="77.7109375" style="137" customWidth="1"/>
    <col min="3" max="3" width="19.5703125" style="227" customWidth="1"/>
    <col min="4" max="4" width="20.140625" style="227" customWidth="1"/>
    <col min="5" max="5" width="20" style="227" customWidth="1"/>
    <col min="6" max="6" width="17.85546875" style="227" customWidth="1"/>
    <col min="7" max="16384" width="16.5703125" style="156"/>
  </cols>
  <sheetData>
    <row r="1" spans="1:7" s="151" customFormat="1" ht="33" customHeight="1">
      <c r="A1" s="2548" t="str">
        <f>งานภูมิทัศน์!A1</f>
        <v xml:space="preserve">แบบแสดงรายการ ปริมาณงาน และราคา  </v>
      </c>
      <c r="B1" s="2548"/>
      <c r="C1" s="2548"/>
      <c r="D1" s="2548"/>
      <c r="E1" s="2548"/>
      <c r="F1" s="2548"/>
      <c r="G1" s="181"/>
    </row>
    <row r="2" spans="1:7" s="137" customFormat="1" ht="24" customHeight="1">
      <c r="A2" s="2343"/>
      <c r="B2" s="138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188"/>
    </row>
    <row r="3" spans="1:7" s="137" customFormat="1" ht="24" customHeight="1">
      <c r="A3" s="2343"/>
      <c r="B3" s="143" t="str">
        <f>งานภูมิทัศน์!C3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</row>
    <row r="4" spans="1:7" s="137" customFormat="1" ht="24" customHeight="1">
      <c r="A4" s="2343"/>
      <c r="B4" s="143" t="str">
        <f>งานภูมิทัศน์!C4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</row>
    <row r="5" spans="1:7" s="137" customFormat="1" ht="24" customHeight="1">
      <c r="A5" s="2343"/>
      <c r="B5" s="137" t="str">
        <f>งานภูมิทัศน์!C5</f>
        <v>แบบเลขที่  RMUTP-DOA-63-4-PL001.</v>
      </c>
    </row>
    <row r="6" spans="1:7" s="144" customFormat="1" ht="24" customHeight="1">
      <c r="A6" s="2343"/>
      <c r="B6" s="144" t="str">
        <f>งานภูมิทัศน์!C6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46"/>
      <c r="D6" s="146"/>
      <c r="E6" s="146"/>
      <c r="F6" s="147"/>
    </row>
    <row r="7" spans="1:7" s="144" customFormat="1" ht="24" customHeight="1">
      <c r="A7" s="2343"/>
      <c r="B7" s="144" t="str">
        <f>งานภูมิทัศน์!C7</f>
        <v>คำนวณราคากลาง   เมื่อวันที่ 16  เดือน สิงหาคม พ.ศ. 2567</v>
      </c>
      <c r="C7" s="146"/>
      <c r="D7" s="146"/>
      <c r="E7" s="149"/>
      <c r="F7" s="259" t="s">
        <v>146</v>
      </c>
    </row>
    <row r="8" spans="1:7" ht="24" customHeight="1">
      <c r="A8" s="2343"/>
      <c r="B8" s="144"/>
      <c r="C8" s="146"/>
      <c r="D8" s="151"/>
      <c r="E8" s="190"/>
      <c r="F8" s="147"/>
      <c r="G8" s="191"/>
    </row>
    <row r="9" spans="1:7" ht="24" customHeight="1">
      <c r="A9" s="2561" t="s">
        <v>52</v>
      </c>
      <c r="B9" s="2561" t="s">
        <v>53</v>
      </c>
      <c r="C9" s="2561" t="s">
        <v>1772</v>
      </c>
      <c r="D9" s="2561"/>
      <c r="E9" s="2561"/>
      <c r="F9" s="2561" t="s">
        <v>58</v>
      </c>
    </row>
    <row r="10" spans="1:7" ht="24" customHeight="1">
      <c r="A10" s="2561"/>
      <c r="B10" s="2561"/>
      <c r="C10" s="366" t="s">
        <v>62</v>
      </c>
      <c r="D10" s="366" t="s">
        <v>63</v>
      </c>
      <c r="E10" s="366" t="s">
        <v>64</v>
      </c>
      <c r="F10" s="2561"/>
    </row>
    <row r="11" spans="1:7" s="152" customFormat="1" ht="24" customHeight="1">
      <c r="A11" s="346">
        <v>9</v>
      </c>
      <c r="B11" s="388" t="s">
        <v>2027</v>
      </c>
      <c r="C11" s="347"/>
      <c r="D11" s="347"/>
      <c r="E11" s="347"/>
      <c r="F11" s="347"/>
    </row>
    <row r="12" spans="1:7">
      <c r="A12" s="170">
        <v>9.1</v>
      </c>
      <c r="B12" s="228" t="str">
        <f>งานครุภัณฑ์จัดชื้อ!C245</f>
        <v>รวมราคา งานครุภัณฑ์สำนักงาน</v>
      </c>
      <c r="C12" s="154">
        <f>งานครุภัณฑ์จัดชื้อ!J245</f>
        <v>16438956.999999998</v>
      </c>
      <c r="D12" s="154">
        <v>0</v>
      </c>
      <c r="E12" s="154">
        <f>D12+C12</f>
        <v>16438956.999999998</v>
      </c>
      <c r="F12" s="154"/>
    </row>
    <row r="13" spans="1:7">
      <c r="A13" s="157">
        <v>9.1999999999999993</v>
      </c>
      <c r="B13" s="222" t="str">
        <f>+งานครุภัณฑ์จัดชื้อ!C249</f>
        <v>รวมราคา งานครุภัณฑ์ระบบกล้องวงจรปิด (รักษาความปลอดภัย)</v>
      </c>
      <c r="C13" s="159">
        <f>งานครุภัณฑ์จัดชื้อ!J249</f>
        <v>55500</v>
      </c>
      <c r="D13" s="159">
        <v>0</v>
      </c>
      <c r="E13" s="154">
        <f t="shared" ref="E13:E16" si="0">D13+C13</f>
        <v>55500</v>
      </c>
      <c r="F13" s="159"/>
    </row>
    <row r="14" spans="1:7">
      <c r="A14" s="157">
        <v>9.3000000000000007</v>
      </c>
      <c r="B14" s="222" t="str">
        <f>+งานครุภัณฑ์จัดชื้อ!C281</f>
        <v>รวมราคา งานครุภัณฑ์ระบบภาพและเสียง</v>
      </c>
      <c r="C14" s="159">
        <f>งานครุภัณฑ์จัดชื้อ!J281</f>
        <v>3568250</v>
      </c>
      <c r="D14" s="159">
        <v>0</v>
      </c>
      <c r="E14" s="154">
        <f t="shared" si="0"/>
        <v>3568250</v>
      </c>
      <c r="F14" s="159"/>
    </row>
    <row r="15" spans="1:7" s="1523" customFormat="1">
      <c r="A15" s="157">
        <v>9.4</v>
      </c>
      <c r="B15" s="1543" t="str">
        <f>งานครุภัณฑ์จัดชื้อ!C314</f>
        <v>รวมราคา งานครุภัณฑ์งานระบบปรับอากาศและระบายอากาศ</v>
      </c>
      <c r="C15" s="159">
        <f>งานครุภัณฑ์จัดชื้อ!J314</f>
        <v>12170600</v>
      </c>
      <c r="D15" s="159">
        <v>0</v>
      </c>
      <c r="E15" s="154">
        <f t="shared" si="0"/>
        <v>12170600</v>
      </c>
      <c r="F15" s="1439"/>
    </row>
    <row r="16" spans="1:7" s="1523" customFormat="1">
      <c r="A16" s="157">
        <v>9.5</v>
      </c>
      <c r="B16" s="1543" t="str">
        <f>งานครุภัณฑ์จัดชื้อ!C320</f>
        <v>รวมราคา งานครุภัณฑ์ระบบลิฟต์</v>
      </c>
      <c r="C16" s="159">
        <f>งานครุภัณฑ์จัดชื้อ!J320</f>
        <v>6090000</v>
      </c>
      <c r="D16" s="159">
        <v>0</v>
      </c>
      <c r="E16" s="154">
        <f t="shared" si="0"/>
        <v>6090000</v>
      </c>
      <c r="F16" s="1439"/>
    </row>
    <row r="17" spans="1:9" s="1523" customFormat="1" ht="21" customHeight="1">
      <c r="A17" s="1438"/>
      <c r="B17" s="1522"/>
      <c r="C17" s="1439"/>
      <c r="D17" s="1439"/>
      <c r="E17" s="1439"/>
      <c r="F17" s="1439"/>
    </row>
    <row r="18" spans="1:9" s="137" customFormat="1" ht="21" customHeight="1" thickBot="1">
      <c r="A18" s="167"/>
      <c r="B18" s="267"/>
      <c r="C18" s="172"/>
      <c r="D18" s="172"/>
      <c r="E18" s="172"/>
      <c r="F18" s="172"/>
    </row>
    <row r="19" spans="1:9" s="230" customFormat="1" ht="24" customHeight="1" thickTop="1" thickBot="1">
      <c r="A19" s="379"/>
      <c r="B19" s="389" t="str">
        <f>"รวมราคา "&amp;B11</f>
        <v>รวมราคา ส่วนงานที่ 2 ค่างานครุภัณฑ์สั่งซื้อ ( จัดซื้อ )</v>
      </c>
      <c r="C19" s="390"/>
      <c r="D19" s="390"/>
      <c r="E19" s="390">
        <f>SUM(E12:E18)</f>
        <v>38323307</v>
      </c>
      <c r="F19" s="391"/>
    </row>
    <row r="20" spans="1:9" s="174" customFormat="1" ht="24" customHeight="1" thickTop="1">
      <c r="A20" s="202"/>
      <c r="B20" s="181"/>
    </row>
    <row r="21" spans="1:9" s="137" customFormat="1" ht="24" customHeight="1">
      <c r="A21" s="139"/>
      <c r="B21" s="881" t="s">
        <v>133</v>
      </c>
      <c r="C21" s="175"/>
      <c r="D21" s="202"/>
      <c r="E21" s="177"/>
      <c r="F21" s="177"/>
      <c r="G21" s="265"/>
      <c r="H21" s="265"/>
      <c r="I21" s="265"/>
    </row>
    <row r="22" spans="1:9" s="137" customFormat="1" ht="24" customHeight="1">
      <c r="A22" s="139"/>
      <c r="B22" s="176" t="s">
        <v>1769</v>
      </c>
      <c r="C22" s="176" t="s">
        <v>134</v>
      </c>
      <c r="E22" s="173"/>
    </row>
    <row r="23" spans="1:9" s="137" customFormat="1" ht="24" customHeight="1">
      <c r="A23" s="139"/>
      <c r="B23" s="174" t="s">
        <v>1970</v>
      </c>
      <c r="C23" s="227" t="s">
        <v>1971</v>
      </c>
      <c r="E23" s="176"/>
      <c r="H23" s="768"/>
      <c r="I23" s="768"/>
    </row>
    <row r="24" spans="1:9" s="137" customFormat="1" ht="24" customHeight="1">
      <c r="A24" s="139"/>
      <c r="B24" s="176" t="s">
        <v>2031</v>
      </c>
      <c r="C24" s="176" t="s">
        <v>2031</v>
      </c>
      <c r="E24" s="174"/>
      <c r="H24" s="176"/>
      <c r="I24" s="176"/>
    </row>
    <row r="25" spans="1:9" s="137" customFormat="1" ht="24" customHeight="1">
      <c r="A25" s="139"/>
      <c r="B25" s="174" t="s">
        <v>1984</v>
      </c>
      <c r="C25" s="174" t="s">
        <v>1985</v>
      </c>
      <c r="E25" s="174"/>
      <c r="H25" s="174"/>
      <c r="I25" s="174"/>
    </row>
    <row r="26" spans="1:9" s="137" customFormat="1" ht="24" customHeight="1">
      <c r="B26" s="176" t="s">
        <v>670</v>
      </c>
      <c r="C26" s="143"/>
      <c r="D26" s="176"/>
      <c r="E26" s="176"/>
      <c r="G26" s="174"/>
    </row>
    <row r="27" spans="1:9" s="174" customFormat="1" ht="24" customHeight="1">
      <c r="B27" s="174" t="s">
        <v>1972</v>
      </c>
      <c r="C27" s="143"/>
      <c r="F27" s="162"/>
      <c r="H27" s="176"/>
      <c r="I27" s="176"/>
    </row>
    <row r="28" spans="1:9" s="174" customFormat="1" ht="24" customHeight="1">
      <c r="B28" s="176"/>
      <c r="C28" s="176"/>
      <c r="D28" s="176"/>
      <c r="E28" s="176"/>
      <c r="F28" s="137"/>
    </row>
    <row r="29" spans="1:9" s="174" customFormat="1" ht="24" customHeight="1">
      <c r="E29" s="139"/>
      <c r="F29" s="140"/>
    </row>
    <row r="30" spans="1:9" s="174" customFormat="1" ht="24" customHeight="1">
      <c r="B30" s="181"/>
      <c r="C30" s="181"/>
      <c r="D30" s="260"/>
      <c r="E30" s="202"/>
      <c r="F30" s="177"/>
    </row>
  </sheetData>
  <mergeCells count="6">
    <mergeCell ref="A2:A8"/>
    <mergeCell ref="A1:F1"/>
    <mergeCell ref="A9:A10"/>
    <mergeCell ref="B9:B10"/>
    <mergeCell ref="C9:E9"/>
    <mergeCell ref="F9:F10"/>
  </mergeCells>
  <printOptions horizontalCentered="1"/>
  <pageMargins left="0.23622047244094499" right="0.23622047244094499" top="0.511811023622047" bottom="0.511811023622047" header="0.5" footer="0.31496062992126"/>
  <pageSetup paperSize="9" scale="75" orientation="landscape" r:id="rId1"/>
  <headerFooter alignWithMargins="0">
    <oddHeader>&amp;R&amp;"TH Sarabun New,ตัวหนา"&amp;16แบบ ปร.4 หน้าที่ &amp;P จาก 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U34"/>
  <sheetViews>
    <sheetView showGridLines="0" view="pageBreakPreview" topLeftCell="A3" zoomScale="55" zoomScaleNormal="60" zoomScaleSheetLayoutView="55" workbookViewId="0">
      <selection activeCell="K31" sqref="K31"/>
    </sheetView>
  </sheetViews>
  <sheetFormatPr defaultColWidth="9.42578125" defaultRowHeight="21.75"/>
  <cols>
    <col min="1" max="1" width="3.5703125" style="13" customWidth="1"/>
    <col min="2" max="2" width="9.42578125" style="34" customWidth="1"/>
    <col min="3" max="3" width="52.42578125" style="13" customWidth="1"/>
    <col min="4" max="4" width="12.5703125" style="2" customWidth="1"/>
    <col min="5" max="5" width="8.42578125" style="34" customWidth="1"/>
    <col min="6" max="6" width="16.42578125" style="10" customWidth="1"/>
    <col min="7" max="7" width="16.42578125" style="10" bestFit="1" customWidth="1"/>
    <col min="8" max="8" width="15.5703125" style="10" customWidth="1"/>
    <col min="9" max="9" width="17.5703125" style="10" customWidth="1"/>
    <col min="10" max="10" width="16.42578125" style="10" bestFit="1" customWidth="1"/>
    <col min="11" max="11" width="17.42578125" style="10" customWidth="1"/>
    <col min="12" max="12" width="13.5703125" style="13" customWidth="1"/>
    <col min="13" max="13" width="12.5703125" style="2" customWidth="1"/>
    <col min="14" max="14" width="8.42578125" style="34" customWidth="1"/>
    <col min="15" max="15" width="16.42578125" style="10" customWidth="1"/>
    <col min="16" max="16" width="16.42578125" style="10" bestFit="1" customWidth="1"/>
    <col min="17" max="17" width="15.5703125" style="10" customWidth="1"/>
    <col min="18" max="18" width="17.5703125" style="10" customWidth="1"/>
    <col min="19" max="19" width="16.42578125" style="10" bestFit="1" customWidth="1"/>
    <col min="20" max="20" width="17.42578125" style="10" customWidth="1"/>
    <col min="21" max="21" width="13.5703125" style="13" customWidth="1"/>
    <col min="22" max="16384" width="9.42578125" style="59"/>
  </cols>
  <sheetData>
    <row r="1" spans="1:21" ht="24.75" customHeight="1" thickTop="1">
      <c r="B1" s="2309"/>
      <c r="C1" s="37" t="s">
        <v>67</v>
      </c>
      <c r="D1" s="1"/>
      <c r="E1" s="11"/>
      <c r="F1" s="40"/>
      <c r="G1" s="11"/>
      <c r="H1" s="12"/>
      <c r="I1" s="2311" t="s">
        <v>70</v>
      </c>
      <c r="J1" s="2312"/>
      <c r="K1" s="2312"/>
      <c r="L1" s="2313"/>
      <c r="M1" s="1"/>
      <c r="N1" s="11"/>
      <c r="O1" s="40"/>
      <c r="P1" s="11"/>
      <c r="Q1" s="12"/>
      <c r="R1" s="2311" t="s">
        <v>70</v>
      </c>
      <c r="S1" s="2312"/>
      <c r="T1" s="2312"/>
      <c r="U1" s="2313"/>
    </row>
    <row r="2" spans="1:21" ht="24.75" customHeight="1">
      <c r="B2" s="2310"/>
      <c r="C2" s="38" t="s">
        <v>68</v>
      </c>
      <c r="E2" s="13"/>
      <c r="F2" s="39"/>
      <c r="G2" s="2313" t="s">
        <v>50</v>
      </c>
      <c r="H2" s="2313"/>
      <c r="I2" s="2313" t="s">
        <v>71</v>
      </c>
      <c r="J2" s="2313"/>
      <c r="K2" s="2313"/>
      <c r="L2" s="2313"/>
      <c r="N2" s="13"/>
      <c r="O2" s="39"/>
      <c r="P2" s="2313" t="s">
        <v>50</v>
      </c>
      <c r="Q2" s="2313"/>
      <c r="R2" s="2313" t="s">
        <v>71</v>
      </c>
      <c r="S2" s="2313"/>
      <c r="T2" s="2313"/>
      <c r="U2" s="2313"/>
    </row>
    <row r="3" spans="1:21" s="60" customFormat="1" ht="23.25">
      <c r="A3" s="14"/>
      <c r="B3" s="2307" t="s">
        <v>51</v>
      </c>
      <c r="C3" s="38" t="s">
        <v>66</v>
      </c>
      <c r="D3" s="2"/>
      <c r="E3" s="13"/>
      <c r="F3" s="41"/>
      <c r="G3" s="13"/>
      <c r="H3" s="3"/>
      <c r="I3" s="2313" t="s">
        <v>72</v>
      </c>
      <c r="J3" s="2313"/>
      <c r="K3" s="2313"/>
      <c r="L3" s="2313"/>
      <c r="M3" s="2"/>
      <c r="N3" s="13"/>
      <c r="O3" s="41"/>
      <c r="P3" s="13"/>
      <c r="Q3" s="3"/>
      <c r="R3" s="2313" t="s">
        <v>72</v>
      </c>
      <c r="S3" s="2313"/>
      <c r="T3" s="2313"/>
      <c r="U3" s="2313"/>
    </row>
    <row r="4" spans="1:21" s="61" customFormat="1" ht="22.5" thickBot="1">
      <c r="A4" s="19"/>
      <c r="B4" s="2308"/>
      <c r="C4" s="15" t="s">
        <v>69</v>
      </c>
      <c r="D4" s="16"/>
      <c r="E4" s="17"/>
      <c r="F4" s="42"/>
      <c r="G4" s="17"/>
      <c r="H4" s="18"/>
      <c r="I4" s="2313" t="s">
        <v>73</v>
      </c>
      <c r="J4" s="2313"/>
      <c r="K4" s="2313"/>
      <c r="L4" s="2313"/>
      <c r="M4" s="16"/>
      <c r="N4" s="17"/>
      <c r="O4" s="42"/>
      <c r="P4" s="17"/>
      <c r="Q4" s="18"/>
      <c r="R4" s="2313" t="s">
        <v>73</v>
      </c>
      <c r="S4" s="2313"/>
      <c r="T4" s="2313"/>
      <c r="U4" s="2313"/>
    </row>
    <row r="5" spans="1:21" s="69" customFormat="1" ht="32.25" thickTop="1" thickBot="1">
      <c r="A5" s="66"/>
      <c r="B5" s="67"/>
      <c r="C5" s="68"/>
      <c r="D5" s="2313" t="s">
        <v>41</v>
      </c>
      <c r="E5" s="2313"/>
      <c r="F5" s="2313"/>
      <c r="G5" s="2313"/>
      <c r="H5" s="2313"/>
      <c r="I5" s="2313"/>
      <c r="J5" s="2313"/>
      <c r="K5" s="2313"/>
      <c r="L5" s="2313"/>
      <c r="M5" s="2313" t="s">
        <v>1</v>
      </c>
      <c r="N5" s="2313"/>
      <c r="O5" s="2313"/>
      <c r="P5" s="2313"/>
      <c r="Q5" s="2313"/>
      <c r="R5" s="2313"/>
      <c r="S5" s="2313"/>
      <c r="T5" s="2313"/>
      <c r="U5" s="2313"/>
    </row>
    <row r="6" spans="1:21" ht="22.5" thickTop="1">
      <c r="B6" s="2313" t="s">
        <v>52</v>
      </c>
      <c r="C6" s="2315" t="s">
        <v>53</v>
      </c>
      <c r="D6" s="2313" t="s">
        <v>54</v>
      </c>
      <c r="E6" s="2315" t="s">
        <v>55</v>
      </c>
      <c r="F6" s="2314" t="s">
        <v>56</v>
      </c>
      <c r="G6" s="2314"/>
      <c r="H6" s="2314"/>
      <c r="I6" s="2314" t="s">
        <v>57</v>
      </c>
      <c r="J6" s="2314"/>
      <c r="K6" s="2314"/>
      <c r="L6" s="2313" t="s">
        <v>58</v>
      </c>
      <c r="M6" s="2313" t="s">
        <v>54</v>
      </c>
      <c r="N6" s="2315" t="s">
        <v>55</v>
      </c>
      <c r="O6" s="2314" t="s">
        <v>56</v>
      </c>
      <c r="P6" s="2314"/>
      <c r="Q6" s="2314"/>
      <c r="R6" s="2314" t="s">
        <v>57</v>
      </c>
      <c r="S6" s="2314"/>
      <c r="T6" s="2314"/>
      <c r="U6" s="2313" t="s">
        <v>58</v>
      </c>
    </row>
    <row r="7" spans="1:21">
      <c r="B7" s="2313"/>
      <c r="C7" s="2316"/>
      <c r="D7" s="2313"/>
      <c r="E7" s="2316"/>
      <c r="F7" s="4" t="s">
        <v>59</v>
      </c>
      <c r="G7" s="4" t="s">
        <v>60</v>
      </c>
      <c r="H7" s="4" t="s">
        <v>61</v>
      </c>
      <c r="I7" s="4" t="s">
        <v>62</v>
      </c>
      <c r="J7" s="4" t="s">
        <v>63</v>
      </c>
      <c r="K7" s="4" t="s">
        <v>64</v>
      </c>
      <c r="L7" s="2313"/>
      <c r="M7" s="2313"/>
      <c r="N7" s="2316"/>
      <c r="O7" s="4" t="s">
        <v>59</v>
      </c>
      <c r="P7" s="4" t="s">
        <v>60</v>
      </c>
      <c r="Q7" s="4" t="s">
        <v>61</v>
      </c>
      <c r="R7" s="4" t="s">
        <v>62</v>
      </c>
      <c r="S7" s="4" t="s">
        <v>63</v>
      </c>
      <c r="T7" s="4" t="s">
        <v>64</v>
      </c>
      <c r="U7" s="2313"/>
    </row>
    <row r="8" spans="1:21" s="62" customFormat="1">
      <c r="A8" s="23"/>
      <c r="B8" s="64"/>
      <c r="C8" s="20" t="s">
        <v>79</v>
      </c>
      <c r="D8" s="5"/>
      <c r="E8" s="21"/>
      <c r="F8" s="6"/>
      <c r="G8" s="6"/>
      <c r="H8" s="6"/>
      <c r="I8" s="6"/>
      <c r="J8" s="6"/>
      <c r="K8" s="65"/>
      <c r="L8" s="22"/>
      <c r="M8" s="5"/>
      <c r="N8" s="21"/>
      <c r="O8" s="6"/>
      <c r="P8" s="6"/>
      <c r="Q8" s="6"/>
      <c r="R8" s="6"/>
      <c r="S8" s="6"/>
      <c r="T8" s="65"/>
      <c r="U8" s="22"/>
    </row>
    <row r="9" spans="1:21" s="78" customFormat="1" ht="24">
      <c r="A9" s="70"/>
      <c r="B9" s="71" t="s">
        <v>77</v>
      </c>
      <c r="C9" s="72" t="s">
        <v>78</v>
      </c>
      <c r="D9" s="73"/>
      <c r="E9" s="74"/>
      <c r="F9" s="75"/>
      <c r="G9" s="75"/>
      <c r="H9" s="75"/>
      <c r="I9" s="75"/>
      <c r="J9" s="75"/>
      <c r="K9" s="76" t="e">
        <f>#REF!</f>
        <v>#REF!</v>
      </c>
      <c r="L9" s="77"/>
      <c r="M9" s="73"/>
      <c r="N9" s="74"/>
      <c r="O9" s="75"/>
      <c r="P9" s="75"/>
      <c r="Q9" s="75"/>
      <c r="R9" s="75"/>
      <c r="S9" s="75"/>
      <c r="T9" s="76" t="e">
        <f>#REF!</f>
        <v>#REF!</v>
      </c>
      <c r="U9" s="77"/>
    </row>
    <row r="10" spans="1:21" s="63" customFormat="1" ht="24">
      <c r="A10" s="79"/>
      <c r="B10" s="71" t="s">
        <v>74</v>
      </c>
      <c r="C10" s="72" t="s">
        <v>80</v>
      </c>
      <c r="D10" s="80"/>
      <c r="E10" s="81"/>
      <c r="F10" s="76"/>
      <c r="G10" s="76"/>
      <c r="H10" s="76"/>
      <c r="I10" s="76"/>
      <c r="J10" s="76"/>
      <c r="K10" s="76" t="e">
        <f>'ส่วนงานที่1 '!#REF!</f>
        <v>#REF!</v>
      </c>
      <c r="L10" s="82"/>
      <c r="M10" s="80"/>
      <c r="N10" s="81"/>
      <c r="O10" s="76"/>
      <c r="P10" s="76"/>
      <c r="Q10" s="76"/>
      <c r="R10" s="76"/>
      <c r="S10" s="76"/>
      <c r="T10" s="76" t="e">
        <f>'ส่วนงานที่1 '!#REF!</f>
        <v>#REF!</v>
      </c>
      <c r="U10" s="82"/>
    </row>
    <row r="11" spans="1:21" s="63" customFormat="1" ht="24">
      <c r="A11" s="79"/>
      <c r="B11" s="71" t="s">
        <v>75</v>
      </c>
      <c r="C11" s="72" t="s">
        <v>65</v>
      </c>
      <c r="D11" s="80"/>
      <c r="E11" s="81"/>
      <c r="F11" s="76"/>
      <c r="G11" s="76"/>
      <c r="H11" s="76"/>
      <c r="I11" s="76"/>
      <c r="J11" s="76"/>
      <c r="K11" s="76" t="e">
        <f>#REF!</f>
        <v>#REF!</v>
      </c>
      <c r="L11" s="82"/>
      <c r="M11" s="80"/>
      <c r="N11" s="81"/>
      <c r="O11" s="76"/>
      <c r="P11" s="76"/>
      <c r="Q11" s="76"/>
      <c r="R11" s="76"/>
      <c r="S11" s="76"/>
      <c r="T11" s="76" t="e">
        <f>#REF!</f>
        <v>#REF!</v>
      </c>
      <c r="U11" s="82"/>
    </row>
    <row r="12" spans="1:21" s="63" customFormat="1" ht="24">
      <c r="A12" s="79"/>
      <c r="B12" s="71" t="s">
        <v>76</v>
      </c>
      <c r="C12" s="72" t="s">
        <v>81</v>
      </c>
      <c r="D12" s="80"/>
      <c r="E12" s="81"/>
      <c r="F12" s="76"/>
      <c r="G12" s="76"/>
      <c r="H12" s="76"/>
      <c r="I12" s="76"/>
      <c r="J12" s="76"/>
      <c r="K12" s="76" t="e">
        <f>#REF!</f>
        <v>#REF!</v>
      </c>
      <c r="L12" s="82"/>
      <c r="M12" s="80"/>
      <c r="N12" s="81"/>
      <c r="O12" s="76"/>
      <c r="P12" s="76"/>
      <c r="Q12" s="76"/>
      <c r="R12" s="76"/>
      <c r="S12" s="76"/>
      <c r="T12" s="76" t="e">
        <f>#REF!</f>
        <v>#REF!</v>
      </c>
      <c r="U12" s="82"/>
    </row>
    <row r="13" spans="1:21" s="63" customFormat="1" ht="24">
      <c r="A13" s="79"/>
      <c r="B13" s="83"/>
      <c r="C13" s="84"/>
      <c r="D13" s="85"/>
      <c r="E13" s="86"/>
      <c r="F13" s="87"/>
      <c r="G13" s="87"/>
      <c r="H13" s="87"/>
      <c r="I13" s="87"/>
      <c r="J13" s="87"/>
      <c r="K13" s="87"/>
      <c r="L13" s="88"/>
      <c r="M13" s="85"/>
      <c r="N13" s="86"/>
      <c r="O13" s="87"/>
      <c r="P13" s="87"/>
      <c r="Q13" s="87"/>
      <c r="R13" s="87"/>
      <c r="S13" s="87"/>
      <c r="T13" s="87"/>
      <c r="U13" s="88"/>
    </row>
    <row r="14" spans="1:21" s="63" customFormat="1" ht="24">
      <c r="A14" s="79"/>
      <c r="B14" s="119" t="s">
        <v>47</v>
      </c>
      <c r="C14" s="97" t="s">
        <v>46</v>
      </c>
      <c r="D14" s="98"/>
      <c r="E14" s="99"/>
      <c r="F14" s="100"/>
      <c r="G14" s="100"/>
      <c r="H14" s="100"/>
      <c r="I14" s="100"/>
      <c r="J14" s="100"/>
      <c r="K14" s="108" t="e">
        <f>SUM(K10:K13)</f>
        <v>#REF!</v>
      </c>
      <c r="L14" s="101"/>
      <c r="M14" s="98"/>
      <c r="N14" s="99"/>
      <c r="O14" s="100"/>
      <c r="P14" s="100"/>
      <c r="Q14" s="100"/>
      <c r="R14" s="100"/>
      <c r="S14" s="100"/>
      <c r="T14" s="100" t="e">
        <f>SUM(T10:T13)</f>
        <v>#REF!</v>
      </c>
      <c r="U14" s="120"/>
    </row>
    <row r="15" spans="1:21" s="63" customFormat="1" ht="24">
      <c r="A15" s="79"/>
      <c r="B15" s="89"/>
      <c r="C15" s="90" t="s">
        <v>45</v>
      </c>
      <c r="D15" s="103">
        <v>1.1860999999999999</v>
      </c>
      <c r="E15" s="92"/>
      <c r="F15" s="93"/>
      <c r="G15" s="93"/>
      <c r="H15" s="93"/>
      <c r="I15" s="93"/>
      <c r="J15" s="93"/>
      <c r="K15" s="94"/>
      <c r="L15" s="95"/>
      <c r="M15" s="103">
        <v>1.1860999999999999</v>
      </c>
      <c r="N15" s="92"/>
      <c r="O15" s="93"/>
      <c r="P15" s="93"/>
      <c r="Q15" s="93"/>
      <c r="R15" s="93"/>
      <c r="S15" s="93"/>
      <c r="T15" s="94"/>
      <c r="U15" s="95"/>
    </row>
    <row r="16" spans="1:21">
      <c r="B16" s="24"/>
      <c r="C16" s="8"/>
      <c r="D16" s="46"/>
      <c r="E16" s="47"/>
      <c r="F16" s="48"/>
      <c r="G16" s="48"/>
      <c r="H16" s="48"/>
      <c r="I16" s="48"/>
      <c r="J16" s="48"/>
      <c r="K16" s="7"/>
      <c r="L16" s="49"/>
      <c r="M16" s="46"/>
      <c r="N16" s="47"/>
      <c r="O16" s="48"/>
      <c r="P16" s="48"/>
      <c r="Q16" s="48"/>
      <c r="R16" s="48"/>
      <c r="S16" s="48"/>
      <c r="T16" s="7"/>
      <c r="U16" s="49"/>
    </row>
    <row r="17" spans="2:21" s="63" customFormat="1" ht="24">
      <c r="B17" s="119" t="s">
        <v>48</v>
      </c>
      <c r="C17" s="97" t="s">
        <v>64</v>
      </c>
      <c r="D17" s="98"/>
      <c r="E17" s="99"/>
      <c r="F17" s="100"/>
      <c r="G17" s="100"/>
      <c r="H17" s="100"/>
      <c r="I17" s="100"/>
      <c r="J17" s="100"/>
      <c r="K17" s="108" t="e">
        <f>K14*D15</f>
        <v>#REF!</v>
      </c>
      <c r="L17" s="101"/>
      <c r="M17" s="98"/>
      <c r="N17" s="99"/>
      <c r="O17" s="100"/>
      <c r="P17" s="100"/>
      <c r="Q17" s="100"/>
      <c r="R17" s="100"/>
      <c r="S17" s="100"/>
      <c r="T17" s="108" t="e">
        <f>T14*M15</f>
        <v>#REF!</v>
      </c>
      <c r="U17" s="101"/>
    </row>
    <row r="18" spans="2:21">
      <c r="B18" s="45"/>
      <c r="C18" s="8"/>
      <c r="D18" s="46"/>
      <c r="E18" s="47"/>
      <c r="F18" s="48"/>
      <c r="G18" s="48"/>
      <c r="H18" s="48"/>
      <c r="I18" s="48"/>
      <c r="J18" s="48"/>
      <c r="K18" s="7"/>
      <c r="L18" s="49"/>
      <c r="M18" s="46"/>
      <c r="N18" s="47"/>
      <c r="O18" s="48"/>
      <c r="P18" s="48"/>
      <c r="Q18" s="48"/>
      <c r="R18" s="48"/>
      <c r="S18" s="48"/>
      <c r="T18" s="7"/>
      <c r="U18" s="49"/>
    </row>
    <row r="19" spans="2:21">
      <c r="B19" s="24"/>
      <c r="C19" s="8"/>
      <c r="D19" s="46"/>
      <c r="E19" s="47"/>
      <c r="F19" s="48"/>
      <c r="G19" s="50"/>
      <c r="H19" s="50"/>
      <c r="I19" s="44"/>
      <c r="J19" s="44"/>
      <c r="K19" s="7"/>
      <c r="L19" s="49"/>
      <c r="M19" s="46"/>
      <c r="N19" s="47"/>
      <c r="O19" s="48"/>
      <c r="P19" s="50"/>
      <c r="Q19" s="50"/>
      <c r="R19" s="44"/>
      <c r="S19" s="44"/>
      <c r="T19" s="7"/>
      <c r="U19" s="49"/>
    </row>
    <row r="20" spans="2:21">
      <c r="B20" s="45"/>
      <c r="C20" s="8"/>
      <c r="D20" s="46"/>
      <c r="E20" s="47"/>
      <c r="F20" s="44"/>
      <c r="G20" s="44"/>
      <c r="H20" s="44"/>
      <c r="I20" s="44"/>
      <c r="J20" s="44"/>
      <c r="K20" s="7"/>
      <c r="L20" s="49"/>
      <c r="M20" s="46"/>
      <c r="N20" s="47"/>
      <c r="O20" s="44"/>
      <c r="P20" s="44"/>
      <c r="Q20" s="44"/>
      <c r="R20" s="44"/>
      <c r="S20" s="44"/>
      <c r="T20" s="7"/>
      <c r="U20" s="49"/>
    </row>
    <row r="21" spans="2:21">
      <c r="B21" s="24"/>
      <c r="C21" s="8"/>
      <c r="D21" s="26"/>
      <c r="E21" s="43"/>
      <c r="F21" s="44"/>
      <c r="G21" s="44"/>
      <c r="H21" s="44"/>
      <c r="I21" s="44"/>
      <c r="J21" s="44"/>
      <c r="K21" s="7"/>
      <c r="L21" s="49"/>
      <c r="M21" s="26"/>
      <c r="N21" s="43"/>
      <c r="O21" s="44"/>
      <c r="P21" s="44"/>
      <c r="Q21" s="44"/>
      <c r="R21" s="44"/>
      <c r="S21" s="44"/>
      <c r="T21" s="7"/>
      <c r="U21" s="49"/>
    </row>
    <row r="22" spans="2:21">
      <c r="B22" s="45"/>
      <c r="C22" s="8"/>
      <c r="D22" s="26"/>
      <c r="E22" s="43"/>
      <c r="F22" s="48"/>
      <c r="G22" s="44"/>
      <c r="H22" s="44"/>
      <c r="I22" s="44"/>
      <c r="J22" s="44"/>
      <c r="K22" s="7"/>
      <c r="L22" s="49"/>
      <c r="M22" s="26"/>
      <c r="N22" s="43"/>
      <c r="O22" s="48"/>
      <c r="P22" s="44"/>
      <c r="Q22" s="44"/>
      <c r="R22" s="44"/>
      <c r="S22" s="44"/>
      <c r="T22" s="7"/>
      <c r="U22" s="49"/>
    </row>
    <row r="23" spans="2:21">
      <c r="B23" s="45"/>
      <c r="C23" s="8"/>
      <c r="D23" s="26"/>
      <c r="E23" s="43"/>
      <c r="F23" s="48"/>
      <c r="G23" s="44"/>
      <c r="H23" s="44"/>
      <c r="I23" s="44"/>
      <c r="J23" s="44"/>
      <c r="K23" s="7"/>
      <c r="L23" s="49"/>
      <c r="M23" s="26"/>
      <c r="N23" s="43"/>
      <c r="O23" s="48"/>
      <c r="P23" s="44"/>
      <c r="Q23" s="44"/>
      <c r="R23" s="44"/>
      <c r="S23" s="44"/>
      <c r="T23" s="7"/>
      <c r="U23" s="49"/>
    </row>
    <row r="24" spans="2:21">
      <c r="B24" s="24"/>
      <c r="C24" s="8"/>
      <c r="D24" s="26"/>
      <c r="E24" s="43"/>
      <c r="F24" s="48"/>
      <c r="G24" s="44"/>
      <c r="H24" s="44"/>
      <c r="I24" s="44"/>
      <c r="J24" s="44"/>
      <c r="K24" s="7"/>
      <c r="L24" s="49"/>
      <c r="M24" s="26"/>
      <c r="N24" s="43"/>
      <c r="O24" s="48"/>
      <c r="P24" s="44"/>
      <c r="Q24" s="44"/>
      <c r="R24" s="44"/>
      <c r="S24" s="44"/>
      <c r="T24" s="7"/>
      <c r="U24" s="49"/>
    </row>
    <row r="25" spans="2:21">
      <c r="B25" s="24"/>
      <c r="C25" s="8"/>
      <c r="D25" s="26"/>
      <c r="E25" s="43"/>
      <c r="F25" s="48"/>
      <c r="G25" s="44"/>
      <c r="H25" s="44"/>
      <c r="I25" s="44"/>
      <c r="J25" s="44"/>
      <c r="K25" s="7"/>
      <c r="L25" s="49"/>
      <c r="M25" s="26"/>
      <c r="N25" s="43"/>
      <c r="O25" s="48"/>
      <c r="P25" s="44"/>
      <c r="Q25" s="44"/>
      <c r="R25" s="44"/>
      <c r="S25" s="44"/>
      <c r="T25" s="7"/>
      <c r="U25" s="49"/>
    </row>
    <row r="26" spans="2:21">
      <c r="B26" s="24"/>
      <c r="C26" s="8"/>
      <c r="D26" s="26"/>
      <c r="E26" s="43"/>
      <c r="F26" s="48"/>
      <c r="G26" s="44"/>
      <c r="H26" s="44"/>
      <c r="I26" s="44"/>
      <c r="J26" s="44"/>
      <c r="K26" s="7"/>
      <c r="L26" s="49"/>
      <c r="M26" s="26"/>
      <c r="N26" s="43"/>
      <c r="O26" s="48"/>
      <c r="P26" s="44"/>
      <c r="Q26" s="44"/>
      <c r="R26" s="44"/>
      <c r="S26" s="44"/>
      <c r="T26" s="7"/>
      <c r="U26" s="49"/>
    </row>
    <row r="27" spans="2:21">
      <c r="B27" s="24"/>
      <c r="C27" s="8"/>
      <c r="D27" s="26"/>
      <c r="E27" s="43"/>
      <c r="F27" s="44"/>
      <c r="G27" s="48"/>
      <c r="H27" s="48"/>
      <c r="I27" s="48"/>
      <c r="J27" s="48"/>
      <c r="K27" s="7"/>
      <c r="L27" s="49"/>
      <c r="M27" s="26"/>
      <c r="N27" s="43"/>
      <c r="O27" s="44"/>
      <c r="P27" s="48"/>
      <c r="Q27" s="48"/>
      <c r="R27" s="48"/>
      <c r="S27" s="48"/>
      <c r="T27" s="7"/>
      <c r="U27" s="49"/>
    </row>
    <row r="28" spans="2:21">
      <c r="B28" s="51"/>
      <c r="C28" s="52"/>
      <c r="D28" s="53"/>
      <c r="E28" s="54"/>
      <c r="F28" s="55"/>
      <c r="G28" s="56"/>
      <c r="H28" s="56"/>
      <c r="I28" s="56"/>
      <c r="J28" s="56"/>
      <c r="K28" s="57"/>
      <c r="L28" s="58"/>
      <c r="M28" s="53"/>
      <c r="N28" s="54"/>
      <c r="O28" s="55"/>
      <c r="P28" s="56"/>
      <c r="Q28" s="56"/>
      <c r="R28" s="56"/>
      <c r="S28" s="56"/>
      <c r="T28" s="57"/>
      <c r="U28" s="58"/>
    </row>
    <row r="29" spans="2:21">
      <c r="B29" s="51"/>
      <c r="C29" s="52"/>
      <c r="D29" s="53"/>
      <c r="E29" s="54"/>
      <c r="F29" s="55"/>
      <c r="G29" s="56"/>
      <c r="H29" s="56"/>
      <c r="I29" s="56"/>
      <c r="J29" s="56"/>
      <c r="K29" s="57"/>
      <c r="L29" s="58"/>
      <c r="M29" s="53"/>
      <c r="N29" s="54"/>
      <c r="O29" s="55"/>
      <c r="P29" s="56"/>
      <c r="Q29" s="56"/>
      <c r="R29" s="56"/>
      <c r="S29" s="56"/>
      <c r="T29" s="57"/>
      <c r="U29" s="58"/>
    </row>
    <row r="30" spans="2:21">
      <c r="B30" s="51"/>
      <c r="C30" s="52"/>
      <c r="D30" s="53"/>
      <c r="E30" s="54"/>
      <c r="F30" s="55"/>
      <c r="G30" s="56"/>
      <c r="H30" s="56"/>
      <c r="I30" s="56"/>
      <c r="J30" s="56"/>
      <c r="K30" s="57"/>
      <c r="L30" s="58"/>
      <c r="M30" s="53"/>
      <c r="N30" s="54"/>
      <c r="O30" s="55"/>
      <c r="P30" s="56"/>
      <c r="Q30" s="56"/>
      <c r="R30" s="56"/>
      <c r="S30" s="56"/>
      <c r="T30" s="57"/>
      <c r="U30" s="58"/>
    </row>
    <row r="31" spans="2:21">
      <c r="B31" s="51"/>
      <c r="C31" s="52"/>
      <c r="D31" s="53"/>
      <c r="E31" s="54"/>
      <c r="F31" s="55"/>
      <c r="G31" s="56"/>
      <c r="H31" s="56"/>
      <c r="I31" s="56"/>
      <c r="J31" s="56"/>
      <c r="K31" s="57"/>
      <c r="L31" s="58"/>
      <c r="M31" s="53"/>
      <c r="N31" s="54"/>
      <c r="O31" s="55"/>
      <c r="P31" s="56"/>
      <c r="Q31" s="56"/>
      <c r="R31" s="56"/>
      <c r="S31" s="56"/>
      <c r="T31" s="57"/>
      <c r="U31" s="58"/>
    </row>
    <row r="32" spans="2:21">
      <c r="B32" s="51"/>
      <c r="C32" s="52"/>
      <c r="D32" s="53"/>
      <c r="E32" s="54"/>
      <c r="F32" s="55"/>
      <c r="G32" s="56"/>
      <c r="H32" s="56"/>
      <c r="I32" s="56"/>
      <c r="J32" s="56"/>
      <c r="K32" s="57"/>
      <c r="L32" s="58"/>
      <c r="M32" s="53"/>
      <c r="N32" s="54"/>
      <c r="O32" s="55"/>
      <c r="P32" s="56"/>
      <c r="Q32" s="56"/>
      <c r="R32" s="56"/>
      <c r="S32" s="56"/>
      <c r="T32" s="57"/>
      <c r="U32" s="58"/>
    </row>
    <row r="33" spans="2:21">
      <c r="B33" s="25"/>
      <c r="C33" s="35"/>
      <c r="D33" s="27"/>
      <c r="E33" s="28"/>
      <c r="F33" s="29"/>
      <c r="G33" s="29"/>
      <c r="H33" s="29"/>
      <c r="I33" s="29"/>
      <c r="J33" s="29"/>
      <c r="K33" s="29"/>
      <c r="L33" s="36"/>
      <c r="M33" s="27"/>
      <c r="N33" s="28"/>
      <c r="O33" s="29"/>
      <c r="P33" s="29"/>
      <c r="Q33" s="29"/>
      <c r="R33" s="29"/>
      <c r="S33" s="29"/>
      <c r="T33" s="29"/>
      <c r="U33" s="36"/>
    </row>
    <row r="34" spans="2:21" s="63" customFormat="1" ht="24.75" thickBot="1">
      <c r="B34" s="30"/>
      <c r="C34" s="31" t="s">
        <v>49</v>
      </c>
      <c r="D34" s="9"/>
      <c r="E34" s="31"/>
      <c r="F34" s="32"/>
      <c r="G34" s="32"/>
      <c r="H34" s="32"/>
      <c r="I34" s="32">
        <f>SUM(I9:I33)</f>
        <v>0</v>
      </c>
      <c r="J34" s="32">
        <f>SUM(J9:J33)</f>
        <v>0</v>
      </c>
      <c r="K34" s="104" t="e">
        <f>K17+K9</f>
        <v>#REF!</v>
      </c>
      <c r="L34" s="33"/>
      <c r="M34" s="9"/>
      <c r="N34" s="31"/>
      <c r="O34" s="32"/>
      <c r="P34" s="32"/>
      <c r="Q34" s="32"/>
      <c r="R34" s="32">
        <f>SUM(R9:R33)</f>
        <v>0</v>
      </c>
      <c r="S34" s="32">
        <f>SUM(S9:S33)</f>
        <v>0</v>
      </c>
      <c r="T34" s="104" t="e">
        <f>T17+T9</f>
        <v>#REF!</v>
      </c>
      <c r="U34" s="33"/>
    </row>
  </sheetData>
  <autoFilter ref="B6:L34" xr:uid="{00000000-0009-0000-0000-000001000000}">
    <filterColumn colId="4" showButton="0"/>
    <filterColumn colId="5" showButton="0"/>
    <filterColumn colId="7" showButton="0"/>
    <filterColumn colId="8" showButton="0"/>
  </autoFilter>
  <mergeCells count="26">
    <mergeCell ref="D5:L5"/>
    <mergeCell ref="M5:U5"/>
    <mergeCell ref="R6:T6"/>
    <mergeCell ref="U6:U7"/>
    <mergeCell ref="B6:B7"/>
    <mergeCell ref="C6:C7"/>
    <mergeCell ref="D6:D7"/>
    <mergeCell ref="E6:E7"/>
    <mergeCell ref="F6:H6"/>
    <mergeCell ref="I6:K6"/>
    <mergeCell ref="L6:L7"/>
    <mergeCell ref="M6:M7"/>
    <mergeCell ref="N6:N7"/>
    <mergeCell ref="O6:Q6"/>
    <mergeCell ref="B3:B4"/>
    <mergeCell ref="B1:B2"/>
    <mergeCell ref="I1:L1"/>
    <mergeCell ref="I3:L3"/>
    <mergeCell ref="R1:U1"/>
    <mergeCell ref="G2:H2"/>
    <mergeCell ref="I2:L2"/>
    <mergeCell ref="P2:Q2"/>
    <mergeCell ref="R2:U2"/>
    <mergeCell ref="R3:U3"/>
    <mergeCell ref="I4:L4"/>
    <mergeCell ref="R4:U4"/>
  </mergeCells>
  <phoneticPr fontId="0" type="noConversion"/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</sheetPr>
  <dimension ref="A1:M335"/>
  <sheetViews>
    <sheetView showGridLines="0" view="pageBreakPreview" topLeftCell="A318" zoomScale="118" zoomScaleNormal="60" zoomScaleSheetLayoutView="118" workbookViewId="0">
      <selection activeCell="A25" sqref="A25:K32"/>
    </sheetView>
  </sheetViews>
  <sheetFormatPr defaultColWidth="9.42578125" defaultRowHeight="24" customHeight="1"/>
  <cols>
    <col min="1" max="1" width="14.28515625" style="1283" customWidth="1"/>
    <col min="2" max="2" width="8.5703125" style="1287" customWidth="1"/>
    <col min="3" max="3" width="59.7109375" style="1184" customWidth="1"/>
    <col min="4" max="4" width="10.28515625" style="1275" bestFit="1" customWidth="1"/>
    <col min="5" max="5" width="7.42578125" style="1288" bestFit="1" customWidth="1"/>
    <col min="6" max="6" width="14.85546875" style="1275" customWidth="1"/>
    <col min="7" max="7" width="13.140625" style="1275" customWidth="1"/>
    <col min="8" max="8" width="16" style="1275" customWidth="1"/>
    <col min="9" max="9" width="15" style="1275" customWidth="1"/>
    <col min="10" max="10" width="18.5703125" style="1275" customWidth="1"/>
    <col min="11" max="11" width="14.7109375" style="1275" customWidth="1"/>
    <col min="12" max="12" width="70.28515625" style="1275" customWidth="1"/>
    <col min="13" max="13" width="31.7109375" style="1184" customWidth="1"/>
    <col min="14" max="230" width="9.42578125" style="1184"/>
    <col min="231" max="231" width="9.5703125" style="1184" bestFit="1" customWidth="1"/>
    <col min="232" max="16384" width="9.42578125" style="1184"/>
  </cols>
  <sheetData>
    <row r="1" spans="1:13" s="1180" customFormat="1" ht="32.25" customHeight="1">
      <c r="A1" s="2487" t="s">
        <v>51</v>
      </c>
      <c r="B1" s="2487"/>
      <c r="C1" s="2487"/>
      <c r="D1" s="2487"/>
      <c r="E1" s="2487"/>
      <c r="F1" s="2487"/>
      <c r="G1" s="2487"/>
      <c r="H1" s="2487"/>
      <c r="I1" s="2487"/>
      <c r="J1" s="2487"/>
      <c r="K1" s="2487"/>
      <c r="L1" s="1068"/>
    </row>
    <row r="2" spans="1:13" s="871" customFormat="1" ht="24" customHeight="1">
      <c r="A2" s="2620"/>
      <c r="B2" s="2620"/>
      <c r="C2" s="871" t="str">
        <f>'9.ส่วนงานที่2'!B2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D2" s="1181"/>
      <c r="E2" s="869"/>
      <c r="I2" s="1181"/>
      <c r="K2" s="913"/>
      <c r="L2" s="913"/>
    </row>
    <row r="3" spans="1:13" s="871" customFormat="1" ht="24" customHeight="1">
      <c r="A3" s="2620"/>
      <c r="B3" s="2620"/>
      <c r="C3" s="871" t="str">
        <f>'9.ส่วนงานที่2'!B3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D3" s="1181"/>
      <c r="E3" s="869"/>
      <c r="I3" s="1181"/>
    </row>
    <row r="4" spans="1:13" s="871" customFormat="1" ht="24" customHeight="1">
      <c r="A4" s="2620"/>
      <c r="B4" s="2620"/>
      <c r="C4" s="871" t="str">
        <f>'9.ส่วนงานที่2'!B4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4" s="1181"/>
      <c r="E4" s="869"/>
      <c r="I4" s="1181"/>
    </row>
    <row r="5" spans="1:13" s="871" customFormat="1" ht="24" customHeight="1">
      <c r="A5" s="2620"/>
      <c r="B5" s="2620"/>
      <c r="C5" s="871" t="str">
        <f>'9.ส่วนงานที่2'!B5</f>
        <v>แบบเลขที่  RMUTP-DOA-63-4-PL001.</v>
      </c>
      <c r="D5" s="1181"/>
      <c r="E5" s="869"/>
      <c r="I5" s="1181"/>
    </row>
    <row r="6" spans="1:13" s="871" customFormat="1" ht="24" customHeight="1">
      <c r="A6" s="2620"/>
      <c r="B6" s="2620"/>
      <c r="C6" s="871" t="str">
        <f>'9.ส่วนงานที่2'!B6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181"/>
      <c r="E6" s="1070"/>
      <c r="F6" s="1069"/>
      <c r="G6" s="1069"/>
      <c r="I6" s="1181"/>
    </row>
    <row r="7" spans="1:13" s="871" customFormat="1" ht="24" customHeight="1">
      <c r="A7" s="2620"/>
      <c r="B7" s="2620"/>
      <c r="C7" s="871" t="str">
        <f>'9.ส่วนงานที่2'!B7</f>
        <v>คำนวณราคากลาง   เมื่อวันที่ 16  เดือน สิงหาคม พ.ศ. 2567</v>
      </c>
      <c r="D7" s="1181"/>
      <c r="E7" s="1070"/>
      <c r="F7" s="1069"/>
      <c r="G7" s="1069"/>
      <c r="I7" s="1181"/>
    </row>
    <row r="8" spans="1:13" s="1183" customFormat="1" ht="24" customHeight="1">
      <c r="A8" s="2621"/>
      <c r="B8" s="2621"/>
      <c r="C8" s="871"/>
      <c r="D8" s="1181"/>
      <c r="E8" s="883"/>
      <c r="F8" s="1182"/>
      <c r="H8" s="1181"/>
      <c r="I8" s="1181"/>
      <c r="J8" s="1181"/>
      <c r="K8" s="1070" t="s">
        <v>146</v>
      </c>
      <c r="L8" s="1070"/>
    </row>
    <row r="9" spans="1:13" ht="33.75" customHeight="1">
      <c r="A9" s="2597" t="s">
        <v>52</v>
      </c>
      <c r="B9" s="2589" t="s">
        <v>53</v>
      </c>
      <c r="C9" s="2590"/>
      <c r="D9" s="2618" t="s">
        <v>54</v>
      </c>
      <c r="E9" s="2597" t="s">
        <v>55</v>
      </c>
      <c r="F9" s="2616" t="s">
        <v>1772</v>
      </c>
      <c r="G9" s="2617"/>
      <c r="H9" s="2616" t="s">
        <v>1772</v>
      </c>
      <c r="I9" s="2617"/>
      <c r="J9" s="2595" t="s">
        <v>64</v>
      </c>
      <c r="K9" s="2597" t="s">
        <v>58</v>
      </c>
      <c r="L9" s="1073"/>
    </row>
    <row r="10" spans="1:13" ht="33.75" customHeight="1">
      <c r="A10" s="2598"/>
      <c r="B10" s="2591"/>
      <c r="C10" s="2592"/>
      <c r="D10" s="2619"/>
      <c r="E10" s="2598"/>
      <c r="F10" s="1185" t="s">
        <v>59</v>
      </c>
      <c r="G10" s="1185" t="s">
        <v>60</v>
      </c>
      <c r="H10" s="1185" t="s">
        <v>62</v>
      </c>
      <c r="I10" s="1185" t="s">
        <v>63</v>
      </c>
      <c r="J10" s="2596"/>
      <c r="K10" s="2598"/>
      <c r="L10" s="1073"/>
    </row>
    <row r="11" spans="1:13" s="1192" customFormat="1">
      <c r="A11" s="1071">
        <v>9</v>
      </c>
      <c r="B11" s="1186" t="s">
        <v>1996</v>
      </c>
      <c r="C11" s="1187"/>
      <c r="D11" s="1188"/>
      <c r="E11" s="1071"/>
      <c r="F11" s="1188"/>
      <c r="G11" s="1188"/>
      <c r="H11" s="1188"/>
      <c r="I11" s="1188"/>
      <c r="J11" s="1189"/>
      <c r="K11" s="1190"/>
      <c r="L11" s="1191"/>
    </row>
    <row r="12" spans="1:13" s="1196" customFormat="1">
      <c r="A12" s="1193">
        <v>9.1</v>
      </c>
      <c r="B12" s="1186" t="s">
        <v>1997</v>
      </c>
      <c r="C12" s="1187"/>
      <c r="D12" s="1189"/>
      <c r="E12" s="1194"/>
      <c r="F12" s="1189"/>
      <c r="G12" s="1189"/>
      <c r="H12" s="1189"/>
      <c r="I12" s="1189"/>
      <c r="J12" s="1189"/>
      <c r="K12" s="1189"/>
      <c r="L12" s="1195"/>
    </row>
    <row r="13" spans="1:13" s="1196" customFormat="1" ht="21.75" customHeight="1">
      <c r="A13" s="1197" t="s">
        <v>772</v>
      </c>
      <c r="B13" s="1198" t="s">
        <v>1998</v>
      </c>
      <c r="C13" s="1199"/>
      <c r="D13" s="1200"/>
      <c r="E13" s="1201"/>
      <c r="F13" s="1200"/>
      <c r="G13" s="1202"/>
      <c r="H13" s="1200"/>
      <c r="I13" s="1200"/>
      <c r="J13" s="1200"/>
      <c r="K13" s="1200"/>
      <c r="L13" s="1195"/>
    </row>
    <row r="14" spans="1:13" s="873" customFormat="1" ht="48">
      <c r="A14" s="889"/>
      <c r="B14" s="1203" t="s">
        <v>585</v>
      </c>
      <c r="C14" s="1204" t="s">
        <v>770</v>
      </c>
      <c r="D14" s="1205">
        <v>6</v>
      </c>
      <c r="E14" s="1206" t="s">
        <v>27</v>
      </c>
      <c r="F14" s="1207">
        <v>5610</v>
      </c>
      <c r="G14" s="1208">
        <v>0</v>
      </c>
      <c r="H14" s="1207">
        <f>D14*F14</f>
        <v>33660</v>
      </c>
      <c r="I14" s="1207">
        <f>D14*G14</f>
        <v>0</v>
      </c>
      <c r="J14" s="1207">
        <f>H14+I14</f>
        <v>33660</v>
      </c>
      <c r="K14" s="1209"/>
      <c r="L14" s="1207" t="s">
        <v>1962</v>
      </c>
      <c r="M14" s="873" t="s">
        <v>276</v>
      </c>
    </row>
    <row r="15" spans="1:13" s="873" customFormat="1">
      <c r="A15" s="889"/>
      <c r="B15" s="1203" t="s">
        <v>586</v>
      </c>
      <c r="C15" s="1236" t="s">
        <v>771</v>
      </c>
      <c r="D15" s="1205">
        <v>24</v>
      </c>
      <c r="E15" s="1206" t="s">
        <v>27</v>
      </c>
      <c r="F15" s="1207">
        <v>3168</v>
      </c>
      <c r="G15" s="1208">
        <v>0</v>
      </c>
      <c r="H15" s="1207">
        <f t="shared" ref="H15:H37" si="0">D15*F15</f>
        <v>76032</v>
      </c>
      <c r="I15" s="1207">
        <f t="shared" ref="I15:I37" si="1">D15*G15</f>
        <v>0</v>
      </c>
      <c r="J15" s="1207">
        <f t="shared" ref="J15:J37" si="2">H15+I15</f>
        <v>76032</v>
      </c>
      <c r="K15" s="1209"/>
      <c r="L15" s="1207" t="s">
        <v>1962</v>
      </c>
      <c r="M15" s="873" t="s">
        <v>276</v>
      </c>
    </row>
    <row r="16" spans="1:13" s="873" customFormat="1" ht="48">
      <c r="A16" s="889"/>
      <c r="B16" s="1203" t="s">
        <v>587</v>
      </c>
      <c r="C16" s="1204" t="s">
        <v>773</v>
      </c>
      <c r="D16" s="1205">
        <v>2</v>
      </c>
      <c r="E16" s="1206" t="s">
        <v>27</v>
      </c>
      <c r="F16" s="1207">
        <v>35640</v>
      </c>
      <c r="G16" s="1208">
        <v>0</v>
      </c>
      <c r="H16" s="1207">
        <f t="shared" si="0"/>
        <v>71280</v>
      </c>
      <c r="I16" s="1207">
        <f t="shared" si="1"/>
        <v>0</v>
      </c>
      <c r="J16" s="1207">
        <f t="shared" si="2"/>
        <v>71280</v>
      </c>
      <c r="K16" s="1209"/>
      <c r="L16" s="1207" t="s">
        <v>1962</v>
      </c>
      <c r="M16" s="873" t="s">
        <v>276</v>
      </c>
    </row>
    <row r="17" spans="1:13" s="873" customFormat="1">
      <c r="A17" s="889"/>
      <c r="B17" s="1203" t="s">
        <v>588</v>
      </c>
      <c r="C17" s="1204" t="s">
        <v>774</v>
      </c>
      <c r="D17" s="1205">
        <v>2</v>
      </c>
      <c r="E17" s="1206" t="s">
        <v>27</v>
      </c>
      <c r="F17" s="1207">
        <v>11880</v>
      </c>
      <c r="G17" s="1208">
        <v>0</v>
      </c>
      <c r="H17" s="1207">
        <f t="shared" si="0"/>
        <v>23760</v>
      </c>
      <c r="I17" s="1207">
        <f t="shared" si="1"/>
        <v>0</v>
      </c>
      <c r="J17" s="1207">
        <f t="shared" si="2"/>
        <v>23760</v>
      </c>
      <c r="K17" s="1209"/>
      <c r="L17" s="1207" t="s">
        <v>1962</v>
      </c>
      <c r="M17" s="873" t="s">
        <v>276</v>
      </c>
    </row>
    <row r="18" spans="1:13" s="873" customFormat="1" ht="48">
      <c r="A18" s="889"/>
      <c r="B18" s="1203" t="s">
        <v>589</v>
      </c>
      <c r="C18" s="1204" t="s">
        <v>775</v>
      </c>
      <c r="D18" s="1205">
        <v>1</v>
      </c>
      <c r="E18" s="1206" t="s">
        <v>27</v>
      </c>
      <c r="F18" s="1207">
        <v>12028.5</v>
      </c>
      <c r="G18" s="1208">
        <v>0</v>
      </c>
      <c r="H18" s="1207">
        <f t="shared" si="0"/>
        <v>12028.5</v>
      </c>
      <c r="I18" s="1207">
        <f t="shared" si="1"/>
        <v>0</v>
      </c>
      <c r="J18" s="1207">
        <f t="shared" si="2"/>
        <v>12028.5</v>
      </c>
      <c r="K18" s="1209"/>
      <c r="L18" s="1207" t="s">
        <v>1962</v>
      </c>
      <c r="M18" s="873" t="s">
        <v>276</v>
      </c>
    </row>
    <row r="19" spans="1:13" s="871" customFormat="1">
      <c r="A19" s="887"/>
      <c r="B19" s="891" t="s">
        <v>590</v>
      </c>
      <c r="C19" s="1216" t="s">
        <v>776</v>
      </c>
      <c r="D19" s="1211">
        <v>38</v>
      </c>
      <c r="E19" s="1212" t="s">
        <v>27</v>
      </c>
      <c r="F19" s="1213">
        <v>3432</v>
      </c>
      <c r="G19" s="1214">
        <v>0</v>
      </c>
      <c r="H19" s="1213">
        <f t="shared" si="0"/>
        <v>130416</v>
      </c>
      <c r="I19" s="1213">
        <f t="shared" si="1"/>
        <v>0</v>
      </c>
      <c r="J19" s="1213">
        <f t="shared" si="2"/>
        <v>130416</v>
      </c>
      <c r="K19" s="1215"/>
      <c r="L19" s="1213" t="s">
        <v>1962</v>
      </c>
      <c r="M19" s="871" t="s">
        <v>276</v>
      </c>
    </row>
    <row r="20" spans="1:13" s="871" customFormat="1">
      <c r="A20" s="887"/>
      <c r="B20" s="891" t="s">
        <v>591</v>
      </c>
      <c r="C20" s="1216" t="s">
        <v>777</v>
      </c>
      <c r="D20" s="1211">
        <v>3</v>
      </c>
      <c r="E20" s="1212" t="s">
        <v>27</v>
      </c>
      <c r="F20" s="1213">
        <v>18958.5</v>
      </c>
      <c r="G20" s="1214">
        <v>0</v>
      </c>
      <c r="H20" s="1213">
        <f t="shared" si="0"/>
        <v>56875.5</v>
      </c>
      <c r="I20" s="1213">
        <f t="shared" si="1"/>
        <v>0</v>
      </c>
      <c r="J20" s="1213">
        <f t="shared" si="2"/>
        <v>56875.5</v>
      </c>
      <c r="K20" s="1215"/>
      <c r="L20" s="1213" t="s">
        <v>1962</v>
      </c>
      <c r="M20" s="871" t="s">
        <v>276</v>
      </c>
    </row>
    <row r="21" spans="1:13" s="871" customFormat="1">
      <c r="A21" s="887"/>
      <c r="B21" s="891" t="s">
        <v>592</v>
      </c>
      <c r="C21" s="1210" t="s">
        <v>778</v>
      </c>
      <c r="D21" s="1211">
        <v>3</v>
      </c>
      <c r="E21" s="1212" t="s">
        <v>27</v>
      </c>
      <c r="F21" s="1213">
        <v>5875</v>
      </c>
      <c r="G21" s="1214">
        <v>0</v>
      </c>
      <c r="H21" s="1213">
        <f t="shared" si="0"/>
        <v>17625</v>
      </c>
      <c r="I21" s="1213">
        <f t="shared" si="1"/>
        <v>0</v>
      </c>
      <c r="J21" s="1213">
        <f t="shared" si="2"/>
        <v>17625</v>
      </c>
      <c r="K21" s="1215"/>
      <c r="L21" s="1213" t="s">
        <v>1962</v>
      </c>
      <c r="M21" s="871" t="s">
        <v>276</v>
      </c>
    </row>
    <row r="22" spans="1:13" s="871" customFormat="1">
      <c r="A22" s="887"/>
      <c r="B22" s="891" t="s">
        <v>593</v>
      </c>
      <c r="C22" s="1210" t="s">
        <v>779</v>
      </c>
      <c r="D22" s="1211">
        <v>6</v>
      </c>
      <c r="E22" s="1212" t="s">
        <v>27</v>
      </c>
      <c r="F22" s="1213">
        <v>7920</v>
      </c>
      <c r="G22" s="1214">
        <v>0</v>
      </c>
      <c r="H22" s="1213">
        <f t="shared" si="0"/>
        <v>47520</v>
      </c>
      <c r="I22" s="1213">
        <f t="shared" si="1"/>
        <v>0</v>
      </c>
      <c r="J22" s="1213">
        <f t="shared" si="2"/>
        <v>47520</v>
      </c>
      <c r="K22" s="1215"/>
      <c r="L22" s="1213" t="s">
        <v>1962</v>
      </c>
      <c r="M22" s="871" t="s">
        <v>276</v>
      </c>
    </row>
    <row r="23" spans="1:13" s="871" customFormat="1">
      <c r="A23" s="887"/>
      <c r="B23" s="891" t="s">
        <v>594</v>
      </c>
      <c r="C23" s="1210" t="s">
        <v>780</v>
      </c>
      <c r="D23" s="1211">
        <v>36</v>
      </c>
      <c r="E23" s="1212" t="s">
        <v>27</v>
      </c>
      <c r="F23" s="1213">
        <v>11880</v>
      </c>
      <c r="G23" s="1214">
        <v>0</v>
      </c>
      <c r="H23" s="1213">
        <f t="shared" si="0"/>
        <v>427680</v>
      </c>
      <c r="I23" s="1213">
        <f t="shared" si="1"/>
        <v>0</v>
      </c>
      <c r="J23" s="1213">
        <f t="shared" si="2"/>
        <v>427680</v>
      </c>
      <c r="K23" s="1215"/>
      <c r="L23" s="1213" t="s">
        <v>1962</v>
      </c>
      <c r="M23" s="871" t="s">
        <v>276</v>
      </c>
    </row>
    <row r="24" spans="1:13" s="873" customFormat="1" ht="48">
      <c r="A24" s="889"/>
      <c r="B24" s="1203" t="s">
        <v>595</v>
      </c>
      <c r="C24" s="1204" t="s">
        <v>781</v>
      </c>
      <c r="D24" s="1205">
        <v>13</v>
      </c>
      <c r="E24" s="1206" t="s">
        <v>27</v>
      </c>
      <c r="F24" s="1207">
        <v>37818</v>
      </c>
      <c r="G24" s="1208">
        <v>0</v>
      </c>
      <c r="H24" s="1207">
        <f t="shared" si="0"/>
        <v>491634</v>
      </c>
      <c r="I24" s="1207">
        <f t="shared" si="1"/>
        <v>0</v>
      </c>
      <c r="J24" s="1207">
        <f t="shared" si="2"/>
        <v>491634</v>
      </c>
      <c r="K24" s="1209"/>
      <c r="L24" s="1207" t="s">
        <v>1962</v>
      </c>
      <c r="M24" s="873" t="s">
        <v>276</v>
      </c>
    </row>
    <row r="25" spans="1:13" s="873" customFormat="1">
      <c r="A25" s="869"/>
      <c r="B25" s="912"/>
      <c r="C25" s="1276"/>
      <c r="D25" s="1277"/>
      <c r="E25" s="419"/>
      <c r="F25" s="419"/>
      <c r="G25" s="419"/>
      <c r="H25" s="871"/>
      <c r="I25" s="871"/>
      <c r="J25" s="871"/>
      <c r="K25" s="871"/>
      <c r="L25" s="1207"/>
    </row>
    <row r="26" spans="1:13" s="873" customFormat="1">
      <c r="A26" s="869"/>
      <c r="B26" s="1278"/>
      <c r="C26" s="1196" t="s">
        <v>133</v>
      </c>
      <c r="D26" s="1013"/>
      <c r="E26" s="912"/>
      <c r="F26" s="1014"/>
      <c r="G26" s="1279"/>
      <c r="H26" s="411"/>
      <c r="I26" s="1280"/>
      <c r="J26" s="871"/>
      <c r="K26" s="871"/>
      <c r="L26" s="1207"/>
    </row>
    <row r="27" spans="1:13" s="873" customFormat="1">
      <c r="A27" s="869"/>
      <c r="B27" s="1281"/>
      <c r="C27" s="1017" t="s">
        <v>1769</v>
      </c>
      <c r="D27" s="871"/>
      <c r="E27" s="866"/>
      <c r="F27" s="1017" t="s">
        <v>134</v>
      </c>
      <c r="G27" s="418"/>
      <c r="H27" s="1282"/>
      <c r="I27" s="1280"/>
      <c r="J27" s="871"/>
      <c r="K27" s="871"/>
      <c r="L27" s="1207"/>
    </row>
    <row r="28" spans="1:13" s="873" customFormat="1">
      <c r="A28" s="869"/>
      <c r="B28" s="1176"/>
      <c r="C28" s="419" t="s">
        <v>1970</v>
      </c>
      <c r="D28" s="871"/>
      <c r="E28" s="866"/>
      <c r="F28" s="1019" t="s">
        <v>1971</v>
      </c>
      <c r="G28" s="880"/>
      <c r="H28" s="411"/>
      <c r="I28" s="1280"/>
      <c r="J28" s="871"/>
      <c r="K28" s="871"/>
      <c r="L28" s="1207"/>
    </row>
    <row r="29" spans="1:13" s="873" customFormat="1">
      <c r="A29" s="869"/>
      <c r="B29" s="1176"/>
      <c r="C29" s="1017" t="s">
        <v>2035</v>
      </c>
      <c r="D29" s="871"/>
      <c r="E29" s="866"/>
      <c r="F29" s="1017" t="s">
        <v>2031</v>
      </c>
      <c r="G29" s="1017"/>
      <c r="H29" s="871"/>
      <c r="I29" s="871"/>
      <c r="J29" s="871"/>
      <c r="K29" s="871"/>
      <c r="L29" s="1207"/>
    </row>
    <row r="30" spans="1:13" s="873" customFormat="1">
      <c r="A30" s="869"/>
      <c r="B30" s="1281"/>
      <c r="C30" s="419" t="s">
        <v>1984</v>
      </c>
      <c r="D30" s="871"/>
      <c r="E30" s="866"/>
      <c r="F30" s="419" t="s">
        <v>1985</v>
      </c>
      <c r="G30" s="866"/>
      <c r="H30" s="871"/>
      <c r="I30" s="871"/>
      <c r="J30" s="871"/>
      <c r="K30" s="871"/>
      <c r="L30" s="1207"/>
    </row>
    <row r="31" spans="1:13" s="873" customFormat="1">
      <c r="A31" s="1283"/>
      <c r="B31" s="1284"/>
      <c r="C31" s="1017" t="s">
        <v>670</v>
      </c>
      <c r="D31" s="871"/>
      <c r="E31" s="1017"/>
      <c r="F31" s="1017"/>
      <c r="G31" s="866"/>
      <c r="H31" s="1181"/>
      <c r="I31" s="1275"/>
      <c r="J31" s="1275"/>
      <c r="K31" s="1275"/>
      <c r="L31" s="1207"/>
    </row>
    <row r="32" spans="1:13" s="873" customFormat="1">
      <c r="A32" s="1283"/>
      <c r="B32" s="866"/>
      <c r="C32" s="419" t="s">
        <v>1972</v>
      </c>
      <c r="D32" s="871"/>
      <c r="E32" s="419"/>
      <c r="F32" s="419"/>
      <c r="G32" s="1017"/>
      <c r="H32" s="1181"/>
      <c r="I32" s="1275"/>
      <c r="J32" s="1275"/>
      <c r="K32" s="1275"/>
      <c r="L32" s="1207"/>
    </row>
    <row r="33" spans="1:13" s="873" customFormat="1" ht="48">
      <c r="A33" s="889"/>
      <c r="B33" s="1203" t="s">
        <v>596</v>
      </c>
      <c r="C33" s="1204" t="s">
        <v>782</v>
      </c>
      <c r="D33" s="1205">
        <v>11</v>
      </c>
      <c r="E33" s="1206" t="s">
        <v>27</v>
      </c>
      <c r="F33" s="1207">
        <v>20443.5</v>
      </c>
      <c r="G33" s="1208">
        <v>0</v>
      </c>
      <c r="H33" s="1207">
        <f t="shared" si="0"/>
        <v>224878.5</v>
      </c>
      <c r="I33" s="1207">
        <f t="shared" si="1"/>
        <v>0</v>
      </c>
      <c r="J33" s="1207">
        <f t="shared" si="2"/>
        <v>224878.5</v>
      </c>
      <c r="K33" s="1209"/>
      <c r="L33" s="1207" t="s">
        <v>1962</v>
      </c>
      <c r="M33" s="873" t="s">
        <v>276</v>
      </c>
    </row>
    <row r="34" spans="1:13" s="871" customFormat="1">
      <c r="A34" s="887"/>
      <c r="B34" s="891" t="s">
        <v>597</v>
      </c>
      <c r="C34" s="1216" t="s">
        <v>783</v>
      </c>
      <c r="D34" s="1211">
        <v>4</v>
      </c>
      <c r="E34" s="1212" t="s">
        <v>27</v>
      </c>
      <c r="F34" s="1213">
        <v>13365</v>
      </c>
      <c r="G34" s="1214">
        <v>0</v>
      </c>
      <c r="H34" s="1213">
        <f t="shared" si="0"/>
        <v>53460</v>
      </c>
      <c r="I34" s="1213">
        <f t="shared" si="1"/>
        <v>0</v>
      </c>
      <c r="J34" s="1213">
        <f t="shared" si="2"/>
        <v>53460</v>
      </c>
      <c r="K34" s="1215"/>
      <c r="L34" s="1213" t="s">
        <v>1962</v>
      </c>
      <c r="M34" s="871" t="s">
        <v>276</v>
      </c>
    </row>
    <row r="35" spans="1:13" s="871" customFormat="1">
      <c r="A35" s="887"/>
      <c r="B35" s="891" t="s">
        <v>598</v>
      </c>
      <c r="C35" s="1210" t="s">
        <v>784</v>
      </c>
      <c r="D35" s="1211">
        <v>14</v>
      </c>
      <c r="E35" s="1212" t="s">
        <v>27</v>
      </c>
      <c r="F35" s="1213">
        <v>9999</v>
      </c>
      <c r="G35" s="1214">
        <v>0</v>
      </c>
      <c r="H35" s="1213">
        <f t="shared" si="0"/>
        <v>139986</v>
      </c>
      <c r="I35" s="1213">
        <f t="shared" si="1"/>
        <v>0</v>
      </c>
      <c r="J35" s="1213">
        <f t="shared" si="2"/>
        <v>139986</v>
      </c>
      <c r="K35" s="1215"/>
      <c r="L35" s="1213" t="s">
        <v>1962</v>
      </c>
      <c r="M35" s="871" t="s">
        <v>276</v>
      </c>
    </row>
    <row r="36" spans="1:13" s="871" customFormat="1">
      <c r="A36" s="887"/>
      <c r="B36" s="891" t="s">
        <v>599</v>
      </c>
      <c r="C36" s="1210" t="s">
        <v>785</v>
      </c>
      <c r="D36" s="1211">
        <v>2</v>
      </c>
      <c r="E36" s="1212" t="s">
        <v>27</v>
      </c>
      <c r="F36" s="1213">
        <v>28116</v>
      </c>
      <c r="G36" s="1214">
        <v>0</v>
      </c>
      <c r="H36" s="1213">
        <f t="shared" si="0"/>
        <v>56232</v>
      </c>
      <c r="I36" s="1213">
        <f t="shared" si="1"/>
        <v>0</v>
      </c>
      <c r="J36" s="1213">
        <f t="shared" si="2"/>
        <v>56232</v>
      </c>
      <c r="K36" s="1215"/>
      <c r="L36" s="1213" t="s">
        <v>1962</v>
      </c>
      <c r="M36" s="871" t="s">
        <v>276</v>
      </c>
    </row>
    <row r="37" spans="1:13" s="871" customFormat="1">
      <c r="A37" s="887"/>
      <c r="B37" s="891" t="s">
        <v>600</v>
      </c>
      <c r="C37" s="1216" t="s">
        <v>786</v>
      </c>
      <c r="D37" s="1211">
        <v>14</v>
      </c>
      <c r="E37" s="1212" t="s">
        <v>27</v>
      </c>
      <c r="F37" s="1213">
        <v>2574</v>
      </c>
      <c r="G37" s="1214">
        <v>0</v>
      </c>
      <c r="H37" s="1213">
        <f t="shared" si="0"/>
        <v>36036</v>
      </c>
      <c r="I37" s="1213">
        <f t="shared" si="1"/>
        <v>0</v>
      </c>
      <c r="J37" s="1213">
        <f t="shared" si="2"/>
        <v>36036</v>
      </c>
      <c r="K37" s="1215"/>
      <c r="L37" s="1213" t="s">
        <v>1962</v>
      </c>
      <c r="M37" s="871" t="s">
        <v>276</v>
      </c>
    </row>
    <row r="38" spans="1:13" s="871" customFormat="1">
      <c r="A38" s="887"/>
      <c r="B38" s="891" t="s">
        <v>787</v>
      </c>
      <c r="C38" s="1210" t="s">
        <v>790</v>
      </c>
      <c r="D38" s="1211">
        <v>1</v>
      </c>
      <c r="E38" s="1212" t="s">
        <v>27</v>
      </c>
      <c r="F38" s="1213">
        <v>49896</v>
      </c>
      <c r="G38" s="1214">
        <v>0</v>
      </c>
      <c r="H38" s="1213">
        <f>D38*F38</f>
        <v>49896</v>
      </c>
      <c r="I38" s="1213">
        <f>D38*G38</f>
        <v>0</v>
      </c>
      <c r="J38" s="1213">
        <f>H38+I38</f>
        <v>49896</v>
      </c>
      <c r="K38" s="1215"/>
      <c r="L38" s="1213" t="s">
        <v>1962</v>
      </c>
      <c r="M38" s="871" t="s">
        <v>276</v>
      </c>
    </row>
    <row r="39" spans="1:13" s="871" customFormat="1">
      <c r="A39" s="887"/>
      <c r="B39" s="891" t="s">
        <v>788</v>
      </c>
      <c r="C39" s="1210" t="s">
        <v>791</v>
      </c>
      <c r="D39" s="1211">
        <v>13</v>
      </c>
      <c r="E39" s="1212" t="s">
        <v>27</v>
      </c>
      <c r="F39" s="1213">
        <v>4554</v>
      </c>
      <c r="G39" s="1214">
        <v>0</v>
      </c>
      <c r="H39" s="1213">
        <f>D39*F39</f>
        <v>59202</v>
      </c>
      <c r="I39" s="1213">
        <f>D39*G39</f>
        <v>0</v>
      </c>
      <c r="J39" s="1213">
        <f>H39+I39</f>
        <v>59202</v>
      </c>
      <c r="K39" s="1215"/>
      <c r="L39" s="1213" t="s">
        <v>1962</v>
      </c>
      <c r="M39" s="871" t="s">
        <v>276</v>
      </c>
    </row>
    <row r="40" spans="1:13" s="871" customFormat="1">
      <c r="A40" s="887"/>
      <c r="B40" s="891" t="s">
        <v>789</v>
      </c>
      <c r="C40" s="1210" t="s">
        <v>792</v>
      </c>
      <c r="D40" s="1211">
        <v>3</v>
      </c>
      <c r="E40" s="1212" t="s">
        <v>27</v>
      </c>
      <c r="F40" s="1213">
        <v>11220</v>
      </c>
      <c r="G40" s="1214">
        <v>0</v>
      </c>
      <c r="H40" s="1213">
        <f>D40*F40</f>
        <v>33660</v>
      </c>
      <c r="I40" s="1213">
        <f>D40*G40</f>
        <v>0</v>
      </c>
      <c r="J40" s="1213">
        <f>H40+I40</f>
        <v>33660</v>
      </c>
      <c r="K40" s="1215"/>
      <c r="L40" s="1213" t="s">
        <v>1962</v>
      </c>
      <c r="M40" s="871" t="s">
        <v>276</v>
      </c>
    </row>
    <row r="41" spans="1:13" s="1196" customFormat="1">
      <c r="A41" s="890" t="s">
        <v>793</v>
      </c>
      <c r="B41" s="1217" t="s">
        <v>1999</v>
      </c>
      <c r="C41" s="1218"/>
      <c r="D41" s="1215"/>
      <c r="E41" s="1219"/>
      <c r="F41" s="1215"/>
      <c r="G41" s="1220"/>
      <c r="H41" s="1215"/>
      <c r="I41" s="1215"/>
      <c r="J41" s="1215"/>
      <c r="K41" s="1215"/>
      <c r="L41" s="1215"/>
    </row>
    <row r="42" spans="1:13" s="871" customFormat="1">
      <c r="A42" s="887"/>
      <c r="B42" s="891" t="s">
        <v>586</v>
      </c>
      <c r="C42" s="1210" t="s">
        <v>771</v>
      </c>
      <c r="D42" s="1211">
        <v>22</v>
      </c>
      <c r="E42" s="1212" t="s">
        <v>27</v>
      </c>
      <c r="F42" s="1213">
        <v>3168</v>
      </c>
      <c r="G42" s="1214">
        <v>0</v>
      </c>
      <c r="H42" s="1213">
        <f t="shared" ref="H42:H51" si="3">D42*F42</f>
        <v>69696</v>
      </c>
      <c r="I42" s="1213">
        <f t="shared" ref="I42:I51" si="4">D42*G42</f>
        <v>0</v>
      </c>
      <c r="J42" s="1213">
        <f t="shared" ref="J42:J51" si="5">H42+I42</f>
        <v>69696</v>
      </c>
      <c r="K42" s="1215"/>
      <c r="L42" s="1213" t="s">
        <v>1962</v>
      </c>
      <c r="M42" s="871" t="s">
        <v>276</v>
      </c>
    </row>
    <row r="43" spans="1:13" s="873" customFormat="1" ht="48">
      <c r="A43" s="889"/>
      <c r="B43" s="1203" t="s">
        <v>587</v>
      </c>
      <c r="C43" s="1204" t="s">
        <v>773</v>
      </c>
      <c r="D43" s="1205">
        <v>2</v>
      </c>
      <c r="E43" s="1206" t="s">
        <v>27</v>
      </c>
      <c r="F43" s="1207">
        <v>35640</v>
      </c>
      <c r="G43" s="1208">
        <v>0</v>
      </c>
      <c r="H43" s="1207">
        <f t="shared" si="3"/>
        <v>71280</v>
      </c>
      <c r="I43" s="1207">
        <f t="shared" si="4"/>
        <v>0</v>
      </c>
      <c r="J43" s="1207">
        <f t="shared" si="5"/>
        <v>71280</v>
      </c>
      <c r="K43" s="1209"/>
      <c r="L43" s="1207" t="s">
        <v>1962</v>
      </c>
      <c r="M43" s="873" t="s">
        <v>276</v>
      </c>
    </row>
    <row r="44" spans="1:13" s="871" customFormat="1">
      <c r="A44" s="887"/>
      <c r="B44" s="891" t="s">
        <v>588</v>
      </c>
      <c r="C44" s="1210" t="s">
        <v>774</v>
      </c>
      <c r="D44" s="1211">
        <v>1</v>
      </c>
      <c r="E44" s="1212" t="s">
        <v>27</v>
      </c>
      <c r="F44" s="1213">
        <v>11880</v>
      </c>
      <c r="G44" s="1214">
        <v>0</v>
      </c>
      <c r="H44" s="1213">
        <f t="shared" si="3"/>
        <v>11880</v>
      </c>
      <c r="I44" s="1213">
        <f t="shared" si="4"/>
        <v>0</v>
      </c>
      <c r="J44" s="1213">
        <f t="shared" si="5"/>
        <v>11880</v>
      </c>
      <c r="K44" s="1215"/>
      <c r="L44" s="1213" t="s">
        <v>1962</v>
      </c>
      <c r="M44" s="871" t="s">
        <v>276</v>
      </c>
    </row>
    <row r="45" spans="1:13" s="871" customFormat="1">
      <c r="A45" s="887"/>
      <c r="B45" s="891" t="s">
        <v>590</v>
      </c>
      <c r="C45" s="1210" t="s">
        <v>776</v>
      </c>
      <c r="D45" s="1211">
        <v>1</v>
      </c>
      <c r="E45" s="1212" t="s">
        <v>27</v>
      </c>
      <c r="F45" s="1213">
        <v>3432</v>
      </c>
      <c r="G45" s="1214">
        <v>0</v>
      </c>
      <c r="H45" s="1213">
        <f t="shared" si="3"/>
        <v>3432</v>
      </c>
      <c r="I45" s="1213">
        <f t="shared" si="4"/>
        <v>0</v>
      </c>
      <c r="J45" s="1213">
        <f t="shared" si="5"/>
        <v>3432</v>
      </c>
      <c r="K45" s="1215"/>
      <c r="L45" s="1213" t="s">
        <v>1962</v>
      </c>
      <c r="M45" s="871" t="s">
        <v>276</v>
      </c>
    </row>
    <row r="46" spans="1:13" s="871" customFormat="1">
      <c r="A46" s="887"/>
      <c r="B46" s="891" t="s">
        <v>591</v>
      </c>
      <c r="C46" s="1210" t="s">
        <v>777</v>
      </c>
      <c r="D46" s="1211">
        <v>2</v>
      </c>
      <c r="E46" s="1212" t="s">
        <v>27</v>
      </c>
      <c r="F46" s="1213">
        <v>18958.5</v>
      </c>
      <c r="G46" s="1214">
        <v>0</v>
      </c>
      <c r="H46" s="1213">
        <f t="shared" si="3"/>
        <v>37917</v>
      </c>
      <c r="I46" s="1213">
        <f t="shared" si="4"/>
        <v>0</v>
      </c>
      <c r="J46" s="1213">
        <f t="shared" si="5"/>
        <v>37917</v>
      </c>
      <c r="K46" s="1215"/>
      <c r="L46" s="1213" t="s">
        <v>1962</v>
      </c>
      <c r="M46" s="871" t="s">
        <v>276</v>
      </c>
    </row>
    <row r="47" spans="1:13" s="871" customFormat="1">
      <c r="A47" s="887"/>
      <c r="B47" s="891" t="s">
        <v>592</v>
      </c>
      <c r="C47" s="1210" t="s">
        <v>778</v>
      </c>
      <c r="D47" s="1211">
        <v>2</v>
      </c>
      <c r="E47" s="1212" t="s">
        <v>27</v>
      </c>
      <c r="F47" s="1213">
        <v>5875</v>
      </c>
      <c r="G47" s="1214">
        <v>0</v>
      </c>
      <c r="H47" s="1213">
        <f t="shared" si="3"/>
        <v>11750</v>
      </c>
      <c r="I47" s="1213">
        <f t="shared" si="4"/>
        <v>0</v>
      </c>
      <c r="J47" s="1213">
        <f t="shared" si="5"/>
        <v>11750</v>
      </c>
      <c r="K47" s="1215"/>
      <c r="L47" s="1213" t="s">
        <v>1962</v>
      </c>
      <c r="M47" s="871" t="s">
        <v>276</v>
      </c>
    </row>
    <row r="48" spans="1:13" s="871" customFormat="1">
      <c r="A48" s="887"/>
      <c r="B48" s="891" t="s">
        <v>593</v>
      </c>
      <c r="C48" s="1210" t="s">
        <v>779</v>
      </c>
      <c r="D48" s="1211">
        <v>4</v>
      </c>
      <c r="E48" s="1212" t="s">
        <v>27</v>
      </c>
      <c r="F48" s="1213">
        <v>7920</v>
      </c>
      <c r="G48" s="1214">
        <v>0</v>
      </c>
      <c r="H48" s="1213">
        <f t="shared" si="3"/>
        <v>31680</v>
      </c>
      <c r="I48" s="1213">
        <f t="shared" si="4"/>
        <v>0</v>
      </c>
      <c r="J48" s="1213">
        <f t="shared" si="5"/>
        <v>31680</v>
      </c>
      <c r="K48" s="1215"/>
      <c r="L48" s="1213" t="s">
        <v>1962</v>
      </c>
      <c r="M48" s="871" t="s">
        <v>276</v>
      </c>
    </row>
    <row r="49" spans="1:13" s="871" customFormat="1">
      <c r="A49" s="887"/>
      <c r="B49" s="891" t="s">
        <v>594</v>
      </c>
      <c r="C49" s="1210" t="s">
        <v>780</v>
      </c>
      <c r="D49" s="1211">
        <v>6</v>
      </c>
      <c r="E49" s="1212" t="s">
        <v>27</v>
      </c>
      <c r="F49" s="1213">
        <v>11880</v>
      </c>
      <c r="G49" s="1214">
        <v>0</v>
      </c>
      <c r="H49" s="1213">
        <f t="shared" si="3"/>
        <v>71280</v>
      </c>
      <c r="I49" s="1213">
        <f t="shared" si="4"/>
        <v>0</v>
      </c>
      <c r="J49" s="1213">
        <f t="shared" si="5"/>
        <v>71280</v>
      </c>
      <c r="K49" s="1215"/>
      <c r="L49" s="1213" t="s">
        <v>1962</v>
      </c>
      <c r="M49" s="871" t="s">
        <v>276</v>
      </c>
    </row>
    <row r="50" spans="1:13" s="871" customFormat="1">
      <c r="A50" s="887"/>
      <c r="B50" s="891" t="s">
        <v>600</v>
      </c>
      <c r="C50" s="1210" t="s">
        <v>786</v>
      </c>
      <c r="D50" s="1211">
        <v>110</v>
      </c>
      <c r="E50" s="1212" t="s">
        <v>27</v>
      </c>
      <c r="F50" s="1213">
        <v>2574</v>
      </c>
      <c r="G50" s="1214">
        <v>0</v>
      </c>
      <c r="H50" s="1213">
        <f t="shared" si="3"/>
        <v>283140</v>
      </c>
      <c r="I50" s="1213">
        <f t="shared" si="4"/>
        <v>0</v>
      </c>
      <c r="J50" s="1213">
        <f t="shared" si="5"/>
        <v>283140</v>
      </c>
      <c r="K50" s="1215"/>
      <c r="L50" s="1213" t="s">
        <v>1962</v>
      </c>
      <c r="M50" s="871" t="s">
        <v>276</v>
      </c>
    </row>
    <row r="51" spans="1:13" s="871" customFormat="1">
      <c r="A51" s="887"/>
      <c r="B51" s="891" t="s">
        <v>788</v>
      </c>
      <c r="C51" s="1210" t="s">
        <v>791</v>
      </c>
      <c r="D51" s="1211">
        <v>9</v>
      </c>
      <c r="E51" s="1212" t="s">
        <v>27</v>
      </c>
      <c r="F51" s="1213">
        <v>4554</v>
      </c>
      <c r="G51" s="1214">
        <v>0</v>
      </c>
      <c r="H51" s="1213">
        <f t="shared" si="3"/>
        <v>40986</v>
      </c>
      <c r="I51" s="1213">
        <f t="shared" si="4"/>
        <v>0</v>
      </c>
      <c r="J51" s="1213">
        <f t="shared" si="5"/>
        <v>40986</v>
      </c>
      <c r="K51" s="1215"/>
      <c r="L51" s="1213" t="s">
        <v>1962</v>
      </c>
      <c r="M51" s="871" t="s">
        <v>276</v>
      </c>
    </row>
    <row r="52" spans="1:13" s="871" customFormat="1">
      <c r="A52" s="887"/>
      <c r="B52" s="891" t="s">
        <v>794</v>
      </c>
      <c r="C52" s="1210" t="s">
        <v>795</v>
      </c>
      <c r="D52" s="1211">
        <v>1</v>
      </c>
      <c r="E52" s="1212" t="s">
        <v>27</v>
      </c>
      <c r="F52" s="1213">
        <v>28314</v>
      </c>
      <c r="G52" s="1214">
        <v>0</v>
      </c>
      <c r="H52" s="1213">
        <f>D52*F52</f>
        <v>28314</v>
      </c>
      <c r="I52" s="1213">
        <f>D52*G52</f>
        <v>0</v>
      </c>
      <c r="J52" s="1213">
        <f>H52+I52</f>
        <v>28314</v>
      </c>
      <c r="K52" s="1215"/>
      <c r="L52" s="1213" t="s">
        <v>1962</v>
      </c>
      <c r="M52" s="871" t="s">
        <v>276</v>
      </c>
    </row>
    <row r="53" spans="1:13" s="871" customFormat="1">
      <c r="A53" s="887"/>
      <c r="B53" s="891" t="s">
        <v>796</v>
      </c>
      <c r="C53" s="1210" t="s">
        <v>797</v>
      </c>
      <c r="D53" s="1211">
        <v>3</v>
      </c>
      <c r="E53" s="1212" t="s">
        <v>27</v>
      </c>
      <c r="F53" s="1213">
        <v>16483.5</v>
      </c>
      <c r="G53" s="1214">
        <v>0</v>
      </c>
      <c r="H53" s="1213">
        <f>D53*F53</f>
        <v>49450.5</v>
      </c>
      <c r="I53" s="1213">
        <f>D53*G53</f>
        <v>0</v>
      </c>
      <c r="J53" s="1213">
        <f>H53+I53</f>
        <v>49450.5</v>
      </c>
      <c r="K53" s="1215"/>
      <c r="L53" s="1213" t="s">
        <v>1962</v>
      </c>
      <c r="M53" s="871" t="s">
        <v>276</v>
      </c>
    </row>
    <row r="54" spans="1:13" s="871" customFormat="1">
      <c r="A54" s="887"/>
      <c r="B54" s="891" t="s">
        <v>798</v>
      </c>
      <c r="C54" s="1210" t="s">
        <v>799</v>
      </c>
      <c r="D54" s="1211">
        <v>3</v>
      </c>
      <c r="E54" s="1212" t="s">
        <v>27</v>
      </c>
      <c r="F54" s="1213">
        <v>3432</v>
      </c>
      <c r="G54" s="1214">
        <v>0</v>
      </c>
      <c r="H54" s="1213">
        <f>D54*F54</f>
        <v>10296</v>
      </c>
      <c r="I54" s="1213">
        <f>D54*G54</f>
        <v>0</v>
      </c>
      <c r="J54" s="1213">
        <f>H54+I54</f>
        <v>10296</v>
      </c>
      <c r="K54" s="1215"/>
      <c r="L54" s="1213" t="s">
        <v>1962</v>
      </c>
      <c r="M54" s="871" t="s">
        <v>276</v>
      </c>
    </row>
    <row r="55" spans="1:13" s="871" customFormat="1">
      <c r="A55" s="887"/>
      <c r="B55" s="891" t="s">
        <v>800</v>
      </c>
      <c r="C55" s="1210" t="s">
        <v>801</v>
      </c>
      <c r="D55" s="1211">
        <v>55</v>
      </c>
      <c r="E55" s="1212" t="s">
        <v>27</v>
      </c>
      <c r="F55" s="1213">
        <v>15345</v>
      </c>
      <c r="G55" s="1214">
        <v>0</v>
      </c>
      <c r="H55" s="1213">
        <f>D55*F55</f>
        <v>843975</v>
      </c>
      <c r="I55" s="1213">
        <f>D55*G55</f>
        <v>0</v>
      </c>
      <c r="J55" s="1213">
        <f>H55+I55</f>
        <v>843975</v>
      </c>
      <c r="K55" s="1215"/>
      <c r="L55" s="1213" t="s">
        <v>1962</v>
      </c>
      <c r="M55" s="871" t="s">
        <v>276</v>
      </c>
    </row>
    <row r="56" spans="1:13" s="871" customFormat="1">
      <c r="A56" s="869"/>
      <c r="B56" s="912"/>
      <c r="C56" s="1276"/>
      <c r="D56" s="1277"/>
      <c r="E56" s="419"/>
      <c r="F56" s="419"/>
      <c r="G56" s="419"/>
      <c r="L56" s="1213"/>
    </row>
    <row r="57" spans="1:13" s="871" customFormat="1">
      <c r="A57" s="869"/>
      <c r="B57" s="1278"/>
      <c r="C57" s="1196" t="s">
        <v>133</v>
      </c>
      <c r="D57" s="1013"/>
      <c r="E57" s="912"/>
      <c r="F57" s="1014"/>
      <c r="G57" s="1279"/>
      <c r="H57" s="411"/>
      <c r="I57" s="1280"/>
      <c r="L57" s="1213"/>
    </row>
    <row r="58" spans="1:13" s="871" customFormat="1">
      <c r="A58" s="869"/>
      <c r="B58" s="1281"/>
      <c r="C58" s="1017" t="s">
        <v>1769</v>
      </c>
      <c r="E58" s="866"/>
      <c r="F58" s="1017" t="s">
        <v>134</v>
      </c>
      <c r="G58" s="418"/>
      <c r="H58" s="1282"/>
      <c r="I58" s="1280"/>
      <c r="L58" s="1213"/>
    </row>
    <row r="59" spans="1:13" s="871" customFormat="1">
      <c r="A59" s="869"/>
      <c r="B59" s="1176"/>
      <c r="C59" s="419" t="s">
        <v>1970</v>
      </c>
      <c r="E59" s="866"/>
      <c r="F59" s="1019" t="s">
        <v>1971</v>
      </c>
      <c r="G59" s="880"/>
      <c r="H59" s="411"/>
      <c r="I59" s="1280"/>
      <c r="L59" s="1213"/>
    </row>
    <row r="60" spans="1:13" s="871" customFormat="1">
      <c r="A60" s="869"/>
      <c r="B60" s="1176"/>
      <c r="C60" s="1017" t="s">
        <v>2035</v>
      </c>
      <c r="E60" s="866"/>
      <c r="F60" s="1017" t="s">
        <v>2031</v>
      </c>
      <c r="G60" s="1017"/>
      <c r="L60" s="1213"/>
    </row>
    <row r="61" spans="1:13" s="871" customFormat="1">
      <c r="A61" s="869"/>
      <c r="B61" s="1281"/>
      <c r="C61" s="419" t="s">
        <v>1984</v>
      </c>
      <c r="E61" s="866"/>
      <c r="F61" s="419" t="s">
        <v>1985</v>
      </c>
      <c r="G61" s="866"/>
      <c r="L61" s="1213"/>
    </row>
    <row r="62" spans="1:13" s="871" customFormat="1">
      <c r="A62" s="1283"/>
      <c r="B62" s="1284"/>
      <c r="C62" s="1017" t="s">
        <v>670</v>
      </c>
      <c r="E62" s="1017"/>
      <c r="F62" s="1017"/>
      <c r="G62" s="866"/>
      <c r="H62" s="1181"/>
      <c r="I62" s="1275"/>
      <c r="J62" s="1275"/>
      <c r="K62" s="1275"/>
      <c r="L62" s="1213"/>
    </row>
    <row r="63" spans="1:13" s="871" customFormat="1">
      <c r="A63" s="1283"/>
      <c r="B63" s="866"/>
      <c r="C63" s="419" t="s">
        <v>1972</v>
      </c>
      <c r="E63" s="419"/>
      <c r="F63" s="419"/>
      <c r="G63" s="1017"/>
      <c r="H63" s="1181"/>
      <c r="I63" s="1275"/>
      <c r="J63" s="1275"/>
      <c r="K63" s="1275"/>
      <c r="L63" s="1213"/>
    </row>
    <row r="64" spans="1:13" s="871" customFormat="1">
      <c r="A64" s="887"/>
      <c r="B64" s="891" t="s">
        <v>802</v>
      </c>
      <c r="C64" s="1210" t="s">
        <v>803</v>
      </c>
      <c r="D64" s="1211">
        <v>2</v>
      </c>
      <c r="E64" s="1212" t="s">
        <v>27</v>
      </c>
      <c r="F64" s="1213">
        <v>19800</v>
      </c>
      <c r="G64" s="1214">
        <v>0</v>
      </c>
      <c r="H64" s="1213">
        <f>D64*F64</f>
        <v>39600</v>
      </c>
      <c r="I64" s="1213">
        <f>D64*G64</f>
        <v>0</v>
      </c>
      <c r="J64" s="1213">
        <f>H64+I64</f>
        <v>39600</v>
      </c>
      <c r="K64" s="1215"/>
      <c r="L64" s="1213" t="s">
        <v>1962</v>
      </c>
      <c r="M64" s="871" t="s">
        <v>276</v>
      </c>
    </row>
    <row r="65" spans="1:13" s="871" customFormat="1">
      <c r="A65" s="887"/>
      <c r="B65" s="891" t="s">
        <v>804</v>
      </c>
      <c r="C65" s="1210" t="s">
        <v>821</v>
      </c>
      <c r="D65" s="1211">
        <v>1</v>
      </c>
      <c r="E65" s="1212" t="s">
        <v>27</v>
      </c>
      <c r="F65" s="1213">
        <v>7920</v>
      </c>
      <c r="G65" s="1214">
        <v>0</v>
      </c>
      <c r="H65" s="1213">
        <f t="shared" ref="H65:H74" si="6">D65*F65</f>
        <v>7920</v>
      </c>
      <c r="I65" s="1213">
        <f t="shared" ref="I65:I74" si="7">D65*G65</f>
        <v>0</v>
      </c>
      <c r="J65" s="1213">
        <f t="shared" ref="J65:J74" si="8">H65+I65</f>
        <v>7920</v>
      </c>
      <c r="K65" s="1215"/>
      <c r="L65" s="1213" t="s">
        <v>1962</v>
      </c>
      <c r="M65" s="871" t="s">
        <v>276</v>
      </c>
    </row>
    <row r="66" spans="1:13" s="871" customFormat="1">
      <c r="A66" s="887"/>
      <c r="B66" s="891" t="s">
        <v>805</v>
      </c>
      <c r="C66" s="1210" t="s">
        <v>822</v>
      </c>
      <c r="D66" s="1211">
        <v>8</v>
      </c>
      <c r="E66" s="1212" t="s">
        <v>27</v>
      </c>
      <c r="F66" s="1213">
        <v>6435</v>
      </c>
      <c r="G66" s="1214">
        <v>0</v>
      </c>
      <c r="H66" s="1213">
        <f t="shared" si="6"/>
        <v>51480</v>
      </c>
      <c r="I66" s="1213">
        <f t="shared" si="7"/>
        <v>0</v>
      </c>
      <c r="J66" s="1213">
        <f t="shared" si="8"/>
        <v>51480</v>
      </c>
      <c r="K66" s="1215"/>
      <c r="L66" s="1213" t="s">
        <v>1962</v>
      </c>
      <c r="M66" s="871" t="s">
        <v>276</v>
      </c>
    </row>
    <row r="67" spans="1:13" s="871" customFormat="1">
      <c r="A67" s="887"/>
      <c r="B67" s="891" t="s">
        <v>806</v>
      </c>
      <c r="C67" s="1210" t="s">
        <v>823</v>
      </c>
      <c r="D67" s="1211">
        <v>2</v>
      </c>
      <c r="E67" s="1212" t="s">
        <v>27</v>
      </c>
      <c r="F67" s="1213">
        <v>55440</v>
      </c>
      <c r="G67" s="1214">
        <v>0</v>
      </c>
      <c r="H67" s="1213">
        <f t="shared" si="6"/>
        <v>110880</v>
      </c>
      <c r="I67" s="1213">
        <f t="shared" si="7"/>
        <v>0</v>
      </c>
      <c r="J67" s="1213">
        <f t="shared" si="8"/>
        <v>110880</v>
      </c>
      <c r="K67" s="1215"/>
      <c r="L67" s="1213" t="s">
        <v>1962</v>
      </c>
      <c r="M67" s="871" t="s">
        <v>276</v>
      </c>
    </row>
    <row r="68" spans="1:13" s="871" customFormat="1">
      <c r="A68" s="887"/>
      <c r="B68" s="891" t="s">
        <v>807</v>
      </c>
      <c r="C68" s="1210" t="s">
        <v>824</v>
      </c>
      <c r="D68" s="1211">
        <v>2</v>
      </c>
      <c r="E68" s="1212" t="s">
        <v>27</v>
      </c>
      <c r="F68" s="1213">
        <v>12540</v>
      </c>
      <c r="G68" s="1214">
        <v>0</v>
      </c>
      <c r="H68" s="1213">
        <f t="shared" si="6"/>
        <v>25080</v>
      </c>
      <c r="I68" s="1213">
        <f t="shared" si="7"/>
        <v>0</v>
      </c>
      <c r="J68" s="1213">
        <f t="shared" si="8"/>
        <v>25080</v>
      </c>
      <c r="K68" s="1215"/>
      <c r="L68" s="1213" t="s">
        <v>1962</v>
      </c>
      <c r="M68" s="871" t="s">
        <v>276</v>
      </c>
    </row>
    <row r="69" spans="1:13" s="871" customFormat="1">
      <c r="A69" s="887"/>
      <c r="B69" s="891" t="s">
        <v>808</v>
      </c>
      <c r="C69" s="1210" t="s">
        <v>825</v>
      </c>
      <c r="D69" s="1211">
        <v>3</v>
      </c>
      <c r="E69" s="1212" t="s">
        <v>27</v>
      </c>
      <c r="F69" s="1213">
        <v>10543.5</v>
      </c>
      <c r="G69" s="1214">
        <v>0</v>
      </c>
      <c r="H69" s="1213">
        <f t="shared" si="6"/>
        <v>31630.5</v>
      </c>
      <c r="I69" s="1213">
        <f t="shared" si="7"/>
        <v>0</v>
      </c>
      <c r="J69" s="1213">
        <f t="shared" si="8"/>
        <v>31630.5</v>
      </c>
      <c r="K69" s="1215"/>
      <c r="L69" s="1213" t="s">
        <v>1962</v>
      </c>
      <c r="M69" s="871" t="s">
        <v>276</v>
      </c>
    </row>
    <row r="70" spans="1:13" s="871" customFormat="1">
      <c r="A70" s="887"/>
      <c r="B70" s="891" t="s">
        <v>809</v>
      </c>
      <c r="C70" s="1210" t="s">
        <v>826</v>
      </c>
      <c r="D70" s="1211">
        <v>5</v>
      </c>
      <c r="E70" s="1212" t="s">
        <v>27</v>
      </c>
      <c r="F70" s="1213">
        <v>8563.5</v>
      </c>
      <c r="G70" s="1214">
        <v>0</v>
      </c>
      <c r="H70" s="1213">
        <f t="shared" si="6"/>
        <v>42817.5</v>
      </c>
      <c r="I70" s="1213">
        <f t="shared" si="7"/>
        <v>0</v>
      </c>
      <c r="J70" s="1213">
        <f t="shared" si="8"/>
        <v>42817.5</v>
      </c>
      <c r="K70" s="1215"/>
      <c r="L70" s="1213" t="s">
        <v>1962</v>
      </c>
      <c r="M70" s="871" t="s">
        <v>276</v>
      </c>
    </row>
    <row r="71" spans="1:13" s="871" customFormat="1">
      <c r="A71" s="887"/>
      <c r="B71" s="891" t="s">
        <v>810</v>
      </c>
      <c r="C71" s="1210" t="s">
        <v>827</v>
      </c>
      <c r="D71" s="1211">
        <v>1</v>
      </c>
      <c r="E71" s="1212" t="s">
        <v>27</v>
      </c>
      <c r="F71" s="1213">
        <v>8068.5</v>
      </c>
      <c r="G71" s="1214">
        <v>0</v>
      </c>
      <c r="H71" s="1213">
        <f t="shared" si="6"/>
        <v>8068.5</v>
      </c>
      <c r="I71" s="1213">
        <f t="shared" si="7"/>
        <v>0</v>
      </c>
      <c r="J71" s="1213">
        <f t="shared" si="8"/>
        <v>8068.5</v>
      </c>
      <c r="K71" s="1215"/>
      <c r="L71" s="1213" t="s">
        <v>1962</v>
      </c>
      <c r="M71" s="871" t="s">
        <v>276</v>
      </c>
    </row>
    <row r="72" spans="1:13" s="871" customFormat="1">
      <c r="A72" s="887"/>
      <c r="B72" s="891" t="s">
        <v>811</v>
      </c>
      <c r="C72" s="1210" t="s">
        <v>828</v>
      </c>
      <c r="D72" s="1211">
        <v>1</v>
      </c>
      <c r="E72" s="1212" t="s">
        <v>27</v>
      </c>
      <c r="F72" s="1213">
        <v>17473.5</v>
      </c>
      <c r="G72" s="1214">
        <v>0</v>
      </c>
      <c r="H72" s="1213">
        <f t="shared" si="6"/>
        <v>17473.5</v>
      </c>
      <c r="I72" s="1213">
        <f t="shared" si="7"/>
        <v>0</v>
      </c>
      <c r="J72" s="1213">
        <f t="shared" si="8"/>
        <v>17473.5</v>
      </c>
      <c r="K72" s="1215"/>
      <c r="L72" s="1213" t="s">
        <v>1962</v>
      </c>
      <c r="M72" s="871" t="s">
        <v>276</v>
      </c>
    </row>
    <row r="73" spans="1:13" s="871" customFormat="1">
      <c r="A73" s="887"/>
      <c r="B73" s="891" t="s">
        <v>812</v>
      </c>
      <c r="C73" s="1210" t="s">
        <v>829</v>
      </c>
      <c r="D73" s="1211">
        <v>1</v>
      </c>
      <c r="E73" s="1212" t="s">
        <v>27</v>
      </c>
      <c r="F73" s="1213">
        <v>9058.5</v>
      </c>
      <c r="G73" s="1214">
        <v>0</v>
      </c>
      <c r="H73" s="1213">
        <f t="shared" si="6"/>
        <v>9058.5</v>
      </c>
      <c r="I73" s="1213">
        <f t="shared" si="7"/>
        <v>0</v>
      </c>
      <c r="J73" s="1213">
        <f t="shared" si="8"/>
        <v>9058.5</v>
      </c>
      <c r="K73" s="1215"/>
      <c r="L73" s="1213" t="s">
        <v>1962</v>
      </c>
      <c r="M73" s="871" t="s">
        <v>276</v>
      </c>
    </row>
    <row r="74" spans="1:13" s="871" customFormat="1">
      <c r="A74" s="887"/>
      <c r="B74" s="891" t="s">
        <v>813</v>
      </c>
      <c r="C74" s="1210" t="s">
        <v>830</v>
      </c>
      <c r="D74" s="1211">
        <v>10</v>
      </c>
      <c r="E74" s="1212" t="s">
        <v>27</v>
      </c>
      <c r="F74" s="1213">
        <v>4686</v>
      </c>
      <c r="G74" s="1214">
        <v>0</v>
      </c>
      <c r="H74" s="1213">
        <f t="shared" si="6"/>
        <v>46860</v>
      </c>
      <c r="I74" s="1213">
        <f t="shared" si="7"/>
        <v>0</v>
      </c>
      <c r="J74" s="1213">
        <f t="shared" si="8"/>
        <v>46860</v>
      </c>
      <c r="K74" s="1215"/>
      <c r="L74" s="1213" t="s">
        <v>1962</v>
      </c>
      <c r="M74" s="871" t="s">
        <v>276</v>
      </c>
    </row>
    <row r="75" spans="1:13" s="871" customFormat="1">
      <c r="A75" s="887"/>
      <c r="B75" s="891" t="s">
        <v>814</v>
      </c>
      <c r="C75" s="1210" t="s">
        <v>831</v>
      </c>
      <c r="D75" s="1211">
        <v>2</v>
      </c>
      <c r="E75" s="1212" t="s">
        <v>27</v>
      </c>
      <c r="F75" s="1213">
        <v>89100</v>
      </c>
      <c r="G75" s="1214">
        <v>0</v>
      </c>
      <c r="H75" s="1213">
        <f t="shared" ref="H75:H81" si="9">D75*F75</f>
        <v>178200</v>
      </c>
      <c r="I75" s="1213">
        <f t="shared" ref="I75:I81" si="10">D75*G75</f>
        <v>0</v>
      </c>
      <c r="J75" s="1213">
        <f t="shared" ref="J75:J81" si="11">H75+I75</f>
        <v>178200</v>
      </c>
      <c r="K75" s="1215"/>
      <c r="L75" s="1213" t="s">
        <v>1962</v>
      </c>
      <c r="M75" s="871" t="s">
        <v>276</v>
      </c>
    </row>
    <row r="76" spans="1:13" s="871" customFormat="1">
      <c r="A76" s="887"/>
      <c r="B76" s="891" t="s">
        <v>815</v>
      </c>
      <c r="C76" s="1210" t="s">
        <v>832</v>
      </c>
      <c r="D76" s="1211">
        <v>1</v>
      </c>
      <c r="E76" s="1212" t="s">
        <v>27</v>
      </c>
      <c r="F76" s="1213">
        <v>5610</v>
      </c>
      <c r="G76" s="1214">
        <v>0</v>
      </c>
      <c r="H76" s="1213">
        <f t="shared" si="9"/>
        <v>5610</v>
      </c>
      <c r="I76" s="1213">
        <f t="shared" si="10"/>
        <v>0</v>
      </c>
      <c r="J76" s="1213">
        <f t="shared" si="11"/>
        <v>5610</v>
      </c>
      <c r="K76" s="1215"/>
      <c r="L76" s="1213" t="s">
        <v>1962</v>
      </c>
      <c r="M76" s="871" t="s">
        <v>276</v>
      </c>
    </row>
    <row r="77" spans="1:13" s="871" customFormat="1">
      <c r="A77" s="887"/>
      <c r="B77" s="891" t="s">
        <v>816</v>
      </c>
      <c r="C77" s="1210" t="s">
        <v>833</v>
      </c>
      <c r="D77" s="1211">
        <v>1</v>
      </c>
      <c r="E77" s="1212" t="s">
        <v>27</v>
      </c>
      <c r="F77" s="1213">
        <v>11880</v>
      </c>
      <c r="G77" s="1214">
        <v>0</v>
      </c>
      <c r="H77" s="1213">
        <f t="shared" si="9"/>
        <v>11880</v>
      </c>
      <c r="I77" s="1213">
        <f t="shared" si="10"/>
        <v>0</v>
      </c>
      <c r="J77" s="1213">
        <f t="shared" si="11"/>
        <v>11880</v>
      </c>
      <c r="K77" s="1215"/>
      <c r="L77" s="1213" t="s">
        <v>1962</v>
      </c>
      <c r="M77" s="871" t="s">
        <v>276</v>
      </c>
    </row>
    <row r="78" spans="1:13" s="871" customFormat="1">
      <c r="A78" s="887"/>
      <c r="B78" s="891" t="s">
        <v>817</v>
      </c>
      <c r="C78" s="1210" t="s">
        <v>834</v>
      </c>
      <c r="D78" s="1211">
        <v>3</v>
      </c>
      <c r="E78" s="1212" t="s">
        <v>27</v>
      </c>
      <c r="F78" s="1213">
        <v>5544</v>
      </c>
      <c r="G78" s="1214">
        <v>0</v>
      </c>
      <c r="H78" s="1213">
        <f t="shared" si="9"/>
        <v>16632</v>
      </c>
      <c r="I78" s="1213">
        <f t="shared" si="10"/>
        <v>0</v>
      </c>
      <c r="J78" s="1213">
        <f t="shared" si="11"/>
        <v>16632</v>
      </c>
      <c r="K78" s="1215"/>
      <c r="L78" s="1213" t="s">
        <v>1962</v>
      </c>
      <c r="M78" s="871" t="s">
        <v>276</v>
      </c>
    </row>
    <row r="79" spans="1:13" s="871" customFormat="1">
      <c r="A79" s="887"/>
      <c r="B79" s="891" t="s">
        <v>818</v>
      </c>
      <c r="C79" s="1210" t="s">
        <v>835</v>
      </c>
      <c r="D79" s="1211">
        <v>2</v>
      </c>
      <c r="E79" s="1212" t="s">
        <v>27</v>
      </c>
      <c r="F79" s="1213">
        <v>23760</v>
      </c>
      <c r="G79" s="1214">
        <v>0</v>
      </c>
      <c r="H79" s="1213">
        <f t="shared" si="9"/>
        <v>47520</v>
      </c>
      <c r="I79" s="1213">
        <f t="shared" si="10"/>
        <v>0</v>
      </c>
      <c r="J79" s="1213">
        <f t="shared" si="11"/>
        <v>47520</v>
      </c>
      <c r="K79" s="1215"/>
      <c r="L79" s="1213" t="s">
        <v>1962</v>
      </c>
      <c r="M79" s="871" t="s">
        <v>276</v>
      </c>
    </row>
    <row r="80" spans="1:13" s="871" customFormat="1">
      <c r="A80" s="887"/>
      <c r="B80" s="891" t="s">
        <v>819</v>
      </c>
      <c r="C80" s="1210" t="s">
        <v>836</v>
      </c>
      <c r="D80" s="1211">
        <v>8</v>
      </c>
      <c r="E80" s="1212" t="s">
        <v>27</v>
      </c>
      <c r="F80" s="1213">
        <v>4290</v>
      </c>
      <c r="G80" s="1214">
        <v>0</v>
      </c>
      <c r="H80" s="1213">
        <f t="shared" si="9"/>
        <v>34320</v>
      </c>
      <c r="I80" s="1213">
        <f t="shared" si="10"/>
        <v>0</v>
      </c>
      <c r="J80" s="1213">
        <f t="shared" si="11"/>
        <v>34320</v>
      </c>
      <c r="K80" s="1215"/>
      <c r="L80" s="1213" t="s">
        <v>1962</v>
      </c>
      <c r="M80" s="871" t="s">
        <v>276</v>
      </c>
    </row>
    <row r="81" spans="1:13" s="871" customFormat="1">
      <c r="A81" s="887"/>
      <c r="B81" s="891" t="s">
        <v>820</v>
      </c>
      <c r="C81" s="1210" t="s">
        <v>837</v>
      </c>
      <c r="D81" s="1211">
        <v>6</v>
      </c>
      <c r="E81" s="1212" t="s">
        <v>27</v>
      </c>
      <c r="F81" s="1213">
        <v>2442</v>
      </c>
      <c r="G81" s="1214">
        <v>0</v>
      </c>
      <c r="H81" s="1213">
        <f t="shared" si="9"/>
        <v>14652</v>
      </c>
      <c r="I81" s="1213">
        <f t="shared" si="10"/>
        <v>0</v>
      </c>
      <c r="J81" s="1213">
        <f t="shared" si="11"/>
        <v>14652</v>
      </c>
      <c r="K81" s="1215"/>
      <c r="L81" s="1213" t="s">
        <v>1962</v>
      </c>
      <c r="M81" s="871" t="s">
        <v>276</v>
      </c>
    </row>
    <row r="82" spans="1:13" s="871" customFormat="1">
      <c r="A82" s="869"/>
      <c r="B82" s="912"/>
      <c r="C82" s="1276"/>
      <c r="D82" s="1277"/>
      <c r="E82" s="419"/>
      <c r="F82" s="419"/>
      <c r="G82" s="419"/>
      <c r="L82" s="1225"/>
    </row>
    <row r="83" spans="1:13" s="871" customFormat="1">
      <c r="A83" s="869"/>
      <c r="B83" s="1278"/>
      <c r="C83" s="1196" t="s">
        <v>133</v>
      </c>
      <c r="D83" s="1013"/>
      <c r="E83" s="912"/>
      <c r="F83" s="1014"/>
      <c r="G83" s="1279"/>
      <c r="H83" s="411"/>
      <c r="I83" s="1280"/>
      <c r="L83" s="1225"/>
    </row>
    <row r="84" spans="1:13" s="871" customFormat="1">
      <c r="A84" s="869"/>
      <c r="B84" s="1281"/>
      <c r="C84" s="1017" t="s">
        <v>1769</v>
      </c>
      <c r="E84" s="866"/>
      <c r="F84" s="1017" t="s">
        <v>134</v>
      </c>
      <c r="G84" s="418"/>
      <c r="H84" s="1282"/>
      <c r="I84" s="1280"/>
      <c r="L84" s="1225"/>
    </row>
    <row r="85" spans="1:13" s="871" customFormat="1">
      <c r="A85" s="869"/>
      <c r="B85" s="1176"/>
      <c r="C85" s="419" t="s">
        <v>1970</v>
      </c>
      <c r="E85" s="866"/>
      <c r="F85" s="1019" t="s">
        <v>1971</v>
      </c>
      <c r="G85" s="880"/>
      <c r="H85" s="411"/>
      <c r="I85" s="1280"/>
      <c r="L85" s="1225"/>
    </row>
    <row r="86" spans="1:13" s="871" customFormat="1">
      <c r="A86" s="869"/>
      <c r="B86" s="1176"/>
      <c r="C86" s="1017" t="s">
        <v>2035</v>
      </c>
      <c r="E86" s="866"/>
      <c r="F86" s="1017" t="s">
        <v>2031</v>
      </c>
      <c r="G86" s="1017"/>
      <c r="L86" s="1225"/>
    </row>
    <row r="87" spans="1:13" s="871" customFormat="1">
      <c r="A87" s="869"/>
      <c r="B87" s="1281"/>
      <c r="C87" s="419" t="s">
        <v>1984</v>
      </c>
      <c r="E87" s="866"/>
      <c r="F87" s="419" t="s">
        <v>1985</v>
      </c>
      <c r="G87" s="866"/>
      <c r="L87" s="1225"/>
    </row>
    <row r="88" spans="1:13" s="871" customFormat="1">
      <c r="A88" s="1283"/>
      <c r="B88" s="1284"/>
      <c r="C88" s="1017" t="s">
        <v>670</v>
      </c>
      <c r="E88" s="1017"/>
      <c r="F88" s="1017"/>
      <c r="G88" s="866"/>
      <c r="H88" s="1181"/>
      <c r="I88" s="1275"/>
      <c r="J88" s="1275"/>
      <c r="K88" s="1275"/>
      <c r="L88" s="1225"/>
    </row>
    <row r="89" spans="1:13" s="871" customFormat="1">
      <c r="A89" s="1283"/>
      <c r="B89" s="866"/>
      <c r="C89" s="419" t="s">
        <v>1972</v>
      </c>
      <c r="E89" s="419"/>
      <c r="F89" s="419"/>
      <c r="G89" s="1017"/>
      <c r="H89" s="1181"/>
      <c r="I89" s="1275"/>
      <c r="J89" s="1275"/>
      <c r="K89" s="1275"/>
      <c r="L89" s="1225"/>
    </row>
    <row r="90" spans="1:13" s="1196" customFormat="1">
      <c r="A90" s="1197" t="s">
        <v>838</v>
      </c>
      <c r="B90" s="1198" t="s">
        <v>2000</v>
      </c>
      <c r="C90" s="1199"/>
      <c r="D90" s="1200"/>
      <c r="E90" s="1201"/>
      <c r="F90" s="1200"/>
      <c r="G90" s="1202"/>
      <c r="H90" s="1200"/>
      <c r="I90" s="1200"/>
      <c r="J90" s="1200"/>
      <c r="K90" s="1215"/>
      <c r="L90" s="1200"/>
    </row>
    <row r="91" spans="1:13" s="871" customFormat="1">
      <c r="A91" s="887"/>
      <c r="B91" s="891" t="s">
        <v>586</v>
      </c>
      <c r="C91" s="1210" t="s">
        <v>771</v>
      </c>
      <c r="D91" s="1211">
        <v>26</v>
      </c>
      <c r="E91" s="1212" t="s">
        <v>27</v>
      </c>
      <c r="F91" s="1213">
        <v>3168</v>
      </c>
      <c r="G91" s="1214">
        <v>0</v>
      </c>
      <c r="H91" s="1213">
        <f t="shared" ref="H91:H101" si="12">D91*F91</f>
        <v>82368</v>
      </c>
      <c r="I91" s="1213">
        <f t="shared" ref="I91:I101" si="13">D91*G91</f>
        <v>0</v>
      </c>
      <c r="J91" s="1213">
        <f t="shared" ref="J91:J101" si="14">H91+I91</f>
        <v>82368</v>
      </c>
      <c r="K91" s="1215"/>
      <c r="L91" s="1213" t="s">
        <v>1962</v>
      </c>
      <c r="M91" s="871" t="s">
        <v>276</v>
      </c>
    </row>
    <row r="92" spans="1:13" s="871" customFormat="1">
      <c r="A92" s="887"/>
      <c r="B92" s="891" t="s">
        <v>590</v>
      </c>
      <c r="C92" s="1210" t="s">
        <v>776</v>
      </c>
      <c r="D92" s="1211">
        <v>96</v>
      </c>
      <c r="E92" s="1212" t="s">
        <v>27</v>
      </c>
      <c r="F92" s="1213">
        <v>3432</v>
      </c>
      <c r="G92" s="1214">
        <v>0</v>
      </c>
      <c r="H92" s="1213">
        <f t="shared" si="12"/>
        <v>329472</v>
      </c>
      <c r="I92" s="1213">
        <f t="shared" si="13"/>
        <v>0</v>
      </c>
      <c r="J92" s="1213">
        <f t="shared" si="14"/>
        <v>329472</v>
      </c>
      <c r="K92" s="1215"/>
      <c r="L92" s="1213" t="s">
        <v>1962</v>
      </c>
      <c r="M92" s="871" t="s">
        <v>276</v>
      </c>
    </row>
    <row r="93" spans="1:13" s="871" customFormat="1">
      <c r="A93" s="887"/>
      <c r="B93" s="891" t="s">
        <v>796</v>
      </c>
      <c r="C93" s="1210" t="s">
        <v>797</v>
      </c>
      <c r="D93" s="1211">
        <v>5</v>
      </c>
      <c r="E93" s="1212" t="s">
        <v>27</v>
      </c>
      <c r="F93" s="1213">
        <v>16483.5</v>
      </c>
      <c r="G93" s="1214">
        <v>0</v>
      </c>
      <c r="H93" s="1213">
        <f t="shared" si="12"/>
        <v>82417.5</v>
      </c>
      <c r="I93" s="1213">
        <f t="shared" si="13"/>
        <v>0</v>
      </c>
      <c r="J93" s="1213">
        <f t="shared" si="14"/>
        <v>82417.5</v>
      </c>
      <c r="K93" s="1215"/>
      <c r="L93" s="1213" t="s">
        <v>1962</v>
      </c>
      <c r="M93" s="871" t="s">
        <v>276</v>
      </c>
    </row>
    <row r="94" spans="1:13" s="871" customFormat="1">
      <c r="A94" s="887"/>
      <c r="B94" s="891" t="s">
        <v>798</v>
      </c>
      <c r="C94" s="1210" t="s">
        <v>799</v>
      </c>
      <c r="D94" s="1211">
        <v>5</v>
      </c>
      <c r="E94" s="1212" t="s">
        <v>27</v>
      </c>
      <c r="F94" s="1213">
        <v>3432</v>
      </c>
      <c r="G94" s="1214">
        <v>0</v>
      </c>
      <c r="H94" s="1213">
        <f t="shared" si="12"/>
        <v>17160</v>
      </c>
      <c r="I94" s="1213">
        <f t="shared" si="13"/>
        <v>0</v>
      </c>
      <c r="J94" s="1213">
        <f t="shared" si="14"/>
        <v>17160</v>
      </c>
      <c r="K94" s="1215"/>
      <c r="L94" s="1213" t="s">
        <v>1962</v>
      </c>
      <c r="M94" s="871" t="s">
        <v>276</v>
      </c>
    </row>
    <row r="95" spans="1:13" s="871" customFormat="1">
      <c r="A95" s="887"/>
      <c r="B95" s="891" t="s">
        <v>809</v>
      </c>
      <c r="C95" s="1210" t="s">
        <v>826</v>
      </c>
      <c r="D95" s="1211">
        <v>5</v>
      </c>
      <c r="E95" s="1212" t="s">
        <v>27</v>
      </c>
      <c r="F95" s="1213">
        <v>8563.5</v>
      </c>
      <c r="G95" s="1214">
        <v>0</v>
      </c>
      <c r="H95" s="1213">
        <f t="shared" si="12"/>
        <v>42817.5</v>
      </c>
      <c r="I95" s="1213">
        <f t="shared" si="13"/>
        <v>0</v>
      </c>
      <c r="J95" s="1213">
        <f t="shared" si="14"/>
        <v>42817.5</v>
      </c>
      <c r="K95" s="1215"/>
      <c r="L95" s="1213" t="s">
        <v>1962</v>
      </c>
      <c r="M95" s="871" t="s">
        <v>276</v>
      </c>
    </row>
    <row r="96" spans="1:13" s="873" customFormat="1">
      <c r="A96" s="889"/>
      <c r="B96" s="1203" t="s">
        <v>839</v>
      </c>
      <c r="C96" s="1236" t="s">
        <v>840</v>
      </c>
      <c r="D96" s="1205">
        <v>48</v>
      </c>
      <c r="E96" s="1206" t="s">
        <v>27</v>
      </c>
      <c r="F96" s="1207">
        <v>7920</v>
      </c>
      <c r="G96" s="1208">
        <v>0</v>
      </c>
      <c r="H96" s="1207">
        <f t="shared" si="12"/>
        <v>380160</v>
      </c>
      <c r="I96" s="1207">
        <f t="shared" si="13"/>
        <v>0</v>
      </c>
      <c r="J96" s="1207">
        <f t="shared" si="14"/>
        <v>380160</v>
      </c>
      <c r="K96" s="1209"/>
      <c r="L96" s="1207" t="s">
        <v>1962</v>
      </c>
      <c r="M96" s="873" t="s">
        <v>276</v>
      </c>
    </row>
    <row r="97" spans="1:13" s="873" customFormat="1" ht="48">
      <c r="A97" s="889"/>
      <c r="B97" s="1203" t="s">
        <v>841</v>
      </c>
      <c r="C97" s="1204" t="s">
        <v>1210</v>
      </c>
      <c r="D97" s="1205">
        <v>56</v>
      </c>
      <c r="E97" s="1206" t="s">
        <v>27</v>
      </c>
      <c r="F97" s="1207">
        <v>3960</v>
      </c>
      <c r="G97" s="1208">
        <v>0</v>
      </c>
      <c r="H97" s="1207">
        <f t="shared" si="12"/>
        <v>221760</v>
      </c>
      <c r="I97" s="1207">
        <f t="shared" si="13"/>
        <v>0</v>
      </c>
      <c r="J97" s="1207">
        <f t="shared" si="14"/>
        <v>221760</v>
      </c>
      <c r="K97" s="1209"/>
      <c r="L97" s="1207" t="s">
        <v>1962</v>
      </c>
      <c r="M97" s="873" t="s">
        <v>276</v>
      </c>
    </row>
    <row r="98" spans="1:13" s="871" customFormat="1">
      <c r="A98" s="887"/>
      <c r="B98" s="891" t="s">
        <v>842</v>
      </c>
      <c r="C98" s="1210" t="s">
        <v>844</v>
      </c>
      <c r="D98" s="1211">
        <v>56</v>
      </c>
      <c r="E98" s="1212" t="s">
        <v>27</v>
      </c>
      <c r="F98" s="1213">
        <v>3865</v>
      </c>
      <c r="G98" s="1214">
        <v>0</v>
      </c>
      <c r="H98" s="1213">
        <f t="shared" si="12"/>
        <v>216440</v>
      </c>
      <c r="I98" s="1213">
        <f t="shared" si="13"/>
        <v>0</v>
      </c>
      <c r="J98" s="1213">
        <f t="shared" si="14"/>
        <v>216440</v>
      </c>
      <c r="K98" s="1215"/>
      <c r="L98" s="1213" t="s">
        <v>1962</v>
      </c>
      <c r="M98" s="871" t="s">
        <v>276</v>
      </c>
    </row>
    <row r="99" spans="1:13" s="871" customFormat="1">
      <c r="A99" s="887"/>
      <c r="B99" s="891" t="s">
        <v>843</v>
      </c>
      <c r="C99" s="1210" t="s">
        <v>845</v>
      </c>
      <c r="D99" s="1211">
        <v>18</v>
      </c>
      <c r="E99" s="1212" t="s">
        <v>27</v>
      </c>
      <c r="F99" s="1213">
        <v>3168</v>
      </c>
      <c r="G99" s="1214">
        <v>0</v>
      </c>
      <c r="H99" s="1213">
        <f t="shared" si="12"/>
        <v>57024</v>
      </c>
      <c r="I99" s="1213">
        <f t="shared" si="13"/>
        <v>0</v>
      </c>
      <c r="J99" s="1213">
        <f t="shared" si="14"/>
        <v>57024</v>
      </c>
      <c r="K99" s="1215"/>
      <c r="L99" s="1213" t="s">
        <v>1962</v>
      </c>
      <c r="M99" s="871" t="s">
        <v>276</v>
      </c>
    </row>
    <row r="100" spans="1:13" s="871" customFormat="1">
      <c r="A100" s="887"/>
      <c r="B100" s="891" t="s">
        <v>846</v>
      </c>
      <c r="C100" s="1210" t="s">
        <v>1211</v>
      </c>
      <c r="D100" s="1211">
        <v>4</v>
      </c>
      <c r="E100" s="1212" t="s">
        <v>27</v>
      </c>
      <c r="F100" s="1213">
        <v>5940</v>
      </c>
      <c r="G100" s="1214">
        <v>0</v>
      </c>
      <c r="H100" s="1213">
        <f t="shared" si="12"/>
        <v>23760</v>
      </c>
      <c r="I100" s="1213">
        <f t="shared" si="13"/>
        <v>0</v>
      </c>
      <c r="J100" s="1213">
        <f t="shared" si="14"/>
        <v>23760</v>
      </c>
      <c r="K100" s="1215"/>
      <c r="L100" s="1213" t="s">
        <v>1962</v>
      </c>
      <c r="M100" s="871" t="s">
        <v>276</v>
      </c>
    </row>
    <row r="101" spans="1:13" s="871" customFormat="1">
      <c r="A101" s="886"/>
      <c r="B101" s="1221" t="s">
        <v>847</v>
      </c>
      <c r="C101" s="1222" t="s">
        <v>1212</v>
      </c>
      <c r="D101" s="1223">
        <v>4</v>
      </c>
      <c r="E101" s="1224" t="s">
        <v>27</v>
      </c>
      <c r="F101" s="1225">
        <v>5940</v>
      </c>
      <c r="G101" s="1226">
        <v>0</v>
      </c>
      <c r="H101" s="1225">
        <f t="shared" si="12"/>
        <v>23760</v>
      </c>
      <c r="I101" s="1225">
        <f t="shared" si="13"/>
        <v>0</v>
      </c>
      <c r="J101" s="1225">
        <f t="shared" si="14"/>
        <v>23760</v>
      </c>
      <c r="K101" s="1215"/>
      <c r="L101" s="1225" t="s">
        <v>1962</v>
      </c>
      <c r="M101" s="871" t="s">
        <v>276</v>
      </c>
    </row>
    <row r="102" spans="1:13" s="1196" customFormat="1">
      <c r="A102" s="890" t="s">
        <v>848</v>
      </c>
      <c r="B102" s="1217" t="s">
        <v>2001</v>
      </c>
      <c r="C102" s="1227"/>
      <c r="D102" s="1215"/>
      <c r="E102" s="1219"/>
      <c r="F102" s="1215"/>
      <c r="G102" s="1220"/>
      <c r="H102" s="1215"/>
      <c r="I102" s="1215"/>
      <c r="J102" s="1215"/>
      <c r="K102" s="1215"/>
      <c r="L102" s="1215"/>
    </row>
    <row r="103" spans="1:13" s="873" customFormat="1" ht="48">
      <c r="A103" s="889"/>
      <c r="B103" s="1203" t="s">
        <v>587</v>
      </c>
      <c r="C103" s="1204" t="s">
        <v>773</v>
      </c>
      <c r="D103" s="1205">
        <v>1</v>
      </c>
      <c r="E103" s="1206" t="s">
        <v>27</v>
      </c>
      <c r="F103" s="1207">
        <v>35640</v>
      </c>
      <c r="G103" s="1208">
        <v>0</v>
      </c>
      <c r="H103" s="1207">
        <f t="shared" ref="H103:H127" si="15">D103*F103</f>
        <v>35640</v>
      </c>
      <c r="I103" s="1207">
        <f t="shared" ref="I103:I127" si="16">D103*G103</f>
        <v>0</v>
      </c>
      <c r="J103" s="1207">
        <f t="shared" ref="J103:J127" si="17">H103+I103</f>
        <v>35640</v>
      </c>
      <c r="K103" s="1209"/>
      <c r="L103" s="1207" t="s">
        <v>1962</v>
      </c>
      <c r="M103" s="873" t="s">
        <v>276</v>
      </c>
    </row>
    <row r="104" spans="1:13" s="871" customFormat="1">
      <c r="A104" s="887"/>
      <c r="B104" s="891" t="s">
        <v>588</v>
      </c>
      <c r="C104" s="1210" t="s">
        <v>774</v>
      </c>
      <c r="D104" s="1211">
        <v>1</v>
      </c>
      <c r="E104" s="1212" t="s">
        <v>27</v>
      </c>
      <c r="F104" s="1213">
        <v>11880</v>
      </c>
      <c r="G104" s="1214">
        <v>0</v>
      </c>
      <c r="H104" s="1213">
        <f t="shared" si="15"/>
        <v>11880</v>
      </c>
      <c r="I104" s="1213">
        <f t="shared" si="16"/>
        <v>0</v>
      </c>
      <c r="J104" s="1213">
        <f t="shared" si="17"/>
        <v>11880</v>
      </c>
      <c r="K104" s="1215"/>
      <c r="L104" s="1213" t="s">
        <v>1962</v>
      </c>
      <c r="M104" s="871" t="s">
        <v>276</v>
      </c>
    </row>
    <row r="105" spans="1:13" s="871" customFormat="1">
      <c r="A105" s="869"/>
      <c r="B105" s="912"/>
      <c r="C105" s="1276"/>
      <c r="D105" s="1277"/>
      <c r="E105" s="419"/>
      <c r="F105" s="419"/>
      <c r="G105" s="419"/>
      <c r="L105" s="1213"/>
    </row>
    <row r="106" spans="1:13" s="871" customFormat="1">
      <c r="A106" s="869"/>
      <c r="B106" s="1278"/>
      <c r="C106" s="1196" t="s">
        <v>133</v>
      </c>
      <c r="D106" s="1013"/>
      <c r="E106" s="912"/>
      <c r="F106" s="1014"/>
      <c r="G106" s="1279"/>
      <c r="H106" s="411"/>
      <c r="I106" s="1280"/>
      <c r="L106" s="1213"/>
    </row>
    <row r="107" spans="1:13" s="871" customFormat="1">
      <c r="A107" s="869"/>
      <c r="B107" s="1281"/>
      <c r="C107" s="1017" t="s">
        <v>1769</v>
      </c>
      <c r="E107" s="866"/>
      <c r="F107" s="1017" t="s">
        <v>134</v>
      </c>
      <c r="G107" s="418"/>
      <c r="H107" s="1282"/>
      <c r="I107" s="1280"/>
      <c r="L107" s="1213"/>
    </row>
    <row r="108" spans="1:13" s="871" customFormat="1">
      <c r="A108" s="869"/>
      <c r="B108" s="1176"/>
      <c r="C108" s="419" t="s">
        <v>1970</v>
      </c>
      <c r="E108" s="866"/>
      <c r="F108" s="1019" t="s">
        <v>1971</v>
      </c>
      <c r="G108" s="880"/>
      <c r="H108" s="411"/>
      <c r="I108" s="1280"/>
      <c r="L108" s="1213"/>
    </row>
    <row r="109" spans="1:13" s="871" customFormat="1">
      <c r="A109" s="869"/>
      <c r="B109" s="1176"/>
      <c r="C109" s="1017" t="s">
        <v>2035</v>
      </c>
      <c r="E109" s="866"/>
      <c r="F109" s="1017" t="s">
        <v>2031</v>
      </c>
      <c r="G109" s="1017"/>
      <c r="L109" s="1213"/>
    </row>
    <row r="110" spans="1:13" s="871" customFormat="1">
      <c r="A110" s="869"/>
      <c r="B110" s="1281"/>
      <c r="C110" s="419" t="s">
        <v>1984</v>
      </c>
      <c r="E110" s="866"/>
      <c r="F110" s="419" t="s">
        <v>1985</v>
      </c>
      <c r="G110" s="866"/>
      <c r="L110" s="1213"/>
    </row>
    <row r="111" spans="1:13" s="871" customFormat="1">
      <c r="A111" s="1283"/>
      <c r="B111" s="1284"/>
      <c r="C111" s="1017" t="s">
        <v>670</v>
      </c>
      <c r="E111" s="1017"/>
      <c r="F111" s="1017"/>
      <c r="G111" s="866"/>
      <c r="H111" s="1181"/>
      <c r="I111" s="1275"/>
      <c r="J111" s="1275"/>
      <c r="K111" s="1275"/>
      <c r="L111" s="1213"/>
    </row>
    <row r="112" spans="1:13" s="871" customFormat="1">
      <c r="A112" s="1283"/>
      <c r="B112" s="866"/>
      <c r="C112" s="419" t="s">
        <v>1972</v>
      </c>
      <c r="E112" s="419"/>
      <c r="F112" s="419"/>
      <c r="G112" s="1017"/>
      <c r="H112" s="1181"/>
      <c r="I112" s="1275"/>
      <c r="J112" s="1275"/>
      <c r="K112" s="1275"/>
      <c r="L112" s="1213"/>
    </row>
    <row r="113" spans="1:13" s="871" customFormat="1">
      <c r="A113" s="887"/>
      <c r="B113" s="891" t="s">
        <v>590</v>
      </c>
      <c r="C113" s="1210" t="s">
        <v>776</v>
      </c>
      <c r="D113" s="1211">
        <v>8</v>
      </c>
      <c r="E113" s="1212" t="s">
        <v>27</v>
      </c>
      <c r="F113" s="1213">
        <v>3432</v>
      </c>
      <c r="G113" s="1214">
        <v>0</v>
      </c>
      <c r="H113" s="1213">
        <f t="shared" si="15"/>
        <v>27456</v>
      </c>
      <c r="I113" s="1213">
        <f t="shared" si="16"/>
        <v>0</v>
      </c>
      <c r="J113" s="1213">
        <f t="shared" si="17"/>
        <v>27456</v>
      </c>
      <c r="K113" s="1215"/>
      <c r="L113" s="1213" t="s">
        <v>1962</v>
      </c>
      <c r="M113" s="871" t="s">
        <v>276</v>
      </c>
    </row>
    <row r="114" spans="1:13" s="871" customFormat="1">
      <c r="A114" s="887"/>
      <c r="B114" s="891" t="s">
        <v>591</v>
      </c>
      <c r="C114" s="1210" t="s">
        <v>777</v>
      </c>
      <c r="D114" s="1211">
        <v>1</v>
      </c>
      <c r="E114" s="1212" t="s">
        <v>27</v>
      </c>
      <c r="F114" s="1213">
        <v>18958.5</v>
      </c>
      <c r="G114" s="1214">
        <v>0</v>
      </c>
      <c r="H114" s="1213">
        <f t="shared" si="15"/>
        <v>18958.5</v>
      </c>
      <c r="I114" s="1213">
        <f t="shared" si="16"/>
        <v>0</v>
      </c>
      <c r="J114" s="1213">
        <f t="shared" si="17"/>
        <v>18958.5</v>
      </c>
      <c r="K114" s="1215"/>
      <c r="L114" s="1213" t="s">
        <v>1962</v>
      </c>
      <c r="M114" s="871" t="s">
        <v>276</v>
      </c>
    </row>
    <row r="115" spans="1:13" s="871" customFormat="1">
      <c r="A115" s="887"/>
      <c r="B115" s="891" t="s">
        <v>592</v>
      </c>
      <c r="C115" s="1210" t="s">
        <v>778</v>
      </c>
      <c r="D115" s="1211">
        <v>1</v>
      </c>
      <c r="E115" s="1212" t="s">
        <v>27</v>
      </c>
      <c r="F115" s="1213">
        <v>5875</v>
      </c>
      <c r="G115" s="1214">
        <v>0</v>
      </c>
      <c r="H115" s="1213">
        <f t="shared" si="15"/>
        <v>5875</v>
      </c>
      <c r="I115" s="1213">
        <f t="shared" si="16"/>
        <v>0</v>
      </c>
      <c r="J115" s="1213">
        <f t="shared" si="17"/>
        <v>5875</v>
      </c>
      <c r="K115" s="1215"/>
      <c r="L115" s="1213" t="s">
        <v>1962</v>
      </c>
      <c r="M115" s="871" t="s">
        <v>276</v>
      </c>
    </row>
    <row r="116" spans="1:13" s="871" customFormat="1">
      <c r="A116" s="887"/>
      <c r="B116" s="891" t="s">
        <v>593</v>
      </c>
      <c r="C116" s="1210" t="s">
        <v>779</v>
      </c>
      <c r="D116" s="1211">
        <v>2</v>
      </c>
      <c r="E116" s="1212" t="s">
        <v>27</v>
      </c>
      <c r="F116" s="1213">
        <v>7920</v>
      </c>
      <c r="G116" s="1214">
        <v>0</v>
      </c>
      <c r="H116" s="1213">
        <f t="shared" si="15"/>
        <v>15840</v>
      </c>
      <c r="I116" s="1213">
        <f t="shared" si="16"/>
        <v>0</v>
      </c>
      <c r="J116" s="1213">
        <f t="shared" si="17"/>
        <v>15840</v>
      </c>
      <c r="K116" s="1215"/>
      <c r="L116" s="1213" t="s">
        <v>1962</v>
      </c>
      <c r="M116" s="871" t="s">
        <v>276</v>
      </c>
    </row>
    <row r="117" spans="1:13" s="871" customFormat="1">
      <c r="A117" s="887"/>
      <c r="B117" s="891" t="s">
        <v>594</v>
      </c>
      <c r="C117" s="1210" t="s">
        <v>780</v>
      </c>
      <c r="D117" s="1211">
        <v>6</v>
      </c>
      <c r="E117" s="1212" t="s">
        <v>27</v>
      </c>
      <c r="F117" s="1213">
        <v>11880</v>
      </c>
      <c r="G117" s="1214">
        <v>0</v>
      </c>
      <c r="H117" s="1213">
        <f t="shared" si="15"/>
        <v>71280</v>
      </c>
      <c r="I117" s="1213">
        <f t="shared" si="16"/>
        <v>0</v>
      </c>
      <c r="J117" s="1213">
        <f t="shared" si="17"/>
        <v>71280</v>
      </c>
      <c r="K117" s="1215"/>
      <c r="L117" s="1213" t="s">
        <v>1962</v>
      </c>
      <c r="M117" s="871" t="s">
        <v>276</v>
      </c>
    </row>
    <row r="118" spans="1:13" s="873" customFormat="1" ht="48">
      <c r="A118" s="889"/>
      <c r="B118" s="1203" t="s">
        <v>595</v>
      </c>
      <c r="C118" s="1204" t="s">
        <v>781</v>
      </c>
      <c r="D118" s="1205">
        <v>3</v>
      </c>
      <c r="E118" s="1206" t="s">
        <v>27</v>
      </c>
      <c r="F118" s="1207">
        <v>37818</v>
      </c>
      <c r="G118" s="1208">
        <v>0</v>
      </c>
      <c r="H118" s="1207">
        <f t="shared" si="15"/>
        <v>113454</v>
      </c>
      <c r="I118" s="1207">
        <f t="shared" si="16"/>
        <v>0</v>
      </c>
      <c r="J118" s="1207">
        <f t="shared" si="17"/>
        <v>113454</v>
      </c>
      <c r="K118" s="1209"/>
      <c r="L118" s="1207" t="s">
        <v>1962</v>
      </c>
      <c r="M118" s="873" t="s">
        <v>276</v>
      </c>
    </row>
    <row r="119" spans="1:13" s="873" customFormat="1" ht="48">
      <c r="A119" s="889"/>
      <c r="B119" s="1203" t="s">
        <v>596</v>
      </c>
      <c r="C119" s="1204" t="s">
        <v>782</v>
      </c>
      <c r="D119" s="1205">
        <v>2</v>
      </c>
      <c r="E119" s="1206" t="s">
        <v>27</v>
      </c>
      <c r="F119" s="1207">
        <v>20443.5</v>
      </c>
      <c r="G119" s="1208">
        <v>0</v>
      </c>
      <c r="H119" s="1207">
        <f t="shared" si="15"/>
        <v>40887</v>
      </c>
      <c r="I119" s="1207">
        <f t="shared" si="16"/>
        <v>0</v>
      </c>
      <c r="J119" s="1207">
        <f t="shared" si="17"/>
        <v>40887</v>
      </c>
      <c r="K119" s="1209"/>
      <c r="L119" s="1207" t="s">
        <v>1962</v>
      </c>
      <c r="M119" s="873" t="s">
        <v>276</v>
      </c>
    </row>
    <row r="120" spans="1:13" s="871" customFormat="1">
      <c r="A120" s="887"/>
      <c r="B120" s="891" t="s">
        <v>597</v>
      </c>
      <c r="C120" s="1210" t="s">
        <v>783</v>
      </c>
      <c r="D120" s="1211">
        <v>1</v>
      </c>
      <c r="E120" s="1212" t="s">
        <v>27</v>
      </c>
      <c r="F120" s="1213">
        <v>13365</v>
      </c>
      <c r="G120" s="1214">
        <v>0</v>
      </c>
      <c r="H120" s="1213">
        <f t="shared" si="15"/>
        <v>13365</v>
      </c>
      <c r="I120" s="1213">
        <f t="shared" si="16"/>
        <v>0</v>
      </c>
      <c r="J120" s="1213">
        <f t="shared" si="17"/>
        <v>13365</v>
      </c>
      <c r="K120" s="1215"/>
      <c r="L120" s="1213" t="s">
        <v>1962</v>
      </c>
      <c r="M120" s="871" t="s">
        <v>276</v>
      </c>
    </row>
    <row r="121" spans="1:13" s="871" customFormat="1">
      <c r="A121" s="887"/>
      <c r="B121" s="891" t="s">
        <v>600</v>
      </c>
      <c r="C121" s="1210" t="s">
        <v>786</v>
      </c>
      <c r="D121" s="1211">
        <v>180</v>
      </c>
      <c r="E121" s="1212" t="s">
        <v>27</v>
      </c>
      <c r="F121" s="1213">
        <v>2574</v>
      </c>
      <c r="G121" s="1214">
        <v>0</v>
      </c>
      <c r="H121" s="1213">
        <f t="shared" si="15"/>
        <v>463320</v>
      </c>
      <c r="I121" s="1213">
        <f t="shared" si="16"/>
        <v>0</v>
      </c>
      <c r="J121" s="1213">
        <f t="shared" si="17"/>
        <v>463320</v>
      </c>
      <c r="K121" s="1215"/>
      <c r="L121" s="1213" t="s">
        <v>1962</v>
      </c>
      <c r="M121" s="871" t="s">
        <v>276</v>
      </c>
    </row>
    <row r="122" spans="1:13" s="871" customFormat="1">
      <c r="A122" s="887"/>
      <c r="B122" s="891" t="s">
        <v>796</v>
      </c>
      <c r="C122" s="1210" t="s">
        <v>797</v>
      </c>
      <c r="D122" s="1211">
        <v>5</v>
      </c>
      <c r="E122" s="1212" t="s">
        <v>27</v>
      </c>
      <c r="F122" s="1213">
        <v>16483.5</v>
      </c>
      <c r="G122" s="1214">
        <v>0</v>
      </c>
      <c r="H122" s="1213">
        <f t="shared" si="15"/>
        <v>82417.5</v>
      </c>
      <c r="I122" s="1213">
        <f t="shared" si="16"/>
        <v>0</v>
      </c>
      <c r="J122" s="1213">
        <f t="shared" si="17"/>
        <v>82417.5</v>
      </c>
      <c r="K122" s="1215"/>
      <c r="L122" s="1213" t="s">
        <v>1962</v>
      </c>
      <c r="M122" s="871" t="s">
        <v>276</v>
      </c>
    </row>
    <row r="123" spans="1:13" s="871" customFormat="1">
      <c r="A123" s="887"/>
      <c r="B123" s="891" t="s">
        <v>798</v>
      </c>
      <c r="C123" s="1210" t="s">
        <v>799</v>
      </c>
      <c r="D123" s="1211">
        <v>5</v>
      </c>
      <c r="E123" s="1212" t="s">
        <v>27</v>
      </c>
      <c r="F123" s="1213">
        <v>3432</v>
      </c>
      <c r="G123" s="1214">
        <v>0</v>
      </c>
      <c r="H123" s="1213">
        <f t="shared" si="15"/>
        <v>17160</v>
      </c>
      <c r="I123" s="1213">
        <f t="shared" si="16"/>
        <v>0</v>
      </c>
      <c r="J123" s="1213">
        <f t="shared" si="17"/>
        <v>17160</v>
      </c>
      <c r="K123" s="1215"/>
      <c r="L123" s="1213" t="s">
        <v>1962</v>
      </c>
      <c r="M123" s="871" t="s">
        <v>276</v>
      </c>
    </row>
    <row r="124" spans="1:13" s="871" customFormat="1">
      <c r="A124" s="887"/>
      <c r="B124" s="891" t="s">
        <v>800</v>
      </c>
      <c r="C124" s="1210" t="s">
        <v>801</v>
      </c>
      <c r="D124" s="1211">
        <v>30</v>
      </c>
      <c r="E124" s="1212" t="s">
        <v>27</v>
      </c>
      <c r="F124" s="1213">
        <v>15345</v>
      </c>
      <c r="G124" s="1214">
        <v>0</v>
      </c>
      <c r="H124" s="1213">
        <f t="shared" si="15"/>
        <v>460350</v>
      </c>
      <c r="I124" s="1213">
        <f t="shared" si="16"/>
        <v>0</v>
      </c>
      <c r="J124" s="1213">
        <f t="shared" si="17"/>
        <v>460350</v>
      </c>
      <c r="K124" s="1215"/>
      <c r="L124" s="1213" t="s">
        <v>1962</v>
      </c>
      <c r="M124" s="871" t="s">
        <v>276</v>
      </c>
    </row>
    <row r="125" spans="1:13" s="873" customFormat="1" ht="48">
      <c r="A125" s="889"/>
      <c r="B125" s="1203" t="s">
        <v>841</v>
      </c>
      <c r="C125" s="1204" t="s">
        <v>1210</v>
      </c>
      <c r="D125" s="1205">
        <v>25</v>
      </c>
      <c r="E125" s="1206" t="s">
        <v>27</v>
      </c>
      <c r="F125" s="1207">
        <v>3960</v>
      </c>
      <c r="G125" s="1208">
        <v>0</v>
      </c>
      <c r="H125" s="1207">
        <f t="shared" si="15"/>
        <v>99000</v>
      </c>
      <c r="I125" s="1207">
        <f t="shared" si="16"/>
        <v>0</v>
      </c>
      <c r="J125" s="1207">
        <f t="shared" si="17"/>
        <v>99000</v>
      </c>
      <c r="K125" s="1209"/>
      <c r="L125" s="1207" t="s">
        <v>1962</v>
      </c>
      <c r="M125" s="873" t="s">
        <v>276</v>
      </c>
    </row>
    <row r="126" spans="1:13" s="871" customFormat="1">
      <c r="A126" s="886"/>
      <c r="B126" s="1221" t="s">
        <v>842</v>
      </c>
      <c r="C126" s="1222" t="s">
        <v>844</v>
      </c>
      <c r="D126" s="1223">
        <v>25</v>
      </c>
      <c r="E126" s="1224" t="s">
        <v>27</v>
      </c>
      <c r="F126" s="1225">
        <v>3865</v>
      </c>
      <c r="G126" s="1226">
        <v>0</v>
      </c>
      <c r="H126" s="1225">
        <f t="shared" si="15"/>
        <v>96625</v>
      </c>
      <c r="I126" s="1225">
        <f t="shared" si="16"/>
        <v>0</v>
      </c>
      <c r="J126" s="1225">
        <f t="shared" si="17"/>
        <v>96625</v>
      </c>
      <c r="K126" s="1215"/>
      <c r="L126" s="1225" t="s">
        <v>1962</v>
      </c>
      <c r="M126" s="871" t="s">
        <v>276</v>
      </c>
    </row>
    <row r="127" spans="1:13" s="871" customFormat="1">
      <c r="A127" s="887"/>
      <c r="B127" s="891" t="s">
        <v>843</v>
      </c>
      <c r="C127" s="1210" t="s">
        <v>845</v>
      </c>
      <c r="D127" s="1211">
        <v>27</v>
      </c>
      <c r="E127" s="1212" t="s">
        <v>27</v>
      </c>
      <c r="F127" s="1213">
        <v>3168</v>
      </c>
      <c r="G127" s="1214">
        <v>0</v>
      </c>
      <c r="H127" s="1213">
        <f t="shared" si="15"/>
        <v>85536</v>
      </c>
      <c r="I127" s="1213">
        <f t="shared" si="16"/>
        <v>0</v>
      </c>
      <c r="J127" s="1213">
        <f t="shared" si="17"/>
        <v>85536</v>
      </c>
      <c r="K127" s="1215"/>
      <c r="L127" s="1213" t="s">
        <v>1962</v>
      </c>
      <c r="M127" s="871" t="s">
        <v>276</v>
      </c>
    </row>
    <row r="128" spans="1:13" s="871" customFormat="1">
      <c r="A128" s="887"/>
      <c r="B128" s="891" t="s">
        <v>849</v>
      </c>
      <c r="C128" s="1210" t="s">
        <v>850</v>
      </c>
      <c r="D128" s="1211">
        <v>1</v>
      </c>
      <c r="E128" s="1212" t="s">
        <v>27</v>
      </c>
      <c r="F128" s="1213">
        <v>23760</v>
      </c>
      <c r="G128" s="1214">
        <v>0</v>
      </c>
      <c r="H128" s="1213">
        <f>D128*F128</f>
        <v>23760</v>
      </c>
      <c r="I128" s="1213">
        <f>D128*G128</f>
        <v>0</v>
      </c>
      <c r="J128" s="1213">
        <f>H128+I128</f>
        <v>23760</v>
      </c>
      <c r="K128" s="1215"/>
      <c r="L128" s="1213" t="s">
        <v>1962</v>
      </c>
      <c r="M128" s="871" t="s">
        <v>276</v>
      </c>
    </row>
    <row r="129" spans="1:13" s="871" customFormat="1">
      <c r="A129" s="887"/>
      <c r="B129" s="891" t="s">
        <v>851</v>
      </c>
      <c r="C129" s="1210" t="s">
        <v>853</v>
      </c>
      <c r="D129" s="1211">
        <v>10</v>
      </c>
      <c r="E129" s="1212" t="s">
        <v>27</v>
      </c>
      <c r="F129" s="1213">
        <v>660</v>
      </c>
      <c r="G129" s="1214">
        <v>0</v>
      </c>
      <c r="H129" s="1213">
        <f>D129*F129</f>
        <v>6600</v>
      </c>
      <c r="I129" s="1213">
        <f>D129*G129</f>
        <v>0</v>
      </c>
      <c r="J129" s="1213">
        <f>H129+I129</f>
        <v>6600</v>
      </c>
      <c r="K129" s="1215"/>
      <c r="L129" s="1213" t="s">
        <v>1962</v>
      </c>
      <c r="M129" s="871" t="s">
        <v>276</v>
      </c>
    </row>
    <row r="130" spans="1:13" s="871" customFormat="1">
      <c r="A130" s="887"/>
      <c r="B130" s="891" t="s">
        <v>852</v>
      </c>
      <c r="C130" s="1210" t="s">
        <v>855</v>
      </c>
      <c r="D130" s="1211">
        <v>40</v>
      </c>
      <c r="E130" s="1212" t="s">
        <v>27</v>
      </c>
      <c r="F130" s="1213">
        <v>16077.6</v>
      </c>
      <c r="G130" s="1214">
        <v>0</v>
      </c>
      <c r="H130" s="1213">
        <f>D130*F130</f>
        <v>643104</v>
      </c>
      <c r="I130" s="1213">
        <f>D130*G130</f>
        <v>0</v>
      </c>
      <c r="J130" s="1213">
        <f>H130+I130</f>
        <v>643104</v>
      </c>
      <c r="K130" s="1215"/>
      <c r="L130" s="1213" t="s">
        <v>1962</v>
      </c>
      <c r="M130" s="871" t="s">
        <v>276</v>
      </c>
    </row>
    <row r="131" spans="1:13" s="871" customFormat="1">
      <c r="A131" s="887"/>
      <c r="B131" s="891" t="s">
        <v>854</v>
      </c>
      <c r="C131" s="1210" t="s">
        <v>856</v>
      </c>
      <c r="D131" s="1211">
        <v>10</v>
      </c>
      <c r="E131" s="1212" t="s">
        <v>27</v>
      </c>
      <c r="F131" s="1213">
        <v>11880</v>
      </c>
      <c r="G131" s="1214">
        <v>0</v>
      </c>
      <c r="H131" s="1213">
        <f>D131*F131</f>
        <v>118800</v>
      </c>
      <c r="I131" s="1213">
        <f>D131*G131</f>
        <v>0</v>
      </c>
      <c r="J131" s="1213">
        <f>H131+I131</f>
        <v>118800</v>
      </c>
      <c r="K131" s="1215"/>
      <c r="L131" s="1213" t="s">
        <v>1962</v>
      </c>
      <c r="M131" s="871" t="s">
        <v>276</v>
      </c>
    </row>
    <row r="132" spans="1:13" s="871" customFormat="1">
      <c r="A132" s="869"/>
      <c r="B132" s="912"/>
      <c r="C132" s="1276"/>
      <c r="D132" s="1277"/>
      <c r="E132" s="419"/>
      <c r="F132" s="419"/>
      <c r="G132" s="419"/>
      <c r="L132" s="1213"/>
    </row>
    <row r="133" spans="1:13" s="871" customFormat="1">
      <c r="A133" s="869"/>
      <c r="B133" s="1278"/>
      <c r="C133" s="1196" t="s">
        <v>133</v>
      </c>
      <c r="D133" s="1013"/>
      <c r="E133" s="912"/>
      <c r="F133" s="1014"/>
      <c r="G133" s="1279"/>
      <c r="H133" s="411"/>
      <c r="I133" s="1280"/>
      <c r="L133" s="1213"/>
    </row>
    <row r="134" spans="1:13" s="871" customFormat="1">
      <c r="A134" s="869"/>
      <c r="B134" s="1281"/>
      <c r="C134" s="1017" t="s">
        <v>1769</v>
      </c>
      <c r="E134" s="866"/>
      <c r="F134" s="1017" t="s">
        <v>134</v>
      </c>
      <c r="G134" s="418"/>
      <c r="H134" s="1282"/>
      <c r="I134" s="1280"/>
      <c r="L134" s="1213"/>
    </row>
    <row r="135" spans="1:13" s="871" customFormat="1">
      <c r="A135" s="869"/>
      <c r="B135" s="1176"/>
      <c r="C135" s="419" t="s">
        <v>1970</v>
      </c>
      <c r="E135" s="866"/>
      <c r="F135" s="1019" t="s">
        <v>1971</v>
      </c>
      <c r="G135" s="880"/>
      <c r="H135" s="411"/>
      <c r="I135" s="1280"/>
      <c r="L135" s="1213"/>
    </row>
    <row r="136" spans="1:13" s="871" customFormat="1">
      <c r="A136" s="869"/>
      <c r="B136" s="1176"/>
      <c r="C136" s="1017" t="s">
        <v>2035</v>
      </c>
      <c r="E136" s="866"/>
      <c r="F136" s="1017" t="s">
        <v>2031</v>
      </c>
      <c r="G136" s="1017"/>
      <c r="L136" s="1213"/>
    </row>
    <row r="137" spans="1:13" s="871" customFormat="1">
      <c r="A137" s="869"/>
      <c r="B137" s="1281"/>
      <c r="C137" s="419" t="s">
        <v>1984</v>
      </c>
      <c r="E137" s="866"/>
      <c r="F137" s="419" t="s">
        <v>1985</v>
      </c>
      <c r="G137" s="866"/>
      <c r="L137" s="1213"/>
    </row>
    <row r="138" spans="1:13" s="871" customFormat="1">
      <c r="A138" s="1283"/>
      <c r="B138" s="1284"/>
      <c r="C138" s="1017" t="s">
        <v>670</v>
      </c>
      <c r="E138" s="1017"/>
      <c r="F138" s="1017"/>
      <c r="G138" s="866"/>
      <c r="H138" s="1181"/>
      <c r="I138" s="1275"/>
      <c r="J138" s="1275"/>
      <c r="K138" s="1275"/>
      <c r="L138" s="1213"/>
    </row>
    <row r="139" spans="1:13" s="871" customFormat="1">
      <c r="A139" s="1283"/>
      <c r="B139" s="866"/>
      <c r="C139" s="419" t="s">
        <v>1972</v>
      </c>
      <c r="E139" s="419"/>
      <c r="F139" s="419"/>
      <c r="G139" s="1017"/>
      <c r="H139" s="1181"/>
      <c r="I139" s="1275"/>
      <c r="J139" s="1275"/>
      <c r="K139" s="1275"/>
      <c r="L139" s="1213"/>
    </row>
    <row r="140" spans="1:13" s="1196" customFormat="1">
      <c r="A140" s="890" t="s">
        <v>857</v>
      </c>
      <c r="B140" s="1217" t="s">
        <v>2002</v>
      </c>
      <c r="C140" s="1227"/>
      <c r="D140" s="1215"/>
      <c r="E140" s="1219"/>
      <c r="F140" s="1215"/>
      <c r="G140" s="1220"/>
      <c r="H140" s="1215"/>
      <c r="I140" s="1215"/>
      <c r="J140" s="1215"/>
      <c r="K140" s="1215"/>
      <c r="L140" s="1215"/>
    </row>
    <row r="141" spans="1:13">
      <c r="A141" s="1228"/>
      <c r="B141" s="1229" t="s">
        <v>590</v>
      </c>
      <c r="C141" s="1216" t="s">
        <v>776</v>
      </c>
      <c r="D141" s="1211">
        <v>13</v>
      </c>
      <c r="E141" s="1212" t="s">
        <v>27</v>
      </c>
      <c r="F141" s="1213">
        <v>3432</v>
      </c>
      <c r="G141" s="1214">
        <v>0</v>
      </c>
      <c r="H141" s="1213">
        <f t="shared" ref="H141:H159" si="18">D141*F141</f>
        <v>44616</v>
      </c>
      <c r="I141" s="1213">
        <f t="shared" ref="I141:I159" si="19">D141*G141</f>
        <v>0</v>
      </c>
      <c r="J141" s="1213">
        <f t="shared" ref="J141:J159" si="20">H141+I141</f>
        <v>44616</v>
      </c>
      <c r="K141" s="1215"/>
      <c r="L141" s="1213" t="s">
        <v>1962</v>
      </c>
      <c r="M141" s="1184" t="s">
        <v>276</v>
      </c>
    </row>
    <row r="142" spans="1:13">
      <c r="A142" s="1228"/>
      <c r="B142" s="1229" t="s">
        <v>591</v>
      </c>
      <c r="C142" s="1216" t="s">
        <v>777</v>
      </c>
      <c r="D142" s="1211">
        <v>1</v>
      </c>
      <c r="E142" s="1212" t="s">
        <v>27</v>
      </c>
      <c r="F142" s="1213">
        <v>18958.5</v>
      </c>
      <c r="G142" s="1214">
        <v>0</v>
      </c>
      <c r="H142" s="1213">
        <f t="shared" si="18"/>
        <v>18958.5</v>
      </c>
      <c r="I142" s="1213">
        <f t="shared" si="19"/>
        <v>0</v>
      </c>
      <c r="J142" s="1213">
        <f t="shared" si="20"/>
        <v>18958.5</v>
      </c>
      <c r="K142" s="1215"/>
      <c r="L142" s="1213" t="s">
        <v>1962</v>
      </c>
      <c r="M142" s="1184" t="s">
        <v>276</v>
      </c>
    </row>
    <row r="143" spans="1:13">
      <c r="A143" s="1228"/>
      <c r="B143" s="1229" t="s">
        <v>592</v>
      </c>
      <c r="C143" s="1210" t="s">
        <v>778</v>
      </c>
      <c r="D143" s="1211">
        <v>1</v>
      </c>
      <c r="E143" s="1212" t="s">
        <v>27</v>
      </c>
      <c r="F143" s="1213">
        <v>5875</v>
      </c>
      <c r="G143" s="1214">
        <v>0</v>
      </c>
      <c r="H143" s="1213">
        <f t="shared" si="18"/>
        <v>5875</v>
      </c>
      <c r="I143" s="1213">
        <f t="shared" si="19"/>
        <v>0</v>
      </c>
      <c r="J143" s="1213">
        <f t="shared" si="20"/>
        <v>5875</v>
      </c>
      <c r="K143" s="1215"/>
      <c r="L143" s="1213" t="s">
        <v>1962</v>
      </c>
      <c r="M143" s="1184" t="s">
        <v>276</v>
      </c>
    </row>
    <row r="144" spans="1:13">
      <c r="A144" s="1228"/>
      <c r="B144" s="1229" t="s">
        <v>593</v>
      </c>
      <c r="C144" s="1210" t="s">
        <v>779</v>
      </c>
      <c r="D144" s="1211">
        <v>2</v>
      </c>
      <c r="E144" s="1212" t="s">
        <v>27</v>
      </c>
      <c r="F144" s="1213">
        <v>7920</v>
      </c>
      <c r="G144" s="1214">
        <v>0</v>
      </c>
      <c r="H144" s="1213">
        <f t="shared" si="18"/>
        <v>15840</v>
      </c>
      <c r="I144" s="1213">
        <f t="shared" si="19"/>
        <v>0</v>
      </c>
      <c r="J144" s="1213">
        <f t="shared" si="20"/>
        <v>15840</v>
      </c>
      <c r="K144" s="1215"/>
      <c r="L144" s="1213" t="s">
        <v>1962</v>
      </c>
      <c r="M144" s="1184" t="s">
        <v>276</v>
      </c>
    </row>
    <row r="145" spans="1:13">
      <c r="A145" s="1228"/>
      <c r="B145" s="1229" t="s">
        <v>594</v>
      </c>
      <c r="C145" s="1216" t="s">
        <v>780</v>
      </c>
      <c r="D145" s="1211">
        <v>8</v>
      </c>
      <c r="E145" s="1212" t="s">
        <v>27</v>
      </c>
      <c r="F145" s="1213">
        <v>11880</v>
      </c>
      <c r="G145" s="1214">
        <v>0</v>
      </c>
      <c r="H145" s="1213">
        <f t="shared" si="18"/>
        <v>95040</v>
      </c>
      <c r="I145" s="1213">
        <f t="shared" si="19"/>
        <v>0</v>
      </c>
      <c r="J145" s="1213">
        <f t="shared" si="20"/>
        <v>95040</v>
      </c>
      <c r="K145" s="1215"/>
      <c r="L145" s="1213" t="s">
        <v>1962</v>
      </c>
      <c r="M145" s="1184" t="s">
        <v>276</v>
      </c>
    </row>
    <row r="146" spans="1:13" s="1232" customFormat="1" ht="48">
      <c r="A146" s="1230"/>
      <c r="B146" s="1231" t="s">
        <v>595</v>
      </c>
      <c r="C146" s="1204" t="s">
        <v>781</v>
      </c>
      <c r="D146" s="1205">
        <v>5</v>
      </c>
      <c r="E146" s="1206" t="s">
        <v>27</v>
      </c>
      <c r="F146" s="1207">
        <v>37818</v>
      </c>
      <c r="G146" s="1208">
        <v>0</v>
      </c>
      <c r="H146" s="1207">
        <f t="shared" si="18"/>
        <v>189090</v>
      </c>
      <c r="I146" s="1207">
        <f t="shared" si="19"/>
        <v>0</v>
      </c>
      <c r="J146" s="1207">
        <f t="shared" si="20"/>
        <v>189090</v>
      </c>
      <c r="K146" s="1209"/>
      <c r="L146" s="1207" t="s">
        <v>1962</v>
      </c>
      <c r="M146" s="1232" t="s">
        <v>276</v>
      </c>
    </row>
    <row r="147" spans="1:13" s="1232" customFormat="1" ht="48">
      <c r="A147" s="1230"/>
      <c r="B147" s="1231" t="s">
        <v>596</v>
      </c>
      <c r="C147" s="1204" t="s">
        <v>782</v>
      </c>
      <c r="D147" s="1205">
        <v>3</v>
      </c>
      <c r="E147" s="1206" t="s">
        <v>27</v>
      </c>
      <c r="F147" s="1207">
        <v>20443.5</v>
      </c>
      <c r="G147" s="1208">
        <v>0</v>
      </c>
      <c r="H147" s="1207">
        <f t="shared" si="18"/>
        <v>61330.5</v>
      </c>
      <c r="I147" s="1207">
        <f t="shared" si="19"/>
        <v>0</v>
      </c>
      <c r="J147" s="1207">
        <f t="shared" si="20"/>
        <v>61330.5</v>
      </c>
      <c r="K147" s="1209"/>
      <c r="L147" s="1207" t="s">
        <v>1962</v>
      </c>
      <c r="M147" s="1232" t="s">
        <v>276</v>
      </c>
    </row>
    <row r="148" spans="1:13">
      <c r="A148" s="1228"/>
      <c r="B148" s="1229" t="s">
        <v>597</v>
      </c>
      <c r="C148" s="1216" t="s">
        <v>783</v>
      </c>
      <c r="D148" s="1211">
        <v>1</v>
      </c>
      <c r="E148" s="1212" t="s">
        <v>27</v>
      </c>
      <c r="F148" s="1213">
        <v>13365</v>
      </c>
      <c r="G148" s="1214">
        <v>0</v>
      </c>
      <c r="H148" s="1213">
        <f t="shared" si="18"/>
        <v>13365</v>
      </c>
      <c r="I148" s="1213">
        <f t="shared" si="19"/>
        <v>0</v>
      </c>
      <c r="J148" s="1213">
        <f t="shared" si="20"/>
        <v>13365</v>
      </c>
      <c r="K148" s="1215"/>
      <c r="L148" s="1213" t="s">
        <v>1962</v>
      </c>
      <c r="M148" s="1184" t="s">
        <v>276</v>
      </c>
    </row>
    <row r="149" spans="1:13">
      <c r="A149" s="1228"/>
      <c r="B149" s="1229" t="s">
        <v>598</v>
      </c>
      <c r="C149" s="1216" t="s">
        <v>784</v>
      </c>
      <c r="D149" s="1211">
        <v>5</v>
      </c>
      <c r="E149" s="1212" t="s">
        <v>27</v>
      </c>
      <c r="F149" s="1213">
        <v>9999</v>
      </c>
      <c r="G149" s="1214">
        <v>0</v>
      </c>
      <c r="H149" s="1213">
        <f t="shared" si="18"/>
        <v>49995</v>
      </c>
      <c r="I149" s="1213">
        <f t="shared" si="19"/>
        <v>0</v>
      </c>
      <c r="J149" s="1213">
        <f t="shared" si="20"/>
        <v>49995</v>
      </c>
      <c r="K149" s="1215"/>
      <c r="L149" s="1213" t="s">
        <v>1962</v>
      </c>
      <c r="M149" s="1184" t="s">
        <v>276</v>
      </c>
    </row>
    <row r="150" spans="1:13">
      <c r="A150" s="1233"/>
      <c r="B150" s="1234" t="s">
        <v>600</v>
      </c>
      <c r="C150" s="1222" t="s">
        <v>786</v>
      </c>
      <c r="D150" s="1223">
        <v>152</v>
      </c>
      <c r="E150" s="1224" t="s">
        <v>27</v>
      </c>
      <c r="F150" s="1225">
        <v>2574</v>
      </c>
      <c r="G150" s="1226">
        <v>0</v>
      </c>
      <c r="H150" s="1225">
        <f t="shared" si="18"/>
        <v>391248</v>
      </c>
      <c r="I150" s="1225">
        <f t="shared" si="19"/>
        <v>0</v>
      </c>
      <c r="J150" s="1225">
        <f t="shared" si="20"/>
        <v>391248</v>
      </c>
      <c r="K150" s="1215"/>
      <c r="L150" s="1225" t="s">
        <v>1962</v>
      </c>
      <c r="M150" s="1184" t="s">
        <v>276</v>
      </c>
    </row>
    <row r="151" spans="1:13">
      <c r="A151" s="1228"/>
      <c r="B151" s="1229" t="s">
        <v>796</v>
      </c>
      <c r="C151" s="1216" t="s">
        <v>797</v>
      </c>
      <c r="D151" s="1211">
        <v>5</v>
      </c>
      <c r="E151" s="1212" t="s">
        <v>27</v>
      </c>
      <c r="F151" s="1213">
        <v>16483.5</v>
      </c>
      <c r="G151" s="1214">
        <v>0</v>
      </c>
      <c r="H151" s="1213">
        <f t="shared" si="18"/>
        <v>82417.5</v>
      </c>
      <c r="I151" s="1213">
        <f t="shared" si="19"/>
        <v>0</v>
      </c>
      <c r="J151" s="1213">
        <f t="shared" si="20"/>
        <v>82417.5</v>
      </c>
      <c r="K151" s="1215"/>
      <c r="L151" s="1213" t="s">
        <v>1962</v>
      </c>
      <c r="M151" s="1184" t="s">
        <v>276</v>
      </c>
    </row>
    <row r="152" spans="1:13">
      <c r="A152" s="1228"/>
      <c r="B152" s="1229" t="s">
        <v>798</v>
      </c>
      <c r="C152" s="1210" t="s">
        <v>799</v>
      </c>
      <c r="D152" s="1211">
        <v>5</v>
      </c>
      <c r="E152" s="1212" t="s">
        <v>27</v>
      </c>
      <c r="F152" s="1213">
        <v>3432</v>
      </c>
      <c r="G152" s="1214">
        <v>0</v>
      </c>
      <c r="H152" s="1213">
        <f t="shared" si="18"/>
        <v>17160</v>
      </c>
      <c r="I152" s="1213">
        <f t="shared" si="19"/>
        <v>0</v>
      </c>
      <c r="J152" s="1213">
        <f t="shared" si="20"/>
        <v>17160</v>
      </c>
      <c r="K152" s="1215"/>
      <c r="L152" s="1213" t="s">
        <v>1962</v>
      </c>
      <c r="M152" s="1184" t="s">
        <v>276</v>
      </c>
    </row>
    <row r="153" spans="1:13">
      <c r="A153" s="1228"/>
      <c r="B153" s="1229" t="s">
        <v>800</v>
      </c>
      <c r="C153" s="1210" t="s">
        <v>801</v>
      </c>
      <c r="D153" s="1211">
        <v>40</v>
      </c>
      <c r="E153" s="1212" t="s">
        <v>27</v>
      </c>
      <c r="F153" s="1213">
        <v>15345</v>
      </c>
      <c r="G153" s="1214">
        <v>0</v>
      </c>
      <c r="H153" s="1213">
        <f t="shared" si="18"/>
        <v>613800</v>
      </c>
      <c r="I153" s="1213">
        <f t="shared" si="19"/>
        <v>0</v>
      </c>
      <c r="J153" s="1213">
        <f t="shared" si="20"/>
        <v>613800</v>
      </c>
      <c r="K153" s="1215"/>
      <c r="L153" s="1213" t="s">
        <v>1962</v>
      </c>
      <c r="M153" s="1184" t="s">
        <v>276</v>
      </c>
    </row>
    <row r="154" spans="1:13" s="1232" customFormat="1" ht="48">
      <c r="A154" s="1230"/>
      <c r="B154" s="1231" t="s">
        <v>841</v>
      </c>
      <c r="C154" s="1204" t="s">
        <v>1210</v>
      </c>
      <c r="D154" s="1205">
        <v>25</v>
      </c>
      <c r="E154" s="1206" t="s">
        <v>27</v>
      </c>
      <c r="F154" s="1207">
        <v>3960</v>
      </c>
      <c r="G154" s="1208">
        <v>0</v>
      </c>
      <c r="H154" s="1207">
        <f t="shared" si="18"/>
        <v>99000</v>
      </c>
      <c r="I154" s="1207">
        <f t="shared" si="19"/>
        <v>0</v>
      </c>
      <c r="J154" s="1207">
        <f t="shared" si="20"/>
        <v>99000</v>
      </c>
      <c r="K154" s="1209"/>
      <c r="L154" s="1207" t="s">
        <v>1962</v>
      </c>
      <c r="M154" s="1232" t="s">
        <v>276</v>
      </c>
    </row>
    <row r="155" spans="1:13" s="1232" customFormat="1">
      <c r="A155" s="1230"/>
      <c r="B155" s="1231" t="s">
        <v>842</v>
      </c>
      <c r="C155" s="1236" t="s">
        <v>844</v>
      </c>
      <c r="D155" s="1205">
        <v>25</v>
      </c>
      <c r="E155" s="1206" t="s">
        <v>27</v>
      </c>
      <c r="F155" s="1207">
        <v>3865</v>
      </c>
      <c r="G155" s="1208">
        <v>0</v>
      </c>
      <c r="H155" s="1207">
        <f t="shared" si="18"/>
        <v>96625</v>
      </c>
      <c r="I155" s="1207">
        <f t="shared" si="19"/>
        <v>0</v>
      </c>
      <c r="J155" s="1207">
        <f t="shared" si="20"/>
        <v>96625</v>
      </c>
      <c r="K155" s="1209"/>
      <c r="L155" s="1207" t="s">
        <v>1962</v>
      </c>
      <c r="M155" s="1232" t="s">
        <v>276</v>
      </c>
    </row>
    <row r="156" spans="1:13">
      <c r="A156" s="1228"/>
      <c r="B156" s="1229" t="s">
        <v>849</v>
      </c>
      <c r="C156" s="1216" t="s">
        <v>850</v>
      </c>
      <c r="D156" s="1211">
        <v>1</v>
      </c>
      <c r="E156" s="1212" t="s">
        <v>27</v>
      </c>
      <c r="F156" s="1213">
        <v>23760</v>
      </c>
      <c r="G156" s="1214">
        <v>0</v>
      </c>
      <c r="H156" s="1213">
        <f t="shared" si="18"/>
        <v>23760</v>
      </c>
      <c r="I156" s="1213">
        <f t="shared" si="19"/>
        <v>0</v>
      </c>
      <c r="J156" s="1213">
        <f t="shared" si="20"/>
        <v>23760</v>
      </c>
      <c r="K156" s="1215"/>
      <c r="L156" s="1213" t="s">
        <v>1962</v>
      </c>
      <c r="M156" s="1184" t="s">
        <v>276</v>
      </c>
    </row>
    <row r="157" spans="1:13">
      <c r="A157" s="1228"/>
      <c r="B157" s="1229" t="s">
        <v>851</v>
      </c>
      <c r="C157" s="1216" t="s">
        <v>853</v>
      </c>
      <c r="D157" s="1211">
        <v>10</v>
      </c>
      <c r="E157" s="1212" t="s">
        <v>27</v>
      </c>
      <c r="F157" s="1213">
        <v>660</v>
      </c>
      <c r="G157" s="1214">
        <v>0</v>
      </c>
      <c r="H157" s="1213">
        <f t="shared" si="18"/>
        <v>6600</v>
      </c>
      <c r="I157" s="1213">
        <f t="shared" si="19"/>
        <v>0</v>
      </c>
      <c r="J157" s="1213">
        <f t="shared" si="20"/>
        <v>6600</v>
      </c>
      <c r="K157" s="1215"/>
      <c r="L157" s="1213" t="s">
        <v>1962</v>
      </c>
      <c r="M157" s="1184" t="s">
        <v>276</v>
      </c>
    </row>
    <row r="158" spans="1:13">
      <c r="A158" s="1228"/>
      <c r="B158" s="1229" t="s">
        <v>852</v>
      </c>
      <c r="C158" s="1216" t="s">
        <v>855</v>
      </c>
      <c r="D158" s="1211">
        <v>24</v>
      </c>
      <c r="E158" s="1212" t="s">
        <v>27</v>
      </c>
      <c r="F158" s="1213">
        <v>16077.6</v>
      </c>
      <c r="G158" s="1214">
        <v>0</v>
      </c>
      <c r="H158" s="1213">
        <f t="shared" si="18"/>
        <v>385862.40000000002</v>
      </c>
      <c r="I158" s="1213">
        <f t="shared" si="19"/>
        <v>0</v>
      </c>
      <c r="J158" s="1213">
        <f t="shared" si="20"/>
        <v>385862.40000000002</v>
      </c>
      <c r="K158" s="1215"/>
      <c r="L158" s="1213" t="s">
        <v>1962</v>
      </c>
      <c r="M158" s="1184" t="s">
        <v>276</v>
      </c>
    </row>
    <row r="159" spans="1:13">
      <c r="A159" s="1228"/>
      <c r="B159" s="1229" t="s">
        <v>854</v>
      </c>
      <c r="C159" s="1216" t="s">
        <v>856</v>
      </c>
      <c r="D159" s="1211">
        <v>10</v>
      </c>
      <c r="E159" s="1212" t="s">
        <v>27</v>
      </c>
      <c r="F159" s="1213">
        <v>11880</v>
      </c>
      <c r="G159" s="1214">
        <v>0</v>
      </c>
      <c r="H159" s="1213">
        <f t="shared" si="18"/>
        <v>118800</v>
      </c>
      <c r="I159" s="1213">
        <f t="shared" si="19"/>
        <v>0</v>
      </c>
      <c r="J159" s="1213">
        <f t="shared" si="20"/>
        <v>118800</v>
      </c>
      <c r="K159" s="1215"/>
      <c r="L159" s="1213" t="s">
        <v>1962</v>
      </c>
      <c r="M159" s="1184" t="s">
        <v>276</v>
      </c>
    </row>
    <row r="160" spans="1:13">
      <c r="A160" s="1228"/>
      <c r="B160" s="1229" t="s">
        <v>858</v>
      </c>
      <c r="C160" s="1216" t="s">
        <v>859</v>
      </c>
      <c r="D160" s="1211">
        <v>12</v>
      </c>
      <c r="E160" s="1212" t="s">
        <v>27</v>
      </c>
      <c r="F160" s="1213">
        <v>11880</v>
      </c>
      <c r="G160" s="1214">
        <v>0</v>
      </c>
      <c r="H160" s="1213">
        <f>D160*F160</f>
        <v>142560</v>
      </c>
      <c r="I160" s="1213">
        <f>D160*G160</f>
        <v>0</v>
      </c>
      <c r="J160" s="1213">
        <f>H160+I160</f>
        <v>142560</v>
      </c>
      <c r="K160" s="1215"/>
      <c r="L160" s="1213" t="s">
        <v>1962</v>
      </c>
      <c r="M160" s="1184" t="s">
        <v>276</v>
      </c>
    </row>
    <row r="161" spans="1:13">
      <c r="A161" s="869"/>
      <c r="B161" s="912"/>
      <c r="C161" s="1276"/>
      <c r="D161" s="1277"/>
      <c r="E161" s="419"/>
      <c r="F161" s="419"/>
      <c r="G161" s="419"/>
      <c r="H161" s="871"/>
      <c r="I161" s="871"/>
      <c r="J161" s="871"/>
      <c r="K161" s="871"/>
      <c r="L161" s="1225"/>
    </row>
    <row r="162" spans="1:13">
      <c r="A162" s="869"/>
      <c r="B162" s="1278"/>
      <c r="C162" s="1196" t="s">
        <v>133</v>
      </c>
      <c r="D162" s="1013"/>
      <c r="E162" s="912"/>
      <c r="F162" s="1014"/>
      <c r="G162" s="1279"/>
      <c r="H162" s="411"/>
      <c r="I162" s="1280"/>
      <c r="J162" s="871"/>
      <c r="K162" s="871"/>
      <c r="L162" s="1225"/>
    </row>
    <row r="163" spans="1:13">
      <c r="A163" s="869"/>
      <c r="B163" s="1281"/>
      <c r="C163" s="1017" t="s">
        <v>1769</v>
      </c>
      <c r="D163" s="871"/>
      <c r="E163" s="866"/>
      <c r="F163" s="1017" t="s">
        <v>134</v>
      </c>
      <c r="G163" s="418"/>
      <c r="H163" s="1282"/>
      <c r="I163" s="1280"/>
      <c r="J163" s="871"/>
      <c r="K163" s="871"/>
      <c r="L163" s="1225"/>
    </row>
    <row r="164" spans="1:13">
      <c r="A164" s="869"/>
      <c r="B164" s="1176"/>
      <c r="C164" s="419" t="s">
        <v>1970</v>
      </c>
      <c r="D164" s="871"/>
      <c r="E164" s="866"/>
      <c r="F164" s="1019" t="s">
        <v>1971</v>
      </c>
      <c r="G164" s="880"/>
      <c r="H164" s="411"/>
      <c r="I164" s="1280"/>
      <c r="J164" s="871"/>
      <c r="K164" s="871"/>
      <c r="L164" s="1225"/>
    </row>
    <row r="165" spans="1:13">
      <c r="A165" s="869"/>
      <c r="B165" s="1176"/>
      <c r="C165" s="1017" t="s">
        <v>2035</v>
      </c>
      <c r="D165" s="871"/>
      <c r="E165" s="866"/>
      <c r="F165" s="1017" t="s">
        <v>2031</v>
      </c>
      <c r="G165" s="1017"/>
      <c r="H165" s="871"/>
      <c r="I165" s="871"/>
      <c r="J165" s="871"/>
      <c r="K165" s="871"/>
      <c r="L165" s="1225"/>
    </row>
    <row r="166" spans="1:13">
      <c r="A166" s="869"/>
      <c r="B166" s="1281"/>
      <c r="C166" s="419" t="s">
        <v>1984</v>
      </c>
      <c r="D166" s="871"/>
      <c r="E166" s="866"/>
      <c r="F166" s="419" t="s">
        <v>1985</v>
      </c>
      <c r="G166" s="866"/>
      <c r="H166" s="871"/>
      <c r="I166" s="871"/>
      <c r="J166" s="871"/>
      <c r="K166" s="871"/>
      <c r="L166" s="1225"/>
    </row>
    <row r="167" spans="1:13">
      <c r="B167" s="1284"/>
      <c r="C167" s="1017" t="s">
        <v>670</v>
      </c>
      <c r="D167" s="871"/>
      <c r="E167" s="1017"/>
      <c r="F167" s="1017"/>
      <c r="G167" s="866"/>
      <c r="H167" s="1181"/>
      <c r="L167" s="1225"/>
    </row>
    <row r="168" spans="1:13">
      <c r="B168" s="866"/>
      <c r="C168" s="419" t="s">
        <v>1972</v>
      </c>
      <c r="D168" s="871"/>
      <c r="E168" s="419"/>
      <c r="F168" s="419"/>
      <c r="G168" s="1017"/>
      <c r="H168" s="1181"/>
      <c r="L168" s="1225"/>
    </row>
    <row r="169" spans="1:13" s="1196" customFormat="1">
      <c r="A169" s="1197" t="s">
        <v>860</v>
      </c>
      <c r="B169" s="1198" t="s">
        <v>2003</v>
      </c>
      <c r="C169" s="1199"/>
      <c r="D169" s="1200"/>
      <c r="E169" s="1201"/>
      <c r="F169" s="1200"/>
      <c r="G169" s="1202"/>
      <c r="H169" s="1200"/>
      <c r="I169" s="1200"/>
      <c r="J169" s="1200"/>
      <c r="K169" s="1215"/>
      <c r="L169" s="1200"/>
    </row>
    <row r="170" spans="1:13" s="873" customFormat="1" ht="48">
      <c r="A170" s="889"/>
      <c r="B170" s="1203" t="s">
        <v>587</v>
      </c>
      <c r="C170" s="1204" t="s">
        <v>773</v>
      </c>
      <c r="D170" s="1205">
        <v>1</v>
      </c>
      <c r="E170" s="1206" t="s">
        <v>27</v>
      </c>
      <c r="F170" s="1207">
        <v>35640</v>
      </c>
      <c r="G170" s="1208">
        <v>0</v>
      </c>
      <c r="H170" s="1207">
        <f t="shared" ref="H170:H199" si="21">D170*F170</f>
        <v>35640</v>
      </c>
      <c r="I170" s="1207">
        <f t="shared" ref="I170:I199" si="22">D170*G170</f>
        <v>0</v>
      </c>
      <c r="J170" s="1207">
        <f t="shared" ref="J170:J199" si="23">H170+I170</f>
        <v>35640</v>
      </c>
      <c r="K170" s="1209"/>
      <c r="L170" s="1207" t="s">
        <v>1962</v>
      </c>
      <c r="M170" s="873" t="s">
        <v>276</v>
      </c>
    </row>
    <row r="171" spans="1:13">
      <c r="A171" s="1228"/>
      <c r="B171" s="1229" t="s">
        <v>588</v>
      </c>
      <c r="C171" s="1216" t="s">
        <v>774</v>
      </c>
      <c r="D171" s="1211">
        <v>1</v>
      </c>
      <c r="E171" s="1212" t="s">
        <v>27</v>
      </c>
      <c r="F171" s="1213">
        <v>11880</v>
      </c>
      <c r="G171" s="1214">
        <v>0</v>
      </c>
      <c r="H171" s="1213">
        <f t="shared" si="21"/>
        <v>11880</v>
      </c>
      <c r="I171" s="1213">
        <f t="shared" si="22"/>
        <v>0</v>
      </c>
      <c r="J171" s="1213">
        <f t="shared" si="23"/>
        <v>11880</v>
      </c>
      <c r="K171" s="1215"/>
      <c r="L171" s="1213" t="s">
        <v>1962</v>
      </c>
      <c r="M171" s="1184" t="s">
        <v>276</v>
      </c>
    </row>
    <row r="172" spans="1:13">
      <c r="A172" s="1228"/>
      <c r="B172" s="1229" t="s">
        <v>590</v>
      </c>
      <c r="C172" s="1216" t="s">
        <v>776</v>
      </c>
      <c r="D172" s="1211">
        <v>12</v>
      </c>
      <c r="E172" s="1212" t="s">
        <v>27</v>
      </c>
      <c r="F172" s="1213">
        <v>3432</v>
      </c>
      <c r="G172" s="1214">
        <v>0</v>
      </c>
      <c r="H172" s="1213">
        <f t="shared" si="21"/>
        <v>41184</v>
      </c>
      <c r="I172" s="1213">
        <f t="shared" si="22"/>
        <v>0</v>
      </c>
      <c r="J172" s="1213">
        <f t="shared" si="23"/>
        <v>41184</v>
      </c>
      <c r="K172" s="1215"/>
      <c r="L172" s="1213" t="s">
        <v>1962</v>
      </c>
      <c r="M172" s="1184" t="s">
        <v>276</v>
      </c>
    </row>
    <row r="173" spans="1:13">
      <c r="A173" s="1228"/>
      <c r="B173" s="1229" t="s">
        <v>591</v>
      </c>
      <c r="C173" s="1216" t="s">
        <v>777</v>
      </c>
      <c r="D173" s="1211">
        <v>1</v>
      </c>
      <c r="E173" s="1212" t="s">
        <v>27</v>
      </c>
      <c r="F173" s="1213">
        <v>18958.5</v>
      </c>
      <c r="G173" s="1214">
        <v>0</v>
      </c>
      <c r="H173" s="1213">
        <f t="shared" si="21"/>
        <v>18958.5</v>
      </c>
      <c r="I173" s="1213">
        <f t="shared" si="22"/>
        <v>0</v>
      </c>
      <c r="J173" s="1213">
        <f t="shared" si="23"/>
        <v>18958.5</v>
      </c>
      <c r="K173" s="1215"/>
      <c r="L173" s="1213" t="s">
        <v>1962</v>
      </c>
      <c r="M173" s="1184" t="s">
        <v>276</v>
      </c>
    </row>
    <row r="174" spans="1:13" s="873" customFormat="1">
      <c r="A174" s="889"/>
      <c r="B174" s="1203" t="s">
        <v>592</v>
      </c>
      <c r="C174" s="1236" t="s">
        <v>778</v>
      </c>
      <c r="D174" s="1237">
        <v>1</v>
      </c>
      <c r="E174" s="1238" t="s">
        <v>27</v>
      </c>
      <c r="F174" s="1239">
        <v>5875</v>
      </c>
      <c r="G174" s="667">
        <v>0</v>
      </c>
      <c r="H174" s="1239">
        <f t="shared" si="21"/>
        <v>5875</v>
      </c>
      <c r="I174" s="1239">
        <f t="shared" si="22"/>
        <v>0</v>
      </c>
      <c r="J174" s="1239">
        <f t="shared" si="23"/>
        <v>5875</v>
      </c>
      <c r="K174" s="1240"/>
      <c r="L174" s="1239" t="s">
        <v>1962</v>
      </c>
      <c r="M174" s="873" t="s">
        <v>276</v>
      </c>
    </row>
    <row r="175" spans="1:13">
      <c r="A175" s="1228"/>
      <c r="B175" s="1229" t="s">
        <v>593</v>
      </c>
      <c r="C175" s="1210" t="s">
        <v>779</v>
      </c>
      <c r="D175" s="1211">
        <v>2</v>
      </c>
      <c r="E175" s="1212" t="s">
        <v>27</v>
      </c>
      <c r="F175" s="1213">
        <v>7920</v>
      </c>
      <c r="G175" s="1214">
        <v>0</v>
      </c>
      <c r="H175" s="1213">
        <f t="shared" si="21"/>
        <v>15840</v>
      </c>
      <c r="I175" s="1213">
        <f t="shared" si="22"/>
        <v>0</v>
      </c>
      <c r="J175" s="1213">
        <f t="shared" si="23"/>
        <v>15840</v>
      </c>
      <c r="K175" s="1215"/>
      <c r="L175" s="1213" t="s">
        <v>1962</v>
      </c>
      <c r="M175" s="1184" t="s">
        <v>276</v>
      </c>
    </row>
    <row r="176" spans="1:13">
      <c r="A176" s="1228"/>
      <c r="B176" s="1229" t="s">
        <v>594</v>
      </c>
      <c r="C176" s="1216" t="s">
        <v>780</v>
      </c>
      <c r="D176" s="1211">
        <v>8</v>
      </c>
      <c r="E176" s="1212" t="s">
        <v>27</v>
      </c>
      <c r="F176" s="1213">
        <v>11880</v>
      </c>
      <c r="G176" s="1214">
        <v>0</v>
      </c>
      <c r="H176" s="1213">
        <f t="shared" si="21"/>
        <v>95040</v>
      </c>
      <c r="I176" s="1213">
        <f t="shared" si="22"/>
        <v>0</v>
      </c>
      <c r="J176" s="1213">
        <f t="shared" si="23"/>
        <v>95040</v>
      </c>
      <c r="K176" s="1215"/>
      <c r="L176" s="1213" t="s">
        <v>1962</v>
      </c>
      <c r="M176" s="1184" t="s">
        <v>276</v>
      </c>
    </row>
    <row r="177" spans="1:13" s="1232" customFormat="1" ht="48">
      <c r="A177" s="1230"/>
      <c r="B177" s="1231" t="s">
        <v>595</v>
      </c>
      <c r="C177" s="1204" t="s">
        <v>781</v>
      </c>
      <c r="D177" s="1205">
        <v>4</v>
      </c>
      <c r="E177" s="1206" t="s">
        <v>27</v>
      </c>
      <c r="F177" s="1207">
        <v>37818</v>
      </c>
      <c r="G177" s="1208">
        <v>0</v>
      </c>
      <c r="H177" s="1207">
        <f t="shared" si="21"/>
        <v>151272</v>
      </c>
      <c r="I177" s="1207">
        <f t="shared" si="22"/>
        <v>0</v>
      </c>
      <c r="J177" s="1207">
        <f t="shared" si="23"/>
        <v>151272</v>
      </c>
      <c r="K177" s="1209"/>
      <c r="L177" s="1207" t="s">
        <v>1962</v>
      </c>
      <c r="M177" s="1232" t="s">
        <v>276</v>
      </c>
    </row>
    <row r="178" spans="1:13" s="1232" customFormat="1" ht="48">
      <c r="A178" s="1230"/>
      <c r="B178" s="1231" t="s">
        <v>596</v>
      </c>
      <c r="C178" s="1204" t="s">
        <v>782</v>
      </c>
      <c r="D178" s="1205">
        <v>4</v>
      </c>
      <c r="E178" s="1206" t="s">
        <v>27</v>
      </c>
      <c r="F178" s="1207">
        <v>20443.5</v>
      </c>
      <c r="G178" s="1208">
        <v>0</v>
      </c>
      <c r="H178" s="1207">
        <f t="shared" si="21"/>
        <v>81774</v>
      </c>
      <c r="I178" s="1207">
        <f t="shared" si="22"/>
        <v>0</v>
      </c>
      <c r="J178" s="1207">
        <f t="shared" si="23"/>
        <v>81774</v>
      </c>
      <c r="K178" s="1209"/>
      <c r="L178" s="1207" t="s">
        <v>1962</v>
      </c>
      <c r="M178" s="1232" t="s">
        <v>276</v>
      </c>
    </row>
    <row r="179" spans="1:13">
      <c r="A179" s="1228"/>
      <c r="B179" s="1229" t="s">
        <v>597</v>
      </c>
      <c r="C179" s="1216" t="s">
        <v>783</v>
      </c>
      <c r="D179" s="1211">
        <v>1</v>
      </c>
      <c r="E179" s="1212" t="s">
        <v>27</v>
      </c>
      <c r="F179" s="1213">
        <v>13365</v>
      </c>
      <c r="G179" s="1214">
        <v>0</v>
      </c>
      <c r="H179" s="1213">
        <f t="shared" si="21"/>
        <v>13365</v>
      </c>
      <c r="I179" s="1213">
        <f t="shared" si="22"/>
        <v>0</v>
      </c>
      <c r="J179" s="1213">
        <f t="shared" si="23"/>
        <v>13365</v>
      </c>
      <c r="K179" s="1215"/>
      <c r="L179" s="1213" t="s">
        <v>1962</v>
      </c>
      <c r="M179" s="1184" t="s">
        <v>276</v>
      </c>
    </row>
    <row r="180" spans="1:13">
      <c r="A180" s="1228"/>
      <c r="B180" s="1229" t="s">
        <v>598</v>
      </c>
      <c r="C180" s="1216" t="s">
        <v>784</v>
      </c>
      <c r="D180" s="1211">
        <v>5</v>
      </c>
      <c r="E180" s="1212" t="s">
        <v>27</v>
      </c>
      <c r="F180" s="1213">
        <v>9999</v>
      </c>
      <c r="G180" s="1214">
        <v>0</v>
      </c>
      <c r="H180" s="1213">
        <f t="shared" si="21"/>
        <v>49995</v>
      </c>
      <c r="I180" s="1213">
        <f t="shared" si="22"/>
        <v>0</v>
      </c>
      <c r="J180" s="1213">
        <f t="shared" si="23"/>
        <v>49995</v>
      </c>
      <c r="K180" s="1215"/>
      <c r="L180" s="1213" t="s">
        <v>1962</v>
      </c>
      <c r="M180" s="1184" t="s">
        <v>276</v>
      </c>
    </row>
    <row r="181" spans="1:13">
      <c r="A181" s="1228"/>
      <c r="B181" s="1229" t="s">
        <v>600</v>
      </c>
      <c r="C181" s="1210" t="s">
        <v>786</v>
      </c>
      <c r="D181" s="1211">
        <v>116</v>
      </c>
      <c r="E181" s="1212" t="s">
        <v>27</v>
      </c>
      <c r="F181" s="1213">
        <v>2574</v>
      </c>
      <c r="G181" s="1214">
        <v>0</v>
      </c>
      <c r="H181" s="1213">
        <f t="shared" si="21"/>
        <v>298584</v>
      </c>
      <c r="I181" s="1213">
        <f t="shared" si="22"/>
        <v>0</v>
      </c>
      <c r="J181" s="1213">
        <f t="shared" si="23"/>
        <v>298584</v>
      </c>
      <c r="K181" s="1215"/>
      <c r="L181" s="1213" t="s">
        <v>1962</v>
      </c>
      <c r="M181" s="1184" t="s">
        <v>276</v>
      </c>
    </row>
    <row r="182" spans="1:13">
      <c r="A182" s="1228"/>
      <c r="B182" s="1229" t="s">
        <v>796</v>
      </c>
      <c r="C182" s="1216" t="s">
        <v>797</v>
      </c>
      <c r="D182" s="1211">
        <v>3</v>
      </c>
      <c r="E182" s="1212" t="s">
        <v>27</v>
      </c>
      <c r="F182" s="1213">
        <v>16483.5</v>
      </c>
      <c r="G182" s="1214">
        <v>0</v>
      </c>
      <c r="H182" s="1213">
        <f t="shared" si="21"/>
        <v>49450.5</v>
      </c>
      <c r="I182" s="1213">
        <f t="shared" si="22"/>
        <v>0</v>
      </c>
      <c r="J182" s="1213">
        <f t="shared" si="23"/>
        <v>49450.5</v>
      </c>
      <c r="K182" s="1215"/>
      <c r="L182" s="1213" t="s">
        <v>1962</v>
      </c>
      <c r="M182" s="1184" t="s">
        <v>276</v>
      </c>
    </row>
    <row r="183" spans="1:13">
      <c r="A183" s="1228"/>
      <c r="B183" s="1229" t="s">
        <v>798</v>
      </c>
      <c r="C183" s="1210" t="s">
        <v>799</v>
      </c>
      <c r="D183" s="1211">
        <v>3</v>
      </c>
      <c r="E183" s="1212" t="s">
        <v>27</v>
      </c>
      <c r="F183" s="1213">
        <v>3432</v>
      </c>
      <c r="G183" s="1214">
        <v>0</v>
      </c>
      <c r="H183" s="1213">
        <f t="shared" si="21"/>
        <v>10296</v>
      </c>
      <c r="I183" s="1213">
        <f t="shared" si="22"/>
        <v>0</v>
      </c>
      <c r="J183" s="1213">
        <f t="shared" si="23"/>
        <v>10296</v>
      </c>
      <c r="K183" s="1215"/>
      <c r="L183" s="1213" t="s">
        <v>1962</v>
      </c>
      <c r="M183" s="1184" t="s">
        <v>276</v>
      </c>
    </row>
    <row r="184" spans="1:13">
      <c r="A184" s="869"/>
      <c r="B184" s="912"/>
      <c r="C184" s="1276"/>
      <c r="D184" s="1277"/>
      <c r="E184" s="419"/>
      <c r="F184" s="419"/>
      <c r="G184" s="419"/>
      <c r="H184" s="871"/>
      <c r="I184" s="871"/>
      <c r="J184" s="871"/>
      <c r="K184" s="871"/>
      <c r="L184" s="1213"/>
    </row>
    <row r="185" spans="1:13">
      <c r="A185" s="869"/>
      <c r="B185" s="1278"/>
      <c r="C185" s="1196" t="s">
        <v>133</v>
      </c>
      <c r="D185" s="1013"/>
      <c r="E185" s="912"/>
      <c r="F185" s="1014"/>
      <c r="G185" s="1279"/>
      <c r="H185" s="411"/>
      <c r="I185" s="1280"/>
      <c r="J185" s="871"/>
      <c r="K185" s="871"/>
      <c r="L185" s="1213"/>
    </row>
    <row r="186" spans="1:13">
      <c r="A186" s="869"/>
      <c r="B186" s="1281"/>
      <c r="C186" s="1017" t="s">
        <v>1769</v>
      </c>
      <c r="D186" s="871"/>
      <c r="E186" s="866"/>
      <c r="F186" s="1017" t="s">
        <v>134</v>
      </c>
      <c r="G186" s="418"/>
      <c r="H186" s="1282"/>
      <c r="I186" s="1280"/>
      <c r="J186" s="871"/>
      <c r="K186" s="871"/>
      <c r="L186" s="1213"/>
    </row>
    <row r="187" spans="1:13">
      <c r="A187" s="869"/>
      <c r="B187" s="1176"/>
      <c r="C187" s="419" t="s">
        <v>1970</v>
      </c>
      <c r="D187" s="871"/>
      <c r="E187" s="866"/>
      <c r="F187" s="1019" t="s">
        <v>1971</v>
      </c>
      <c r="G187" s="880"/>
      <c r="H187" s="411"/>
      <c r="I187" s="1280"/>
      <c r="J187" s="871"/>
      <c r="K187" s="871"/>
      <c r="L187" s="1213"/>
    </row>
    <row r="188" spans="1:13">
      <c r="A188" s="869"/>
      <c r="B188" s="1176"/>
      <c r="C188" s="1017" t="s">
        <v>2035</v>
      </c>
      <c r="D188" s="871"/>
      <c r="E188" s="866"/>
      <c r="F188" s="1017" t="s">
        <v>2031</v>
      </c>
      <c r="G188" s="1017"/>
      <c r="H188" s="871"/>
      <c r="I188" s="871"/>
      <c r="J188" s="871"/>
      <c r="K188" s="871"/>
      <c r="L188" s="1213"/>
    </row>
    <row r="189" spans="1:13">
      <c r="A189" s="869"/>
      <c r="B189" s="1281"/>
      <c r="C189" s="419" t="s">
        <v>1984</v>
      </c>
      <c r="D189" s="871"/>
      <c r="E189" s="866"/>
      <c r="F189" s="419" t="s">
        <v>1985</v>
      </c>
      <c r="G189" s="866"/>
      <c r="H189" s="871"/>
      <c r="I189" s="871"/>
      <c r="J189" s="871"/>
      <c r="K189" s="871"/>
      <c r="L189" s="1213"/>
    </row>
    <row r="190" spans="1:13">
      <c r="B190" s="1284"/>
      <c r="C190" s="1017" t="s">
        <v>670</v>
      </c>
      <c r="D190" s="871"/>
      <c r="E190" s="1017"/>
      <c r="F190" s="1017"/>
      <c r="G190" s="866"/>
      <c r="H190" s="1181"/>
      <c r="L190" s="1213"/>
    </row>
    <row r="191" spans="1:13">
      <c r="B191" s="866"/>
      <c r="C191" s="419" t="s">
        <v>1972</v>
      </c>
      <c r="D191" s="871"/>
      <c r="E191" s="419"/>
      <c r="F191" s="419"/>
      <c r="G191" s="1017"/>
      <c r="H191" s="1181"/>
      <c r="L191" s="1213"/>
    </row>
    <row r="192" spans="1:13">
      <c r="A192" s="1228"/>
      <c r="B192" s="1229" t="s">
        <v>800</v>
      </c>
      <c r="C192" s="1216" t="s">
        <v>801</v>
      </c>
      <c r="D192" s="1211">
        <v>40</v>
      </c>
      <c r="E192" s="1212" t="s">
        <v>27</v>
      </c>
      <c r="F192" s="1213">
        <v>15345</v>
      </c>
      <c r="G192" s="1214">
        <v>0</v>
      </c>
      <c r="H192" s="1213">
        <f t="shared" si="21"/>
        <v>613800</v>
      </c>
      <c r="I192" s="1213">
        <f t="shared" si="22"/>
        <v>0</v>
      </c>
      <c r="J192" s="1213">
        <f t="shared" si="23"/>
        <v>613800</v>
      </c>
      <c r="K192" s="1215"/>
      <c r="L192" s="1213" t="s">
        <v>1962</v>
      </c>
      <c r="M192" s="1184" t="s">
        <v>276</v>
      </c>
    </row>
    <row r="193" spans="1:13" s="1232" customFormat="1" ht="48">
      <c r="A193" s="1230"/>
      <c r="B193" s="1231" t="s">
        <v>841</v>
      </c>
      <c r="C193" s="1204" t="s">
        <v>1210</v>
      </c>
      <c r="D193" s="1205">
        <v>50</v>
      </c>
      <c r="E193" s="1206" t="s">
        <v>27</v>
      </c>
      <c r="F193" s="1207">
        <v>3960</v>
      </c>
      <c r="G193" s="1208">
        <v>0</v>
      </c>
      <c r="H193" s="1207">
        <f t="shared" si="21"/>
        <v>198000</v>
      </c>
      <c r="I193" s="1207">
        <f t="shared" si="22"/>
        <v>0</v>
      </c>
      <c r="J193" s="1207">
        <f t="shared" si="23"/>
        <v>198000</v>
      </c>
      <c r="K193" s="1209"/>
      <c r="L193" s="1207" t="s">
        <v>1962</v>
      </c>
      <c r="M193" s="1232" t="s">
        <v>276</v>
      </c>
    </row>
    <row r="194" spans="1:13">
      <c r="A194" s="1228"/>
      <c r="B194" s="1229" t="s">
        <v>842</v>
      </c>
      <c r="C194" s="1210" t="s">
        <v>844</v>
      </c>
      <c r="D194" s="1211">
        <v>50</v>
      </c>
      <c r="E194" s="1212" t="s">
        <v>27</v>
      </c>
      <c r="F194" s="1213">
        <v>3865</v>
      </c>
      <c r="G194" s="1214">
        <v>0</v>
      </c>
      <c r="H194" s="1213">
        <f t="shared" si="21"/>
        <v>193250</v>
      </c>
      <c r="I194" s="1213">
        <f t="shared" si="22"/>
        <v>0</v>
      </c>
      <c r="J194" s="1213">
        <f t="shared" si="23"/>
        <v>193250</v>
      </c>
      <c r="K194" s="1215"/>
      <c r="L194" s="1213" t="s">
        <v>1962</v>
      </c>
      <c r="M194" s="1184" t="s">
        <v>276</v>
      </c>
    </row>
    <row r="195" spans="1:13">
      <c r="A195" s="1228"/>
      <c r="B195" s="1229" t="s">
        <v>849</v>
      </c>
      <c r="C195" s="1216" t="s">
        <v>850</v>
      </c>
      <c r="D195" s="1211">
        <v>1</v>
      </c>
      <c r="E195" s="1212" t="s">
        <v>27</v>
      </c>
      <c r="F195" s="1213">
        <v>23760</v>
      </c>
      <c r="G195" s="1214">
        <v>0</v>
      </c>
      <c r="H195" s="1213">
        <f t="shared" si="21"/>
        <v>23760</v>
      </c>
      <c r="I195" s="1213">
        <f t="shared" si="22"/>
        <v>0</v>
      </c>
      <c r="J195" s="1213">
        <f t="shared" si="23"/>
        <v>23760</v>
      </c>
      <c r="K195" s="1215"/>
      <c r="L195" s="1213" t="s">
        <v>1962</v>
      </c>
      <c r="M195" s="1184" t="s">
        <v>276</v>
      </c>
    </row>
    <row r="196" spans="1:13">
      <c r="A196" s="1228"/>
      <c r="B196" s="1229" t="s">
        <v>851</v>
      </c>
      <c r="C196" s="1216" t="s">
        <v>853</v>
      </c>
      <c r="D196" s="1211">
        <v>10</v>
      </c>
      <c r="E196" s="1212" t="s">
        <v>27</v>
      </c>
      <c r="F196" s="1213">
        <v>660</v>
      </c>
      <c r="G196" s="1214">
        <v>0</v>
      </c>
      <c r="H196" s="1213">
        <f t="shared" si="21"/>
        <v>6600</v>
      </c>
      <c r="I196" s="1213">
        <f t="shared" si="22"/>
        <v>0</v>
      </c>
      <c r="J196" s="1213">
        <f t="shared" si="23"/>
        <v>6600</v>
      </c>
      <c r="K196" s="1215"/>
      <c r="L196" s="1213" t="s">
        <v>1962</v>
      </c>
      <c r="M196" s="1184" t="s">
        <v>276</v>
      </c>
    </row>
    <row r="197" spans="1:13">
      <c r="A197" s="1228"/>
      <c r="B197" s="1229" t="s">
        <v>852</v>
      </c>
      <c r="C197" s="1216" t="s">
        <v>855</v>
      </c>
      <c r="D197" s="1211">
        <v>12</v>
      </c>
      <c r="E197" s="1212" t="s">
        <v>27</v>
      </c>
      <c r="F197" s="1213">
        <v>16077.6</v>
      </c>
      <c r="G197" s="1214">
        <v>0</v>
      </c>
      <c r="H197" s="1213">
        <f t="shared" si="21"/>
        <v>192931.20000000001</v>
      </c>
      <c r="I197" s="1213">
        <f t="shared" si="22"/>
        <v>0</v>
      </c>
      <c r="J197" s="1213">
        <f t="shared" si="23"/>
        <v>192931.20000000001</v>
      </c>
      <c r="K197" s="1215"/>
      <c r="L197" s="1213" t="s">
        <v>1962</v>
      </c>
      <c r="M197" s="1184" t="s">
        <v>276</v>
      </c>
    </row>
    <row r="198" spans="1:13">
      <c r="A198" s="1228"/>
      <c r="B198" s="1229" t="s">
        <v>854</v>
      </c>
      <c r="C198" s="1216" t="s">
        <v>856</v>
      </c>
      <c r="D198" s="1211">
        <v>10</v>
      </c>
      <c r="E198" s="1212" t="s">
        <v>27</v>
      </c>
      <c r="F198" s="1213">
        <v>11880</v>
      </c>
      <c r="G198" s="1214">
        <v>0</v>
      </c>
      <c r="H198" s="1213">
        <f t="shared" si="21"/>
        <v>118800</v>
      </c>
      <c r="I198" s="1213">
        <f t="shared" si="22"/>
        <v>0</v>
      </c>
      <c r="J198" s="1213">
        <f t="shared" si="23"/>
        <v>118800</v>
      </c>
      <c r="K198" s="1215"/>
      <c r="L198" s="1213" t="s">
        <v>1962</v>
      </c>
      <c r="M198" s="1184" t="s">
        <v>276</v>
      </c>
    </row>
    <row r="199" spans="1:13">
      <c r="A199" s="1233"/>
      <c r="B199" s="1234" t="s">
        <v>858</v>
      </c>
      <c r="C199" s="1235" t="s">
        <v>859</v>
      </c>
      <c r="D199" s="1223">
        <v>14</v>
      </c>
      <c r="E199" s="1224" t="s">
        <v>27</v>
      </c>
      <c r="F199" s="1225">
        <v>11880</v>
      </c>
      <c r="G199" s="1226">
        <v>0</v>
      </c>
      <c r="H199" s="1225">
        <f t="shared" si="21"/>
        <v>166320</v>
      </c>
      <c r="I199" s="1225">
        <f t="shared" si="22"/>
        <v>0</v>
      </c>
      <c r="J199" s="1225">
        <f t="shared" si="23"/>
        <v>166320</v>
      </c>
      <c r="K199" s="1215"/>
      <c r="L199" s="1225" t="s">
        <v>1962</v>
      </c>
      <c r="M199" s="1184" t="s">
        <v>276</v>
      </c>
    </row>
    <row r="200" spans="1:13" s="1196" customFormat="1">
      <c r="A200" s="890" t="s">
        <v>861</v>
      </c>
      <c r="B200" s="1217" t="s">
        <v>2004</v>
      </c>
      <c r="C200" s="1227"/>
      <c r="D200" s="1215"/>
      <c r="E200" s="1219"/>
      <c r="F200" s="1215"/>
      <c r="G200" s="1220"/>
      <c r="H200" s="1215"/>
      <c r="I200" s="1215"/>
      <c r="J200" s="1215"/>
      <c r="K200" s="1215"/>
      <c r="L200" s="1215"/>
    </row>
    <row r="201" spans="1:13" s="873" customFormat="1" ht="48">
      <c r="A201" s="889"/>
      <c r="B201" s="1203" t="s">
        <v>587</v>
      </c>
      <c r="C201" s="1204" t="s">
        <v>773</v>
      </c>
      <c r="D201" s="1205">
        <v>1</v>
      </c>
      <c r="E201" s="1206" t="s">
        <v>27</v>
      </c>
      <c r="F201" s="1207">
        <v>35640</v>
      </c>
      <c r="G201" s="1208">
        <v>0</v>
      </c>
      <c r="H201" s="1207">
        <f t="shared" ref="H201:H229" si="24">D201*F201</f>
        <v>35640</v>
      </c>
      <c r="I201" s="1207">
        <f t="shared" ref="I201:I229" si="25">D201*G201</f>
        <v>0</v>
      </c>
      <c r="J201" s="1207">
        <f t="shared" ref="J201:J229" si="26">H201+I201</f>
        <v>35640</v>
      </c>
      <c r="K201" s="1209"/>
      <c r="L201" s="1207" t="s">
        <v>1962</v>
      </c>
      <c r="M201" s="873" t="s">
        <v>276</v>
      </c>
    </row>
    <row r="202" spans="1:13" s="871" customFormat="1">
      <c r="A202" s="887"/>
      <c r="B202" s="891" t="s">
        <v>588</v>
      </c>
      <c r="C202" s="1210" t="s">
        <v>774</v>
      </c>
      <c r="D202" s="1211">
        <v>1</v>
      </c>
      <c r="E202" s="1212" t="s">
        <v>27</v>
      </c>
      <c r="F202" s="1213">
        <v>11880</v>
      </c>
      <c r="G202" s="1214">
        <v>0</v>
      </c>
      <c r="H202" s="1213">
        <f t="shared" si="24"/>
        <v>11880</v>
      </c>
      <c r="I202" s="1213">
        <f t="shared" si="25"/>
        <v>0</v>
      </c>
      <c r="J202" s="1213">
        <f t="shared" si="26"/>
        <v>11880</v>
      </c>
      <c r="K202" s="1215"/>
      <c r="L202" s="1213" t="s">
        <v>1962</v>
      </c>
      <c r="M202" s="871" t="s">
        <v>276</v>
      </c>
    </row>
    <row r="203" spans="1:13" s="871" customFormat="1">
      <c r="A203" s="887"/>
      <c r="B203" s="891" t="s">
        <v>590</v>
      </c>
      <c r="C203" s="1210" t="s">
        <v>776</v>
      </c>
      <c r="D203" s="1211">
        <v>12</v>
      </c>
      <c r="E203" s="1212" t="s">
        <v>27</v>
      </c>
      <c r="F203" s="1213">
        <v>3432</v>
      </c>
      <c r="G203" s="1214">
        <v>0</v>
      </c>
      <c r="H203" s="1213">
        <f t="shared" si="24"/>
        <v>41184</v>
      </c>
      <c r="I203" s="1213">
        <f t="shared" si="25"/>
        <v>0</v>
      </c>
      <c r="J203" s="1213">
        <f t="shared" si="26"/>
        <v>41184</v>
      </c>
      <c r="K203" s="1215"/>
      <c r="L203" s="1213" t="s">
        <v>1962</v>
      </c>
      <c r="M203" s="871" t="s">
        <v>276</v>
      </c>
    </row>
    <row r="204" spans="1:13" s="871" customFormat="1">
      <c r="A204" s="887"/>
      <c r="B204" s="891" t="s">
        <v>591</v>
      </c>
      <c r="C204" s="1210" t="s">
        <v>777</v>
      </c>
      <c r="D204" s="1211">
        <v>1</v>
      </c>
      <c r="E204" s="1212" t="s">
        <v>27</v>
      </c>
      <c r="F204" s="1213">
        <v>18958.5</v>
      </c>
      <c r="G204" s="1214">
        <v>0</v>
      </c>
      <c r="H204" s="1213">
        <f t="shared" si="24"/>
        <v>18958.5</v>
      </c>
      <c r="I204" s="1213">
        <f t="shared" si="25"/>
        <v>0</v>
      </c>
      <c r="J204" s="1213">
        <f t="shared" si="26"/>
        <v>18958.5</v>
      </c>
      <c r="K204" s="1215"/>
      <c r="L204" s="1213" t="s">
        <v>1962</v>
      </c>
      <c r="M204" s="871" t="s">
        <v>276</v>
      </c>
    </row>
    <row r="205" spans="1:13" s="871" customFormat="1">
      <c r="A205" s="887"/>
      <c r="B205" s="891" t="s">
        <v>593</v>
      </c>
      <c r="C205" s="1210" t="s">
        <v>779</v>
      </c>
      <c r="D205" s="1211">
        <v>2</v>
      </c>
      <c r="E205" s="1212" t="s">
        <v>27</v>
      </c>
      <c r="F205" s="1213">
        <v>7920</v>
      </c>
      <c r="G205" s="1214">
        <v>0</v>
      </c>
      <c r="H205" s="1213">
        <f t="shared" si="24"/>
        <v>15840</v>
      </c>
      <c r="I205" s="1213">
        <f t="shared" si="25"/>
        <v>0</v>
      </c>
      <c r="J205" s="1213">
        <f t="shared" si="26"/>
        <v>15840</v>
      </c>
      <c r="K205" s="1215"/>
      <c r="L205" s="1213" t="s">
        <v>1962</v>
      </c>
      <c r="M205" s="871" t="s">
        <v>276</v>
      </c>
    </row>
    <row r="206" spans="1:13" s="871" customFormat="1">
      <c r="A206" s="887"/>
      <c r="B206" s="891" t="s">
        <v>594</v>
      </c>
      <c r="C206" s="1210" t="s">
        <v>780</v>
      </c>
      <c r="D206" s="1211">
        <v>8</v>
      </c>
      <c r="E206" s="1212" t="s">
        <v>27</v>
      </c>
      <c r="F206" s="1213">
        <v>11880</v>
      </c>
      <c r="G206" s="1214">
        <v>0</v>
      </c>
      <c r="H206" s="1213">
        <f>D206*F206</f>
        <v>95040</v>
      </c>
      <c r="I206" s="1213">
        <f t="shared" si="25"/>
        <v>0</v>
      </c>
      <c r="J206" s="1213">
        <f t="shared" si="26"/>
        <v>95040</v>
      </c>
      <c r="K206" s="1215"/>
      <c r="L206" s="1213" t="s">
        <v>1962</v>
      </c>
      <c r="M206" s="871" t="s">
        <v>276</v>
      </c>
    </row>
    <row r="207" spans="1:13" s="873" customFormat="1" ht="48">
      <c r="A207" s="889"/>
      <c r="B207" s="1203" t="s">
        <v>595</v>
      </c>
      <c r="C207" s="1204" t="s">
        <v>781</v>
      </c>
      <c r="D207" s="1205">
        <v>4</v>
      </c>
      <c r="E207" s="1206" t="s">
        <v>27</v>
      </c>
      <c r="F207" s="1207">
        <v>37818</v>
      </c>
      <c r="G207" s="1208">
        <v>0</v>
      </c>
      <c r="H207" s="1207">
        <f t="shared" si="24"/>
        <v>151272</v>
      </c>
      <c r="I207" s="1207">
        <f t="shared" si="25"/>
        <v>0</v>
      </c>
      <c r="J207" s="1207">
        <f t="shared" si="26"/>
        <v>151272</v>
      </c>
      <c r="K207" s="1209"/>
      <c r="L207" s="1207" t="s">
        <v>1962</v>
      </c>
      <c r="M207" s="873" t="s">
        <v>276</v>
      </c>
    </row>
    <row r="208" spans="1:13" s="873" customFormat="1">
      <c r="A208" s="869"/>
      <c r="B208" s="912"/>
      <c r="C208" s="1276"/>
      <c r="D208" s="1277"/>
      <c r="E208" s="419"/>
      <c r="F208" s="419"/>
      <c r="G208" s="419"/>
      <c r="H208" s="871"/>
      <c r="I208" s="871"/>
      <c r="J208" s="871"/>
      <c r="K208" s="871"/>
      <c r="L208" s="1207"/>
    </row>
    <row r="209" spans="1:13" s="873" customFormat="1">
      <c r="A209" s="869"/>
      <c r="B209" s="1278"/>
      <c r="C209" s="1196" t="s">
        <v>133</v>
      </c>
      <c r="D209" s="1013"/>
      <c r="E209" s="912"/>
      <c r="F209" s="1014"/>
      <c r="G209" s="1279"/>
      <c r="H209" s="411"/>
      <c r="I209" s="1280"/>
      <c r="J209" s="871"/>
      <c r="K209" s="871"/>
      <c r="L209" s="1207"/>
    </row>
    <row r="210" spans="1:13" s="873" customFormat="1">
      <c r="A210" s="869"/>
      <c r="B210" s="1281"/>
      <c r="C210" s="1017" t="s">
        <v>1769</v>
      </c>
      <c r="D210" s="871"/>
      <c r="E210" s="866"/>
      <c r="F210" s="1017" t="s">
        <v>134</v>
      </c>
      <c r="G210" s="418"/>
      <c r="H210" s="1282"/>
      <c r="I210" s="1280"/>
      <c r="J210" s="871"/>
      <c r="K210" s="871"/>
      <c r="L210" s="1207"/>
    </row>
    <row r="211" spans="1:13" s="873" customFormat="1">
      <c r="A211" s="869"/>
      <c r="B211" s="1176"/>
      <c r="C211" s="419" t="s">
        <v>1970</v>
      </c>
      <c r="D211" s="871"/>
      <c r="E211" s="866"/>
      <c r="F211" s="1019" t="s">
        <v>1971</v>
      </c>
      <c r="G211" s="880"/>
      <c r="H211" s="411"/>
      <c r="I211" s="1280"/>
      <c r="J211" s="871"/>
      <c r="K211" s="871"/>
      <c r="L211" s="1207"/>
    </row>
    <row r="212" spans="1:13" s="873" customFormat="1">
      <c r="A212" s="869"/>
      <c r="B212" s="1176"/>
      <c r="C212" s="1017" t="s">
        <v>2035</v>
      </c>
      <c r="D212" s="871"/>
      <c r="E212" s="866"/>
      <c r="F212" s="1017" t="s">
        <v>2031</v>
      </c>
      <c r="G212" s="1017"/>
      <c r="H212" s="871"/>
      <c r="I212" s="871"/>
      <c r="J212" s="871"/>
      <c r="K212" s="871"/>
      <c r="L212" s="1207"/>
    </row>
    <row r="213" spans="1:13" s="873" customFormat="1">
      <c r="A213" s="869"/>
      <c r="B213" s="1281"/>
      <c r="C213" s="419" t="s">
        <v>1984</v>
      </c>
      <c r="D213" s="871"/>
      <c r="E213" s="866"/>
      <c r="F213" s="419" t="s">
        <v>1985</v>
      </c>
      <c r="G213" s="866"/>
      <c r="H213" s="871"/>
      <c r="I213" s="871"/>
      <c r="J213" s="871"/>
      <c r="K213" s="871"/>
      <c r="L213" s="1207"/>
    </row>
    <row r="214" spans="1:13" s="873" customFormat="1">
      <c r="A214" s="1283"/>
      <c r="B214" s="1284"/>
      <c r="C214" s="1017" t="s">
        <v>670</v>
      </c>
      <c r="D214" s="871"/>
      <c r="E214" s="1017"/>
      <c r="F214" s="1017"/>
      <c r="G214" s="866"/>
      <c r="H214" s="1181"/>
      <c r="I214" s="1275"/>
      <c r="J214" s="1275"/>
      <c r="K214" s="1275"/>
      <c r="L214" s="1207"/>
    </row>
    <row r="215" spans="1:13" s="873" customFormat="1">
      <c r="A215" s="1283"/>
      <c r="B215" s="866"/>
      <c r="C215" s="419" t="s">
        <v>1972</v>
      </c>
      <c r="D215" s="871"/>
      <c r="E215" s="419"/>
      <c r="F215" s="419"/>
      <c r="G215" s="1017"/>
      <c r="H215" s="1181"/>
      <c r="I215" s="1275"/>
      <c r="J215" s="1275"/>
      <c r="K215" s="1275"/>
      <c r="L215" s="1207"/>
    </row>
    <row r="216" spans="1:13" s="873" customFormat="1" ht="48">
      <c r="A216" s="889"/>
      <c r="B216" s="1203" t="s">
        <v>596</v>
      </c>
      <c r="C216" s="1204" t="s">
        <v>782</v>
      </c>
      <c r="D216" s="1205">
        <v>4</v>
      </c>
      <c r="E216" s="1206" t="s">
        <v>27</v>
      </c>
      <c r="F216" s="1207">
        <v>20443.5</v>
      </c>
      <c r="G216" s="1208">
        <v>0</v>
      </c>
      <c r="H216" s="1207">
        <f t="shared" si="24"/>
        <v>81774</v>
      </c>
      <c r="I216" s="1207">
        <f t="shared" si="25"/>
        <v>0</v>
      </c>
      <c r="J216" s="1207">
        <f t="shared" si="26"/>
        <v>81774</v>
      </c>
      <c r="K216" s="1209"/>
      <c r="L216" s="1207" t="s">
        <v>1962</v>
      </c>
      <c r="M216" s="873" t="s">
        <v>276</v>
      </c>
    </row>
    <row r="217" spans="1:13" s="871" customFormat="1" ht="21.75" customHeight="1">
      <c r="A217" s="887"/>
      <c r="B217" s="891" t="s">
        <v>597</v>
      </c>
      <c r="C217" s="1210" t="s">
        <v>783</v>
      </c>
      <c r="D217" s="1211">
        <v>1</v>
      </c>
      <c r="E217" s="1212" t="s">
        <v>27</v>
      </c>
      <c r="F217" s="1213">
        <v>13365</v>
      </c>
      <c r="G217" s="1214">
        <v>0</v>
      </c>
      <c r="H217" s="1213">
        <f t="shared" si="24"/>
        <v>13365</v>
      </c>
      <c r="I217" s="1213">
        <f t="shared" si="25"/>
        <v>0</v>
      </c>
      <c r="J217" s="1213">
        <f t="shared" si="26"/>
        <v>13365</v>
      </c>
      <c r="K217" s="1215"/>
      <c r="L217" s="1213" t="s">
        <v>1962</v>
      </c>
      <c r="M217" s="871" t="s">
        <v>276</v>
      </c>
    </row>
    <row r="218" spans="1:13" s="871" customFormat="1">
      <c r="A218" s="887"/>
      <c r="B218" s="891" t="s">
        <v>598</v>
      </c>
      <c r="C218" s="1210" t="s">
        <v>784</v>
      </c>
      <c r="D218" s="1211">
        <v>5</v>
      </c>
      <c r="E218" s="1212" t="s">
        <v>27</v>
      </c>
      <c r="F218" s="1213">
        <v>9999</v>
      </c>
      <c r="G218" s="1214">
        <v>0</v>
      </c>
      <c r="H218" s="1213">
        <f t="shared" si="24"/>
        <v>49995</v>
      </c>
      <c r="I218" s="1213">
        <f t="shared" si="25"/>
        <v>0</v>
      </c>
      <c r="J218" s="1213">
        <f t="shared" si="26"/>
        <v>49995</v>
      </c>
      <c r="K218" s="1215"/>
      <c r="L218" s="1213" t="s">
        <v>1962</v>
      </c>
      <c r="M218" s="871" t="s">
        <v>276</v>
      </c>
    </row>
    <row r="219" spans="1:13" s="871" customFormat="1">
      <c r="A219" s="887"/>
      <c r="B219" s="891" t="s">
        <v>600</v>
      </c>
      <c r="C219" s="1210" t="s">
        <v>786</v>
      </c>
      <c r="D219" s="1211">
        <v>116</v>
      </c>
      <c r="E219" s="1212" t="s">
        <v>27</v>
      </c>
      <c r="F219" s="1213">
        <v>2574</v>
      </c>
      <c r="G219" s="1214">
        <v>0</v>
      </c>
      <c r="H219" s="1213">
        <f t="shared" si="24"/>
        <v>298584</v>
      </c>
      <c r="I219" s="1213">
        <f t="shared" si="25"/>
        <v>0</v>
      </c>
      <c r="J219" s="1213">
        <f t="shared" si="26"/>
        <v>298584</v>
      </c>
      <c r="K219" s="1215"/>
      <c r="L219" s="1213" t="s">
        <v>1962</v>
      </c>
      <c r="M219" s="871" t="s">
        <v>276</v>
      </c>
    </row>
    <row r="220" spans="1:13" s="871" customFormat="1">
      <c r="A220" s="887"/>
      <c r="B220" s="891" t="s">
        <v>796</v>
      </c>
      <c r="C220" s="1210" t="s">
        <v>797</v>
      </c>
      <c r="D220" s="1211">
        <v>3</v>
      </c>
      <c r="E220" s="1212" t="s">
        <v>27</v>
      </c>
      <c r="F220" s="1213">
        <v>16483.5</v>
      </c>
      <c r="G220" s="1214">
        <v>0</v>
      </c>
      <c r="H220" s="1213">
        <f t="shared" si="24"/>
        <v>49450.5</v>
      </c>
      <c r="I220" s="1213">
        <f t="shared" si="25"/>
        <v>0</v>
      </c>
      <c r="J220" s="1213">
        <f t="shared" si="26"/>
        <v>49450.5</v>
      </c>
      <c r="K220" s="1215"/>
      <c r="L220" s="1213" t="s">
        <v>1962</v>
      </c>
      <c r="M220" s="871" t="s">
        <v>276</v>
      </c>
    </row>
    <row r="221" spans="1:13" s="871" customFormat="1">
      <c r="A221" s="887"/>
      <c r="B221" s="891" t="s">
        <v>798</v>
      </c>
      <c r="C221" s="1210" t="s">
        <v>799</v>
      </c>
      <c r="D221" s="1211">
        <v>4</v>
      </c>
      <c r="E221" s="1212" t="s">
        <v>27</v>
      </c>
      <c r="F221" s="1213">
        <v>3432</v>
      </c>
      <c r="G221" s="1214">
        <v>0</v>
      </c>
      <c r="H221" s="1213">
        <f>D221*F221</f>
        <v>13728</v>
      </c>
      <c r="I221" s="1213">
        <f t="shared" si="25"/>
        <v>0</v>
      </c>
      <c r="J221" s="1213">
        <f t="shared" si="26"/>
        <v>13728</v>
      </c>
      <c r="K221" s="1215"/>
      <c r="L221" s="1213" t="s">
        <v>1962</v>
      </c>
      <c r="M221" s="871" t="s">
        <v>276</v>
      </c>
    </row>
    <row r="222" spans="1:13" s="871" customFormat="1">
      <c r="A222" s="887"/>
      <c r="B222" s="891" t="s">
        <v>800</v>
      </c>
      <c r="C222" s="1210" t="s">
        <v>801</v>
      </c>
      <c r="D222" s="1211">
        <v>40</v>
      </c>
      <c r="E222" s="1212" t="s">
        <v>27</v>
      </c>
      <c r="F222" s="1213">
        <v>15345</v>
      </c>
      <c r="G222" s="1214">
        <v>0</v>
      </c>
      <c r="H222" s="1213">
        <f t="shared" si="24"/>
        <v>613800</v>
      </c>
      <c r="I222" s="1213">
        <f t="shared" si="25"/>
        <v>0</v>
      </c>
      <c r="J222" s="1213">
        <f t="shared" si="26"/>
        <v>613800</v>
      </c>
      <c r="K222" s="1215"/>
      <c r="L222" s="1213" t="s">
        <v>1962</v>
      </c>
      <c r="M222" s="871" t="s">
        <v>276</v>
      </c>
    </row>
    <row r="223" spans="1:13" s="873" customFormat="1" ht="48">
      <c r="A223" s="889"/>
      <c r="B223" s="1203" t="s">
        <v>841</v>
      </c>
      <c r="C223" s="1204" t="s">
        <v>1210</v>
      </c>
      <c r="D223" s="1205">
        <v>50</v>
      </c>
      <c r="E223" s="1206" t="s">
        <v>27</v>
      </c>
      <c r="F223" s="1207">
        <v>3960</v>
      </c>
      <c r="G223" s="1208">
        <v>0</v>
      </c>
      <c r="H223" s="1207">
        <f t="shared" si="24"/>
        <v>198000</v>
      </c>
      <c r="I223" s="1207">
        <f t="shared" si="25"/>
        <v>0</v>
      </c>
      <c r="J223" s="1207">
        <f t="shared" si="26"/>
        <v>198000</v>
      </c>
      <c r="K223" s="1209"/>
      <c r="L223" s="1207" t="s">
        <v>1962</v>
      </c>
      <c r="M223" s="873" t="s">
        <v>276</v>
      </c>
    </row>
    <row r="224" spans="1:13" s="871" customFormat="1">
      <c r="A224" s="887"/>
      <c r="B224" s="891" t="s">
        <v>842</v>
      </c>
      <c r="C224" s="1210" t="s">
        <v>844</v>
      </c>
      <c r="D224" s="1211">
        <v>50</v>
      </c>
      <c r="E224" s="1212" t="s">
        <v>27</v>
      </c>
      <c r="F224" s="1213">
        <v>3865</v>
      </c>
      <c r="G224" s="1214">
        <v>0</v>
      </c>
      <c r="H224" s="1213">
        <f t="shared" si="24"/>
        <v>193250</v>
      </c>
      <c r="I224" s="1213">
        <f t="shared" si="25"/>
        <v>0</v>
      </c>
      <c r="J224" s="1213">
        <f t="shared" si="26"/>
        <v>193250</v>
      </c>
      <c r="K224" s="1215"/>
      <c r="L224" s="1213" t="s">
        <v>1962</v>
      </c>
      <c r="M224" s="871" t="s">
        <v>276</v>
      </c>
    </row>
    <row r="225" spans="1:13" s="871" customFormat="1">
      <c r="A225" s="887"/>
      <c r="B225" s="891" t="s">
        <v>849</v>
      </c>
      <c r="C225" s="1210" t="s">
        <v>850</v>
      </c>
      <c r="D225" s="1211">
        <v>1</v>
      </c>
      <c r="E225" s="1212" t="s">
        <v>27</v>
      </c>
      <c r="F225" s="1213">
        <v>23760</v>
      </c>
      <c r="G225" s="1214">
        <v>0</v>
      </c>
      <c r="H225" s="1213">
        <f>D225*F225</f>
        <v>23760</v>
      </c>
      <c r="I225" s="1213">
        <f t="shared" si="25"/>
        <v>0</v>
      </c>
      <c r="J225" s="1213">
        <f t="shared" si="26"/>
        <v>23760</v>
      </c>
      <c r="K225" s="1215"/>
      <c r="L225" s="1213" t="s">
        <v>1962</v>
      </c>
      <c r="M225" s="871" t="s">
        <v>276</v>
      </c>
    </row>
    <row r="226" spans="1:13" s="871" customFormat="1">
      <c r="A226" s="887"/>
      <c r="B226" s="891" t="s">
        <v>851</v>
      </c>
      <c r="C226" s="1210" t="s">
        <v>853</v>
      </c>
      <c r="D226" s="1211">
        <v>10</v>
      </c>
      <c r="E226" s="1212" t="s">
        <v>27</v>
      </c>
      <c r="F226" s="1213">
        <v>660</v>
      </c>
      <c r="G226" s="1214">
        <v>0</v>
      </c>
      <c r="H226" s="1213">
        <f t="shared" si="24"/>
        <v>6600</v>
      </c>
      <c r="I226" s="1213">
        <f t="shared" si="25"/>
        <v>0</v>
      </c>
      <c r="J226" s="1213">
        <f t="shared" si="26"/>
        <v>6600</v>
      </c>
      <c r="K226" s="1215"/>
      <c r="L226" s="1213" t="s">
        <v>1962</v>
      </c>
      <c r="M226" s="871" t="s">
        <v>276</v>
      </c>
    </row>
    <row r="227" spans="1:13" s="871" customFormat="1">
      <c r="A227" s="887"/>
      <c r="B227" s="891" t="s">
        <v>852</v>
      </c>
      <c r="C227" s="1210" t="s">
        <v>855</v>
      </c>
      <c r="D227" s="1211">
        <v>12</v>
      </c>
      <c r="E227" s="1212" t="s">
        <v>27</v>
      </c>
      <c r="F227" s="1213">
        <v>16077.6</v>
      </c>
      <c r="G227" s="1214">
        <v>0</v>
      </c>
      <c r="H227" s="1213">
        <f t="shared" si="24"/>
        <v>192931.20000000001</v>
      </c>
      <c r="I227" s="1213">
        <f t="shared" si="25"/>
        <v>0</v>
      </c>
      <c r="J227" s="1213">
        <f t="shared" si="26"/>
        <v>192931.20000000001</v>
      </c>
      <c r="K227" s="1215"/>
      <c r="L227" s="1213" t="s">
        <v>1962</v>
      </c>
      <c r="M227" s="871" t="s">
        <v>276</v>
      </c>
    </row>
    <row r="228" spans="1:13" s="871" customFormat="1">
      <c r="A228" s="887"/>
      <c r="B228" s="891" t="s">
        <v>854</v>
      </c>
      <c r="C228" s="1210" t="s">
        <v>856</v>
      </c>
      <c r="D228" s="1211">
        <v>10</v>
      </c>
      <c r="E228" s="1212" t="s">
        <v>27</v>
      </c>
      <c r="F228" s="1213">
        <v>11880</v>
      </c>
      <c r="G228" s="1214">
        <v>0</v>
      </c>
      <c r="H228" s="1213">
        <f t="shared" si="24"/>
        <v>118800</v>
      </c>
      <c r="I228" s="1213">
        <f t="shared" si="25"/>
        <v>0</v>
      </c>
      <c r="J228" s="1213">
        <f t="shared" si="26"/>
        <v>118800</v>
      </c>
      <c r="K228" s="1215"/>
      <c r="L228" s="1213" t="s">
        <v>1962</v>
      </c>
      <c r="M228" s="871" t="s">
        <v>276</v>
      </c>
    </row>
    <row r="229" spans="1:13" s="871" customFormat="1">
      <c r="A229" s="887"/>
      <c r="B229" s="891" t="s">
        <v>858</v>
      </c>
      <c r="C229" s="1210" t="s">
        <v>859</v>
      </c>
      <c r="D229" s="1211">
        <v>14</v>
      </c>
      <c r="E229" s="1212" t="s">
        <v>27</v>
      </c>
      <c r="F229" s="1213">
        <v>11880</v>
      </c>
      <c r="G229" s="1214">
        <v>0</v>
      </c>
      <c r="H229" s="1213">
        <f t="shared" si="24"/>
        <v>166320</v>
      </c>
      <c r="I229" s="1213">
        <f t="shared" si="25"/>
        <v>0</v>
      </c>
      <c r="J229" s="1213">
        <f t="shared" si="26"/>
        <v>166320</v>
      </c>
      <c r="K229" s="1215"/>
      <c r="L229" s="1213" t="s">
        <v>1962</v>
      </c>
      <c r="M229" s="871" t="s">
        <v>276</v>
      </c>
    </row>
    <row r="230" spans="1:13" s="871" customFormat="1">
      <c r="A230" s="869"/>
      <c r="B230" s="912"/>
      <c r="C230" s="1276"/>
      <c r="D230" s="1277"/>
      <c r="E230" s="419"/>
      <c r="F230" s="419"/>
      <c r="G230" s="419"/>
      <c r="L230" s="1213"/>
    </row>
    <row r="231" spans="1:13" s="871" customFormat="1">
      <c r="A231" s="869"/>
      <c r="B231" s="1278"/>
      <c r="C231" s="1196" t="s">
        <v>133</v>
      </c>
      <c r="D231" s="1013"/>
      <c r="E231" s="912"/>
      <c r="F231" s="1014"/>
      <c r="G231" s="1279"/>
      <c r="H231" s="411"/>
      <c r="I231" s="1280"/>
      <c r="L231" s="1213"/>
    </row>
    <row r="232" spans="1:13" s="871" customFormat="1">
      <c r="A232" s="869"/>
      <c r="B232" s="1281"/>
      <c r="C232" s="1017" t="s">
        <v>1769</v>
      </c>
      <c r="E232" s="866"/>
      <c r="F232" s="1017" t="s">
        <v>134</v>
      </c>
      <c r="G232" s="418"/>
      <c r="H232" s="1282"/>
      <c r="I232" s="1280"/>
      <c r="L232" s="1213"/>
    </row>
    <row r="233" spans="1:13" s="871" customFormat="1">
      <c r="A233" s="869"/>
      <c r="B233" s="1176"/>
      <c r="C233" s="419" t="s">
        <v>1970</v>
      </c>
      <c r="E233" s="866"/>
      <c r="F233" s="1019" t="s">
        <v>1971</v>
      </c>
      <c r="G233" s="880"/>
      <c r="H233" s="411"/>
      <c r="I233" s="1280"/>
      <c r="L233" s="1213"/>
    </row>
    <row r="234" spans="1:13" s="871" customFormat="1">
      <c r="A234" s="869"/>
      <c r="B234" s="1176"/>
      <c r="C234" s="1017" t="s">
        <v>2035</v>
      </c>
      <c r="E234" s="866"/>
      <c r="F234" s="1017" t="s">
        <v>2031</v>
      </c>
      <c r="G234" s="1017"/>
      <c r="L234" s="1213"/>
    </row>
    <row r="235" spans="1:13" s="871" customFormat="1">
      <c r="A235" s="869"/>
      <c r="B235" s="1281"/>
      <c r="C235" s="419" t="s">
        <v>1984</v>
      </c>
      <c r="E235" s="866"/>
      <c r="F235" s="419" t="s">
        <v>1985</v>
      </c>
      <c r="G235" s="866"/>
      <c r="L235" s="1213"/>
    </row>
    <row r="236" spans="1:13" s="871" customFormat="1">
      <c r="A236" s="1283"/>
      <c r="B236" s="1284"/>
      <c r="C236" s="1017" t="s">
        <v>670</v>
      </c>
      <c r="E236" s="1017"/>
      <c r="F236" s="1017"/>
      <c r="G236" s="866"/>
      <c r="H236" s="1181"/>
      <c r="I236" s="1275"/>
      <c r="J236" s="1275"/>
      <c r="K236" s="1275"/>
      <c r="L236" s="1213"/>
    </row>
    <row r="237" spans="1:13" s="871" customFormat="1">
      <c r="A237" s="1283"/>
      <c r="B237" s="866"/>
      <c r="C237" s="419" t="s">
        <v>1972</v>
      </c>
      <c r="E237" s="419"/>
      <c r="F237" s="419"/>
      <c r="G237" s="1017"/>
      <c r="H237" s="1181"/>
      <c r="I237" s="1275"/>
      <c r="J237" s="1275"/>
      <c r="K237" s="1275"/>
      <c r="L237" s="1213"/>
    </row>
    <row r="238" spans="1:13" s="1196" customFormat="1">
      <c r="A238" s="890" t="s">
        <v>862</v>
      </c>
      <c r="B238" s="1217" t="s">
        <v>2005</v>
      </c>
      <c r="C238" s="1227"/>
      <c r="D238" s="1215"/>
      <c r="E238" s="1219"/>
      <c r="F238" s="1215"/>
      <c r="G238" s="1220"/>
      <c r="H238" s="1215"/>
      <c r="I238" s="1215"/>
      <c r="J238" s="1215"/>
      <c r="K238" s="1215"/>
      <c r="L238" s="1215"/>
    </row>
    <row r="239" spans="1:13" s="871" customFormat="1" ht="21.75" customHeight="1">
      <c r="A239" s="887"/>
      <c r="B239" s="891" t="s">
        <v>590</v>
      </c>
      <c r="C239" s="1210" t="s">
        <v>776</v>
      </c>
      <c r="D239" s="1211">
        <v>4</v>
      </c>
      <c r="E239" s="1212" t="s">
        <v>27</v>
      </c>
      <c r="F239" s="1213">
        <v>3432</v>
      </c>
      <c r="G239" s="1214">
        <v>0</v>
      </c>
      <c r="H239" s="1213">
        <f>D239*F239</f>
        <v>13728</v>
      </c>
      <c r="I239" s="1213">
        <f>D239*G239</f>
        <v>0</v>
      </c>
      <c r="J239" s="1213">
        <f>H239+I239</f>
        <v>13728</v>
      </c>
      <c r="K239" s="1215"/>
      <c r="L239" s="1213" t="s">
        <v>1962</v>
      </c>
      <c r="M239" s="871" t="s">
        <v>276</v>
      </c>
    </row>
    <row r="240" spans="1:13" s="871" customFormat="1" ht="21.75" customHeight="1">
      <c r="A240" s="887"/>
      <c r="B240" s="891" t="s">
        <v>788</v>
      </c>
      <c r="C240" s="1210" t="s">
        <v>791</v>
      </c>
      <c r="D240" s="1211">
        <v>4</v>
      </c>
      <c r="E240" s="1212" t="s">
        <v>27</v>
      </c>
      <c r="F240" s="1213">
        <v>4554</v>
      </c>
      <c r="G240" s="1214">
        <v>0</v>
      </c>
      <c r="H240" s="1213">
        <f>D240*F240</f>
        <v>18216</v>
      </c>
      <c r="I240" s="1213">
        <f>D240*G240</f>
        <v>0</v>
      </c>
      <c r="J240" s="1213">
        <f>H240+I240</f>
        <v>18216</v>
      </c>
      <c r="K240" s="1215"/>
      <c r="L240" s="1213" t="s">
        <v>1962</v>
      </c>
      <c r="M240" s="871" t="s">
        <v>276</v>
      </c>
    </row>
    <row r="241" spans="1:13" s="873" customFormat="1">
      <c r="A241" s="889"/>
      <c r="B241" s="1203" t="s">
        <v>839</v>
      </c>
      <c r="C241" s="1236" t="s">
        <v>840</v>
      </c>
      <c r="D241" s="1205">
        <v>3</v>
      </c>
      <c r="E241" s="1206" t="s">
        <v>27</v>
      </c>
      <c r="F241" s="1207">
        <v>7920</v>
      </c>
      <c r="G241" s="1208">
        <v>0</v>
      </c>
      <c r="H241" s="1207">
        <f>D241*F241</f>
        <v>23760</v>
      </c>
      <c r="I241" s="1207">
        <f>D241*G241</f>
        <v>0</v>
      </c>
      <c r="J241" s="1207">
        <f>H241+I241</f>
        <v>23760</v>
      </c>
      <c r="K241" s="1209"/>
      <c r="L241" s="1207" t="s">
        <v>1962</v>
      </c>
      <c r="M241" s="873" t="s">
        <v>276</v>
      </c>
    </row>
    <row r="242" spans="1:13" s="873" customFormat="1">
      <c r="A242" s="889"/>
      <c r="B242" s="1203" t="s">
        <v>852</v>
      </c>
      <c r="C242" s="1236" t="s">
        <v>855</v>
      </c>
      <c r="D242" s="1205">
        <v>2</v>
      </c>
      <c r="E242" s="1206" t="s">
        <v>27</v>
      </c>
      <c r="F242" s="1207">
        <v>16077.6</v>
      </c>
      <c r="G242" s="1208">
        <v>0</v>
      </c>
      <c r="H242" s="1207">
        <f>D242*F242</f>
        <v>32155.200000000001</v>
      </c>
      <c r="I242" s="1207">
        <f>D242*G242</f>
        <v>0</v>
      </c>
      <c r="J242" s="1207">
        <f>H242+I242</f>
        <v>32155.200000000001</v>
      </c>
      <c r="K242" s="1209"/>
      <c r="L242" s="1207" t="s">
        <v>1962</v>
      </c>
      <c r="M242" s="873" t="s">
        <v>276</v>
      </c>
    </row>
    <row r="243" spans="1:13" s="873" customFormat="1" ht="48">
      <c r="A243" s="889"/>
      <c r="B243" s="1203" t="s">
        <v>863</v>
      </c>
      <c r="C243" s="1204" t="s">
        <v>864</v>
      </c>
      <c r="D243" s="1205">
        <v>150</v>
      </c>
      <c r="E243" s="1206" t="s">
        <v>27</v>
      </c>
      <c r="F243" s="1207">
        <v>5742</v>
      </c>
      <c r="G243" s="1208">
        <v>0</v>
      </c>
      <c r="H243" s="1207">
        <f>D243*F243</f>
        <v>861300</v>
      </c>
      <c r="I243" s="1207">
        <f>D243*G243</f>
        <v>0</v>
      </c>
      <c r="J243" s="1207">
        <f>H243+I243</f>
        <v>861300</v>
      </c>
      <c r="K243" s="1209"/>
      <c r="L243" s="1207" t="s">
        <v>1962</v>
      </c>
      <c r="M243" s="873" t="s">
        <v>276</v>
      </c>
    </row>
    <row r="244" spans="1:13" s="873" customFormat="1">
      <c r="A244" s="1491"/>
      <c r="B244" s="1492"/>
      <c r="C244" s="1493"/>
      <c r="D244" s="1494"/>
      <c r="E244" s="1495"/>
      <c r="F244" s="1496"/>
      <c r="G244" s="1497"/>
      <c r="H244" s="1496"/>
      <c r="I244" s="1496"/>
      <c r="J244" s="1496"/>
      <c r="K244" s="1498"/>
      <c r="L244" s="1499"/>
    </row>
    <row r="245" spans="1:13" s="871" customFormat="1" ht="24.75" thickBot="1">
      <c r="A245" s="884"/>
      <c r="B245" s="1241"/>
      <c r="C245" s="1242" t="str">
        <f>"รวมราคา "&amp;B12</f>
        <v>รวมราคา งานครุภัณฑ์สำนักงาน</v>
      </c>
      <c r="D245" s="1243"/>
      <c r="E245" s="1244"/>
      <c r="F245" s="1245"/>
      <c r="G245" s="413"/>
      <c r="H245" s="1245">
        <f>SUM(H14:H243)</f>
        <v>16438956.999999998</v>
      </c>
      <c r="I245" s="1245">
        <f t="shared" ref="I245" si="27">SUM(I14:I243)</f>
        <v>0</v>
      </c>
      <c r="J245" s="1245">
        <f>SUM(J14:J243)</f>
        <v>16438956.999999998</v>
      </c>
      <c r="K245" s="1245"/>
      <c r="L245" s="1246"/>
      <c r="M245" s="1247"/>
    </row>
    <row r="246" spans="1:13" s="1196" customFormat="1" ht="24.75" thickTop="1">
      <c r="A246" s="885">
        <v>9.1999999999999993</v>
      </c>
      <c r="B246" s="1248" t="s">
        <v>2007</v>
      </c>
      <c r="C246" s="1249"/>
      <c r="D246" s="1250"/>
      <c r="E246" s="1251"/>
      <c r="F246" s="1252"/>
      <c r="G246" s="1253"/>
      <c r="H246" s="1252"/>
      <c r="I246" s="1252"/>
      <c r="J246" s="1252"/>
      <c r="K246" s="1252"/>
      <c r="L246" s="1254"/>
    </row>
    <row r="247" spans="1:13" s="871" customFormat="1">
      <c r="A247" s="886"/>
      <c r="B247" s="1255" t="s">
        <v>1693</v>
      </c>
      <c r="C247" s="1222" t="s">
        <v>1692</v>
      </c>
      <c r="D247" s="1223">
        <v>3</v>
      </c>
      <c r="E247" s="1256" t="s">
        <v>5</v>
      </c>
      <c r="F247" s="1225">
        <v>18500</v>
      </c>
      <c r="G247" s="1226">
        <v>0</v>
      </c>
      <c r="H247" s="1225">
        <f>D247*F247</f>
        <v>55500</v>
      </c>
      <c r="I247" s="1225">
        <f>D247*G247</f>
        <v>0</v>
      </c>
      <c r="J247" s="1225">
        <f>H247+I247</f>
        <v>55500</v>
      </c>
      <c r="K247" s="1225"/>
      <c r="L247" s="1257"/>
      <c r="M247" s="871" t="s">
        <v>276</v>
      </c>
    </row>
    <row r="248" spans="1:13" s="871" customFormat="1">
      <c r="A248" s="1500"/>
      <c r="B248" s="1501"/>
      <c r="C248" s="1502"/>
      <c r="D248" s="1503"/>
      <c r="E248" s="1504"/>
      <c r="F248" s="1505"/>
      <c r="G248" s="1506"/>
      <c r="H248" s="1505"/>
      <c r="I248" s="1505"/>
      <c r="J248" s="1505"/>
      <c r="K248" s="1505"/>
      <c r="L248" s="1257"/>
    </row>
    <row r="249" spans="1:13" s="871" customFormat="1" ht="24.75" thickBot="1">
      <c r="A249" s="884"/>
      <c r="B249" s="1241"/>
      <c r="C249" s="1258" t="str">
        <f>"รวมราคา "&amp;B246</f>
        <v>รวมราคา งานครุภัณฑ์ระบบกล้องวงจรปิด (รักษาความปลอดภัย)</v>
      </c>
      <c r="D249" s="1243"/>
      <c r="E249" s="1244"/>
      <c r="F249" s="1245"/>
      <c r="G249" s="413"/>
      <c r="H249" s="1245">
        <f>SUM(H247:H248)</f>
        <v>55500</v>
      </c>
      <c r="I249" s="1245">
        <f t="shared" ref="I249:J249" si="28">SUM(I247:I248)</f>
        <v>0</v>
      </c>
      <c r="J249" s="1245">
        <f t="shared" si="28"/>
        <v>55500</v>
      </c>
      <c r="K249" s="1245"/>
      <c r="L249" s="1246"/>
    </row>
    <row r="250" spans="1:13" s="871" customFormat="1" ht="24.75" thickTop="1">
      <c r="A250" s="885">
        <v>9.3000000000000007</v>
      </c>
      <c r="B250" s="1248" t="s">
        <v>2006</v>
      </c>
      <c r="C250" s="1249"/>
      <c r="D250" s="1250"/>
      <c r="E250" s="1251"/>
      <c r="F250" s="1252"/>
      <c r="G250" s="1253"/>
      <c r="H250" s="1252"/>
      <c r="I250" s="1252"/>
      <c r="J250" s="1252"/>
      <c r="K250" s="1252"/>
      <c r="L250" s="1254"/>
    </row>
    <row r="251" spans="1:13" s="871" customFormat="1">
      <c r="A251" s="1197" t="s">
        <v>1694</v>
      </c>
      <c r="B251" s="1198" t="s">
        <v>1690</v>
      </c>
      <c r="C251" s="1259"/>
      <c r="D251" s="1223"/>
      <c r="E251" s="1224"/>
      <c r="F251" s="1225"/>
      <c r="G251" s="1226"/>
      <c r="H251" s="1225"/>
      <c r="I251" s="1225"/>
      <c r="J251" s="1225"/>
      <c r="K251" s="1225"/>
      <c r="L251" s="1257"/>
    </row>
    <row r="252" spans="1:13" s="871" customFormat="1">
      <c r="A252" s="887"/>
      <c r="B252" s="1260" t="s">
        <v>1681</v>
      </c>
      <c r="C252" s="1210" t="s">
        <v>1688</v>
      </c>
      <c r="D252" s="1211">
        <v>0</v>
      </c>
      <c r="E252" s="1261" t="s">
        <v>5</v>
      </c>
      <c r="F252" s="1213">
        <v>0</v>
      </c>
      <c r="G252" s="1214">
        <v>0</v>
      </c>
      <c r="H252" s="1213">
        <f t="shared" ref="H252:H259" si="29">D252*F252</f>
        <v>0</v>
      </c>
      <c r="I252" s="1213">
        <f t="shared" ref="I252:I259" si="30">D252*G252</f>
        <v>0</v>
      </c>
      <c r="J252" s="1213">
        <f t="shared" ref="J252:J259" si="31">H252+I252</f>
        <v>0</v>
      </c>
      <c r="K252" s="1212" t="s">
        <v>1806</v>
      </c>
      <c r="L252" s="1262"/>
      <c r="M252" s="871" t="s">
        <v>276</v>
      </c>
    </row>
    <row r="253" spans="1:13" s="871" customFormat="1">
      <c r="A253" s="887"/>
      <c r="B253" s="1260" t="s">
        <v>1682</v>
      </c>
      <c r="C253" s="1210" t="s">
        <v>1689</v>
      </c>
      <c r="D253" s="1211">
        <v>0</v>
      </c>
      <c r="E253" s="1261" t="s">
        <v>5</v>
      </c>
      <c r="F253" s="1213">
        <v>0</v>
      </c>
      <c r="G253" s="1214">
        <v>0</v>
      </c>
      <c r="H253" s="1213">
        <f t="shared" si="29"/>
        <v>0</v>
      </c>
      <c r="I253" s="1213">
        <f t="shared" si="30"/>
        <v>0</v>
      </c>
      <c r="J253" s="1213">
        <f t="shared" si="31"/>
        <v>0</v>
      </c>
      <c r="K253" s="1212" t="s">
        <v>1806</v>
      </c>
      <c r="L253" s="1262"/>
      <c r="M253" s="871" t="s">
        <v>276</v>
      </c>
    </row>
    <row r="254" spans="1:13" s="871" customFormat="1">
      <c r="A254" s="887"/>
      <c r="B254" s="892" t="s">
        <v>1683</v>
      </c>
      <c r="C254" s="1085" t="s">
        <v>1679</v>
      </c>
      <c r="D254" s="1108">
        <v>21</v>
      </c>
      <c r="E254" s="936" t="s">
        <v>5</v>
      </c>
      <c r="F254" s="1263">
        <v>49000</v>
      </c>
      <c r="G254" s="1086">
        <v>0</v>
      </c>
      <c r="H254" s="1264">
        <f t="shared" si="29"/>
        <v>1029000</v>
      </c>
      <c r="I254" s="1264">
        <f t="shared" si="30"/>
        <v>0</v>
      </c>
      <c r="J254" s="1264">
        <f t="shared" si="31"/>
        <v>1029000</v>
      </c>
      <c r="K254" s="1212"/>
      <c r="L254" s="1262"/>
      <c r="M254" s="871" t="s">
        <v>276</v>
      </c>
    </row>
    <row r="255" spans="1:13" s="873" customFormat="1">
      <c r="A255" s="889"/>
      <c r="B255" s="947" t="s">
        <v>1686</v>
      </c>
      <c r="C255" s="1120" t="s">
        <v>1715</v>
      </c>
      <c r="D255" s="1237">
        <v>21</v>
      </c>
      <c r="E255" s="945" t="s">
        <v>5</v>
      </c>
      <c r="F255" s="1265">
        <v>15800</v>
      </c>
      <c r="G255" s="1088">
        <v>0</v>
      </c>
      <c r="H255" s="1266">
        <f t="shared" si="29"/>
        <v>331800</v>
      </c>
      <c r="I255" s="1266">
        <f t="shared" si="30"/>
        <v>0</v>
      </c>
      <c r="J255" s="1266">
        <f t="shared" si="31"/>
        <v>331800</v>
      </c>
      <c r="K255" s="1206"/>
      <c r="L255" s="1267"/>
      <c r="M255" s="873" t="s">
        <v>276</v>
      </c>
    </row>
    <row r="256" spans="1:13" s="873" customFormat="1">
      <c r="A256" s="889"/>
      <c r="B256" s="947" t="s">
        <v>1684</v>
      </c>
      <c r="C256" s="1087" t="s">
        <v>1680</v>
      </c>
      <c r="D256" s="1237">
        <v>7</v>
      </c>
      <c r="E256" s="945" t="s">
        <v>5</v>
      </c>
      <c r="F256" s="1265">
        <v>69500</v>
      </c>
      <c r="G256" s="1088">
        <v>0</v>
      </c>
      <c r="H256" s="1266">
        <f t="shared" si="29"/>
        <v>486500</v>
      </c>
      <c r="I256" s="1266">
        <f t="shared" si="30"/>
        <v>0</v>
      </c>
      <c r="J256" s="1266">
        <f t="shared" si="31"/>
        <v>486500</v>
      </c>
      <c r="K256" s="1206"/>
      <c r="L256" s="1267"/>
      <c r="M256" s="873" t="s">
        <v>276</v>
      </c>
    </row>
    <row r="257" spans="1:13" s="873" customFormat="1">
      <c r="A257" s="889"/>
      <c r="B257" s="947" t="s">
        <v>1687</v>
      </c>
      <c r="C257" s="1120" t="s">
        <v>1716</v>
      </c>
      <c r="D257" s="1237">
        <v>7</v>
      </c>
      <c r="E257" s="945" t="s">
        <v>5</v>
      </c>
      <c r="F257" s="1265">
        <v>19500</v>
      </c>
      <c r="G257" s="1088">
        <v>0</v>
      </c>
      <c r="H257" s="1266">
        <f t="shared" si="29"/>
        <v>136500</v>
      </c>
      <c r="I257" s="1266">
        <f t="shared" si="30"/>
        <v>0</v>
      </c>
      <c r="J257" s="1266">
        <f t="shared" si="31"/>
        <v>136500</v>
      </c>
      <c r="K257" s="1206"/>
      <c r="L257" s="1267"/>
      <c r="M257" s="873" t="s">
        <v>276</v>
      </c>
    </row>
    <row r="258" spans="1:13" s="871" customFormat="1">
      <c r="A258" s="887"/>
      <c r="B258" s="891" t="s">
        <v>1707</v>
      </c>
      <c r="C258" s="1210" t="s">
        <v>546</v>
      </c>
      <c r="D258" s="1211">
        <v>0</v>
      </c>
      <c r="E258" s="1261" t="s">
        <v>5</v>
      </c>
      <c r="F258" s="1213">
        <v>0</v>
      </c>
      <c r="G258" s="1214">
        <v>0</v>
      </c>
      <c r="H258" s="1213">
        <f t="shared" si="29"/>
        <v>0</v>
      </c>
      <c r="I258" s="1213">
        <f t="shared" si="30"/>
        <v>0</v>
      </c>
      <c r="J258" s="1213">
        <f t="shared" si="31"/>
        <v>0</v>
      </c>
      <c r="K258" s="1212" t="s">
        <v>1806</v>
      </c>
      <c r="L258" s="1262"/>
      <c r="M258" s="871" t="s">
        <v>276</v>
      </c>
    </row>
    <row r="259" spans="1:13" s="871" customFormat="1">
      <c r="A259" s="887"/>
      <c r="B259" s="891" t="s">
        <v>1709</v>
      </c>
      <c r="C259" s="888" t="s">
        <v>551</v>
      </c>
      <c r="D259" s="1211">
        <v>0</v>
      </c>
      <c r="E259" s="1261" t="s">
        <v>5</v>
      </c>
      <c r="F259" s="1213">
        <v>0</v>
      </c>
      <c r="G259" s="1214">
        <v>0</v>
      </c>
      <c r="H259" s="1213">
        <f t="shared" si="29"/>
        <v>0</v>
      </c>
      <c r="I259" s="1213">
        <f t="shared" si="30"/>
        <v>0</v>
      </c>
      <c r="J259" s="1213">
        <f t="shared" si="31"/>
        <v>0</v>
      </c>
      <c r="K259" s="1212" t="s">
        <v>1806</v>
      </c>
      <c r="L259" s="1262"/>
      <c r="M259" s="871" t="s">
        <v>276</v>
      </c>
    </row>
    <row r="260" spans="1:13" s="871" customFormat="1">
      <c r="A260" s="890" t="s">
        <v>1695</v>
      </c>
      <c r="B260" s="2612" t="s">
        <v>1678</v>
      </c>
      <c r="C260" s="2613"/>
      <c r="D260" s="1211"/>
      <c r="E260" s="1261"/>
      <c r="F260" s="1213"/>
      <c r="G260" s="1214"/>
      <c r="H260" s="1213"/>
      <c r="I260" s="1213"/>
      <c r="J260" s="1213"/>
      <c r="K260" s="1213"/>
      <c r="L260" s="1257"/>
    </row>
    <row r="261" spans="1:13" s="871" customFormat="1">
      <c r="A261" s="887"/>
      <c r="B261" s="892" t="s">
        <v>1685</v>
      </c>
      <c r="C261" s="1085" t="s">
        <v>1675</v>
      </c>
      <c r="D261" s="1211">
        <v>1</v>
      </c>
      <c r="E261" s="936" t="s">
        <v>5</v>
      </c>
      <c r="F261" s="1263">
        <v>105600</v>
      </c>
      <c r="G261" s="1086">
        <v>0</v>
      </c>
      <c r="H261" s="1264">
        <f>D261*F261</f>
        <v>105600</v>
      </c>
      <c r="I261" s="1264">
        <f>D261*G261</f>
        <v>0</v>
      </c>
      <c r="J261" s="1264">
        <f>H261+I261</f>
        <v>105600</v>
      </c>
      <c r="K261" s="1212"/>
      <c r="L261" s="1262"/>
      <c r="M261" s="871" t="s">
        <v>276</v>
      </c>
    </row>
    <row r="262" spans="1:13" s="873" customFormat="1" ht="48">
      <c r="A262" s="889"/>
      <c r="B262" s="947" t="s">
        <v>1698</v>
      </c>
      <c r="C262" s="1087" t="s">
        <v>1706</v>
      </c>
      <c r="D262" s="1205">
        <v>1</v>
      </c>
      <c r="E262" s="945" t="s">
        <v>5</v>
      </c>
      <c r="F262" s="1265">
        <v>92000</v>
      </c>
      <c r="G262" s="1088">
        <v>0</v>
      </c>
      <c r="H262" s="1266">
        <f>D262*F262</f>
        <v>92000</v>
      </c>
      <c r="I262" s="1266">
        <f>D262*G262</f>
        <v>0</v>
      </c>
      <c r="J262" s="1266">
        <f>H262+I262</f>
        <v>92000</v>
      </c>
      <c r="K262" s="1206"/>
      <c r="L262" s="1267"/>
      <c r="M262" s="873" t="s">
        <v>276</v>
      </c>
    </row>
    <row r="263" spans="1:13" s="871" customFormat="1">
      <c r="A263" s="887"/>
      <c r="B263" s="891" t="s">
        <v>1707</v>
      </c>
      <c r="C263" s="1210" t="s">
        <v>546</v>
      </c>
      <c r="D263" s="1211">
        <v>0</v>
      </c>
      <c r="E263" s="1261" t="s">
        <v>5</v>
      </c>
      <c r="F263" s="1213">
        <v>0</v>
      </c>
      <c r="G263" s="1214">
        <v>0</v>
      </c>
      <c r="H263" s="1213">
        <f>D263*F263</f>
        <v>0</v>
      </c>
      <c r="I263" s="1213">
        <f>D263*G263</f>
        <v>0</v>
      </c>
      <c r="J263" s="1213">
        <f>H263+I263</f>
        <v>0</v>
      </c>
      <c r="K263" s="1212" t="s">
        <v>1806</v>
      </c>
      <c r="L263" s="1262"/>
      <c r="M263" s="871" t="s">
        <v>276</v>
      </c>
    </row>
    <row r="264" spans="1:13" s="871" customFormat="1">
      <c r="A264" s="887"/>
      <c r="B264" s="891" t="s">
        <v>1708</v>
      </c>
      <c r="C264" s="1210" t="s">
        <v>547</v>
      </c>
      <c r="D264" s="1211">
        <v>0</v>
      </c>
      <c r="E264" s="1261" t="s">
        <v>5</v>
      </c>
      <c r="F264" s="1213">
        <v>0</v>
      </c>
      <c r="G264" s="1214">
        <v>0</v>
      </c>
      <c r="H264" s="1213">
        <f>D264*F264</f>
        <v>0</v>
      </c>
      <c r="I264" s="1213">
        <f>D264*G264</f>
        <v>0</v>
      </c>
      <c r="J264" s="1213">
        <f>H264+I264</f>
        <v>0</v>
      </c>
      <c r="K264" s="1212" t="s">
        <v>1806</v>
      </c>
      <c r="L264" s="1262"/>
      <c r="M264" s="871" t="s">
        <v>276</v>
      </c>
    </row>
    <row r="265" spans="1:13" s="871" customFormat="1">
      <c r="A265" s="869"/>
      <c r="B265" s="912"/>
      <c r="C265" s="1276"/>
      <c r="D265" s="1277"/>
      <c r="E265" s="419"/>
      <c r="F265" s="419"/>
      <c r="G265" s="419"/>
      <c r="L265" s="1262"/>
    </row>
    <row r="266" spans="1:13" s="871" customFormat="1">
      <c r="A266" s="869"/>
      <c r="B266" s="1278"/>
      <c r="C266" s="1196" t="s">
        <v>133</v>
      </c>
      <c r="D266" s="1013"/>
      <c r="E266" s="912"/>
      <c r="F266" s="1014"/>
      <c r="G266" s="1279"/>
      <c r="H266" s="411"/>
      <c r="I266" s="1280"/>
      <c r="L266" s="1262"/>
    </row>
    <row r="267" spans="1:13" s="871" customFormat="1">
      <c r="A267" s="869"/>
      <c r="B267" s="1281"/>
      <c r="C267" s="1017" t="s">
        <v>1769</v>
      </c>
      <c r="E267" s="866"/>
      <c r="F267" s="1017" t="s">
        <v>134</v>
      </c>
      <c r="G267" s="418"/>
      <c r="H267" s="1282"/>
      <c r="I267" s="1280"/>
      <c r="L267" s="1262"/>
    </row>
    <row r="268" spans="1:13" s="871" customFormat="1">
      <c r="A268" s="869"/>
      <c r="B268" s="1176"/>
      <c r="C268" s="419" t="s">
        <v>1970</v>
      </c>
      <c r="E268" s="866"/>
      <c r="F268" s="1019" t="s">
        <v>1971</v>
      </c>
      <c r="G268" s="880"/>
      <c r="H268" s="411"/>
      <c r="I268" s="1280"/>
      <c r="L268" s="1262"/>
    </row>
    <row r="269" spans="1:13" s="871" customFormat="1">
      <c r="A269" s="869"/>
      <c r="B269" s="1176"/>
      <c r="C269" s="1017" t="s">
        <v>2035</v>
      </c>
      <c r="E269" s="866"/>
      <c r="F269" s="1017" t="s">
        <v>2031</v>
      </c>
      <c r="G269" s="1017"/>
      <c r="L269" s="1262"/>
    </row>
    <row r="270" spans="1:13" s="871" customFormat="1">
      <c r="A270" s="869"/>
      <c r="B270" s="1281"/>
      <c r="C270" s="419" t="s">
        <v>1984</v>
      </c>
      <c r="E270" s="866"/>
      <c r="F270" s="419" t="s">
        <v>1985</v>
      </c>
      <c r="G270" s="866"/>
      <c r="L270" s="1262"/>
    </row>
    <row r="271" spans="1:13" s="871" customFormat="1">
      <c r="A271" s="1283"/>
      <c r="B271" s="1284"/>
      <c r="C271" s="1017" t="s">
        <v>670</v>
      </c>
      <c r="E271" s="1017"/>
      <c r="F271" s="1017"/>
      <c r="G271" s="866"/>
      <c r="H271" s="1181"/>
      <c r="I271" s="1275"/>
      <c r="J271" s="1275"/>
      <c r="K271" s="1275"/>
      <c r="L271" s="1262"/>
    </row>
    <row r="272" spans="1:13" s="871" customFormat="1">
      <c r="A272" s="1283"/>
      <c r="B272" s="866"/>
      <c r="C272" s="419" t="s">
        <v>1972</v>
      </c>
      <c r="E272" s="419"/>
      <c r="F272" s="419"/>
      <c r="G272" s="1017"/>
      <c r="H272" s="1181"/>
      <c r="I272" s="1275"/>
      <c r="J272" s="1275"/>
      <c r="K272" s="1275"/>
      <c r="L272" s="1262"/>
    </row>
    <row r="273" spans="1:13" s="871" customFormat="1">
      <c r="A273" s="1197" t="s">
        <v>1714</v>
      </c>
      <c r="B273" s="2614" t="s">
        <v>1225</v>
      </c>
      <c r="C273" s="2615"/>
      <c r="D273" s="1223"/>
      <c r="E273" s="1256"/>
      <c r="F273" s="1225"/>
      <c r="G273" s="1226"/>
      <c r="H273" s="1225"/>
      <c r="I273" s="1225"/>
      <c r="J273" s="1225"/>
      <c r="K273" s="1225"/>
      <c r="L273" s="1257"/>
    </row>
    <row r="274" spans="1:13" s="871" customFormat="1">
      <c r="A274" s="887"/>
      <c r="B274" s="891" t="s">
        <v>1707</v>
      </c>
      <c r="C274" s="1210" t="s">
        <v>546</v>
      </c>
      <c r="D274" s="1108">
        <v>2</v>
      </c>
      <c r="E274" s="1261" t="s">
        <v>5</v>
      </c>
      <c r="F274" s="1268">
        <v>16400</v>
      </c>
      <c r="G274" s="1214">
        <v>0</v>
      </c>
      <c r="H274" s="1213">
        <f>D274*F274</f>
        <v>32800</v>
      </c>
      <c r="I274" s="1213">
        <f t="shared" ref="I274:I279" si="32">D274*G274</f>
        <v>0</v>
      </c>
      <c r="J274" s="1213">
        <f t="shared" ref="J274:J279" si="33">H274+I274</f>
        <v>32800</v>
      </c>
      <c r="K274" s="1268"/>
      <c r="L274" s="1247"/>
      <c r="M274" s="871" t="s">
        <v>276</v>
      </c>
    </row>
    <row r="275" spans="1:13" s="871" customFormat="1">
      <c r="A275" s="887"/>
      <c r="B275" s="891" t="s">
        <v>1708</v>
      </c>
      <c r="C275" s="1210" t="s">
        <v>547</v>
      </c>
      <c r="D275" s="1108">
        <v>2</v>
      </c>
      <c r="E275" s="1261" t="s">
        <v>5</v>
      </c>
      <c r="F275" s="1268">
        <v>22400</v>
      </c>
      <c r="G275" s="1214">
        <v>0</v>
      </c>
      <c r="H275" s="1213">
        <f>D275*F275</f>
        <v>44800</v>
      </c>
      <c r="I275" s="1213">
        <f t="shared" si="32"/>
        <v>0</v>
      </c>
      <c r="J275" s="1213">
        <f t="shared" si="33"/>
        <v>44800</v>
      </c>
      <c r="K275" s="1268"/>
      <c r="L275" s="1247"/>
      <c r="M275" s="871" t="s">
        <v>276</v>
      </c>
    </row>
    <row r="276" spans="1:13" s="871" customFormat="1">
      <c r="A276" s="887"/>
      <c r="B276" s="891" t="s">
        <v>1709</v>
      </c>
      <c r="C276" s="888" t="s">
        <v>551</v>
      </c>
      <c r="D276" s="1108">
        <v>2</v>
      </c>
      <c r="E276" s="1261" t="s">
        <v>5</v>
      </c>
      <c r="F276" s="1268">
        <v>1125</v>
      </c>
      <c r="G276" s="1214">
        <v>0</v>
      </c>
      <c r="H276" s="1213">
        <f>D276*F276</f>
        <v>2250</v>
      </c>
      <c r="I276" s="1213">
        <f t="shared" si="32"/>
        <v>0</v>
      </c>
      <c r="J276" s="1213">
        <f t="shared" si="33"/>
        <v>2250</v>
      </c>
      <c r="K276" s="1268"/>
      <c r="L276" s="1247"/>
      <c r="M276" s="871" t="s">
        <v>276</v>
      </c>
    </row>
    <row r="277" spans="1:13" s="871" customFormat="1">
      <c r="A277" s="887"/>
      <c r="B277" s="891" t="s">
        <v>1717</v>
      </c>
      <c r="C277" s="1269" t="s">
        <v>552</v>
      </c>
      <c r="D277" s="1270">
        <v>2</v>
      </c>
      <c r="E277" s="1261" t="s">
        <v>5</v>
      </c>
      <c r="F277" s="402">
        <v>5250</v>
      </c>
      <c r="G277" s="1214">
        <v>0</v>
      </c>
      <c r="H277" s="402">
        <f>F277*D277</f>
        <v>10500</v>
      </c>
      <c r="I277" s="402">
        <f t="shared" si="32"/>
        <v>0</v>
      </c>
      <c r="J277" s="402">
        <f t="shared" si="33"/>
        <v>10500</v>
      </c>
      <c r="K277" s="1271"/>
      <c r="L277" s="1272"/>
      <c r="M277" s="871" t="s">
        <v>276</v>
      </c>
    </row>
    <row r="278" spans="1:13" s="871" customFormat="1">
      <c r="A278" s="887"/>
      <c r="B278" s="891" t="s">
        <v>1720</v>
      </c>
      <c r="C278" s="1210" t="s">
        <v>1727</v>
      </c>
      <c r="D278" s="1270">
        <v>1</v>
      </c>
      <c r="E278" s="1261" t="s">
        <v>5</v>
      </c>
      <c r="F278" s="402">
        <v>8500</v>
      </c>
      <c r="G278" s="1214">
        <v>0</v>
      </c>
      <c r="H278" s="402">
        <f>F278*D278</f>
        <v>8500</v>
      </c>
      <c r="I278" s="402">
        <f t="shared" si="32"/>
        <v>0</v>
      </c>
      <c r="J278" s="402">
        <f t="shared" si="33"/>
        <v>8500</v>
      </c>
      <c r="K278" s="1271"/>
      <c r="L278" s="1272"/>
      <c r="M278" s="871" t="s">
        <v>276</v>
      </c>
    </row>
    <row r="279" spans="1:13" s="871" customFormat="1">
      <c r="A279" s="887"/>
      <c r="B279" s="891" t="s">
        <v>1728</v>
      </c>
      <c r="C279" s="1269" t="s">
        <v>1808</v>
      </c>
      <c r="D279" s="1270">
        <v>16</v>
      </c>
      <c r="E279" s="1261" t="s">
        <v>5</v>
      </c>
      <c r="F279" s="402">
        <v>80500</v>
      </c>
      <c r="G279" s="1214">
        <v>0</v>
      </c>
      <c r="H279" s="402">
        <f>F279*D279</f>
        <v>1288000</v>
      </c>
      <c r="I279" s="402">
        <f t="shared" si="32"/>
        <v>0</v>
      </c>
      <c r="J279" s="402">
        <f t="shared" si="33"/>
        <v>1288000</v>
      </c>
      <c r="K279" s="1271"/>
      <c r="L279" s="1272"/>
      <c r="M279" s="871" t="s">
        <v>276</v>
      </c>
    </row>
    <row r="280" spans="1:13" s="871" customFormat="1">
      <c r="A280" s="1500"/>
      <c r="B280" s="1507"/>
      <c r="C280" s="1508"/>
      <c r="D280" s="1509"/>
      <c r="E280" s="1504"/>
      <c r="F280" s="1510"/>
      <c r="G280" s="1506"/>
      <c r="H280" s="1510"/>
      <c r="I280" s="1510"/>
      <c r="J280" s="1510"/>
      <c r="K280" s="1511"/>
      <c r="L280" s="1272"/>
    </row>
    <row r="281" spans="1:13" s="1274" customFormat="1" ht="24.75" thickBot="1">
      <c r="A281" s="884"/>
      <c r="B281" s="1241"/>
      <c r="C281" s="1258" t="str">
        <f>"รวมราคา "&amp;B250</f>
        <v>รวมราคา งานครุภัณฑ์ระบบภาพและเสียง</v>
      </c>
      <c r="D281" s="1243"/>
      <c r="E281" s="1244"/>
      <c r="F281" s="1245"/>
      <c r="G281" s="413"/>
      <c r="H281" s="1245">
        <f>SUM(H251:H279)</f>
        <v>3568250</v>
      </c>
      <c r="I281" s="1245">
        <f>SUM(I251:I279)</f>
        <v>0</v>
      </c>
      <c r="J281" s="1245">
        <f>SUM(J251:J279)</f>
        <v>3568250</v>
      </c>
      <c r="K281" s="1245"/>
      <c r="L281" s="1273"/>
      <c r="M281" s="1273"/>
    </row>
    <row r="282" spans="1:13" s="1481" customFormat="1" ht="24.75" thickTop="1">
      <c r="A282" s="862">
        <v>9.4</v>
      </c>
      <c r="B282" s="1609" t="s">
        <v>1992</v>
      </c>
      <c r="C282" s="1610"/>
      <c r="D282" s="1611"/>
      <c r="E282" s="1612"/>
      <c r="F282" s="1613"/>
      <c r="G282" s="1614"/>
      <c r="H282" s="1613"/>
      <c r="I282" s="1613"/>
      <c r="J282" s="1613"/>
      <c r="K282" s="1613"/>
      <c r="L282" s="1480"/>
    </row>
    <row r="283" spans="1:13" s="1474" customFormat="1" ht="24" customHeight="1">
      <c r="A283" s="573"/>
      <c r="B283" s="2610" t="s">
        <v>1994</v>
      </c>
      <c r="C283" s="2611"/>
      <c r="D283" s="488"/>
      <c r="E283" s="495"/>
      <c r="F283" s="576"/>
      <c r="G283" s="577"/>
      <c r="H283" s="577"/>
      <c r="I283" s="577"/>
      <c r="J283" s="577"/>
      <c r="K283" s="498"/>
      <c r="L283" s="1472"/>
      <c r="M283" s="1473"/>
    </row>
    <row r="284" spans="1:13" s="1476" customFormat="1" ht="24" customHeight="1">
      <c r="A284" s="214"/>
      <c r="B284" s="500" t="s">
        <v>107</v>
      </c>
      <c r="C284" s="1598" t="s">
        <v>1815</v>
      </c>
      <c r="D284" s="269">
        <v>4</v>
      </c>
      <c r="E284" s="525" t="s">
        <v>5</v>
      </c>
      <c r="F284" s="526">
        <v>20800</v>
      </c>
      <c r="G284" s="526">
        <v>0</v>
      </c>
      <c r="H284" s="456">
        <f t="shared" ref="H284:H310" si="34">D284*F284</f>
        <v>83200</v>
      </c>
      <c r="I284" s="456">
        <f t="shared" ref="I284:I310" si="35">D284*G284</f>
        <v>0</v>
      </c>
      <c r="J284" s="456">
        <f t="shared" ref="J284:J310" si="36">H284+I284</f>
        <v>83200</v>
      </c>
      <c r="K284" s="539"/>
      <c r="L284" s="1475" t="s">
        <v>1959</v>
      </c>
      <c r="M284" s="1473" t="s">
        <v>1960</v>
      </c>
    </row>
    <row r="285" spans="1:13" s="658" customFormat="1" ht="24" customHeight="1">
      <c r="A285" s="214"/>
      <c r="B285" s="500" t="s">
        <v>107</v>
      </c>
      <c r="C285" s="1598" t="s">
        <v>1817</v>
      </c>
      <c r="D285" s="269">
        <v>13</v>
      </c>
      <c r="E285" s="525" t="s">
        <v>5</v>
      </c>
      <c r="F285" s="526">
        <v>28000</v>
      </c>
      <c r="G285" s="526">
        <v>0</v>
      </c>
      <c r="H285" s="456">
        <f t="shared" si="34"/>
        <v>364000</v>
      </c>
      <c r="I285" s="456">
        <f t="shared" si="35"/>
        <v>0</v>
      </c>
      <c r="J285" s="456">
        <f t="shared" si="36"/>
        <v>364000</v>
      </c>
      <c r="K285" s="539"/>
      <c r="L285" s="1475" t="s">
        <v>1959</v>
      </c>
      <c r="M285" s="1473" t="s">
        <v>1960</v>
      </c>
    </row>
    <row r="286" spans="1:13" s="1477" customFormat="1" ht="24" customHeight="1">
      <c r="A286" s="214"/>
      <c r="B286" s="500" t="s">
        <v>107</v>
      </c>
      <c r="C286" s="1598" t="s">
        <v>1818</v>
      </c>
      <c r="D286" s="269">
        <v>10</v>
      </c>
      <c r="E286" s="525" t="s">
        <v>5</v>
      </c>
      <c r="F286" s="526">
        <v>33600</v>
      </c>
      <c r="G286" s="526">
        <v>0</v>
      </c>
      <c r="H286" s="456">
        <f t="shared" si="34"/>
        <v>336000</v>
      </c>
      <c r="I286" s="456">
        <f t="shared" si="35"/>
        <v>0</v>
      </c>
      <c r="J286" s="456">
        <f t="shared" si="36"/>
        <v>336000</v>
      </c>
      <c r="K286" s="539"/>
      <c r="L286" s="1475" t="s">
        <v>1959</v>
      </c>
      <c r="M286" s="1473" t="s">
        <v>1960</v>
      </c>
    </row>
    <row r="287" spans="1:13" s="658" customFormat="1" ht="24" customHeight="1">
      <c r="A287" s="214"/>
      <c r="B287" s="500" t="s">
        <v>107</v>
      </c>
      <c r="C287" s="1598" t="s">
        <v>1819</v>
      </c>
      <c r="D287" s="269">
        <v>18</v>
      </c>
      <c r="E287" s="525" t="s">
        <v>5</v>
      </c>
      <c r="F287" s="526">
        <v>49400</v>
      </c>
      <c r="G287" s="526">
        <v>0</v>
      </c>
      <c r="H287" s="456">
        <f t="shared" si="34"/>
        <v>889200</v>
      </c>
      <c r="I287" s="456">
        <f t="shared" si="35"/>
        <v>0</v>
      </c>
      <c r="J287" s="456">
        <f t="shared" si="36"/>
        <v>889200</v>
      </c>
      <c r="K287" s="539"/>
      <c r="L287" s="1475" t="s">
        <v>1959</v>
      </c>
      <c r="M287" s="1473" t="s">
        <v>1960</v>
      </c>
    </row>
    <row r="288" spans="1:13" s="1477" customFormat="1" ht="24" customHeight="1">
      <c r="A288" s="214"/>
      <c r="B288" s="500" t="s">
        <v>107</v>
      </c>
      <c r="C288" s="1598" t="s">
        <v>1820</v>
      </c>
      <c r="D288" s="269">
        <v>30</v>
      </c>
      <c r="E288" s="525" t="s">
        <v>5</v>
      </c>
      <c r="F288" s="526">
        <v>50900</v>
      </c>
      <c r="G288" s="526">
        <v>0</v>
      </c>
      <c r="H288" s="456">
        <f t="shared" si="34"/>
        <v>1527000</v>
      </c>
      <c r="I288" s="456">
        <f t="shared" si="35"/>
        <v>0</v>
      </c>
      <c r="J288" s="456">
        <f t="shared" si="36"/>
        <v>1527000</v>
      </c>
      <c r="K288" s="539"/>
      <c r="L288" s="1475" t="s">
        <v>1959</v>
      </c>
      <c r="M288" s="1473" t="s">
        <v>1960</v>
      </c>
    </row>
    <row r="289" spans="1:13" s="658" customFormat="1" ht="24" customHeight="1">
      <c r="A289" s="214"/>
      <c r="B289" s="500" t="s">
        <v>107</v>
      </c>
      <c r="C289" s="1598" t="s">
        <v>1821</v>
      </c>
      <c r="D289" s="269">
        <v>39</v>
      </c>
      <c r="E289" s="525" t="s">
        <v>5</v>
      </c>
      <c r="F289" s="526">
        <v>53000</v>
      </c>
      <c r="G289" s="526">
        <v>0</v>
      </c>
      <c r="H289" s="456">
        <f t="shared" si="34"/>
        <v>2067000</v>
      </c>
      <c r="I289" s="456">
        <f t="shared" si="35"/>
        <v>0</v>
      </c>
      <c r="J289" s="456">
        <f t="shared" si="36"/>
        <v>2067000</v>
      </c>
      <c r="K289" s="539"/>
      <c r="L289" s="1475" t="s">
        <v>1959</v>
      </c>
      <c r="M289" s="1473" t="s">
        <v>1960</v>
      </c>
    </row>
    <row r="290" spans="1:13" s="658" customFormat="1" ht="24" customHeight="1">
      <c r="A290" s="214"/>
      <c r="B290" s="500" t="s">
        <v>107</v>
      </c>
      <c r="C290" s="1598" t="s">
        <v>1822</v>
      </c>
      <c r="D290" s="269">
        <v>8</v>
      </c>
      <c r="E290" s="525" t="s">
        <v>5</v>
      </c>
      <c r="F290" s="526">
        <v>57200</v>
      </c>
      <c r="G290" s="526">
        <v>0</v>
      </c>
      <c r="H290" s="456">
        <f t="shared" si="34"/>
        <v>457600</v>
      </c>
      <c r="I290" s="456">
        <f t="shared" si="35"/>
        <v>0</v>
      </c>
      <c r="J290" s="456">
        <f t="shared" si="36"/>
        <v>457600</v>
      </c>
      <c r="K290" s="539"/>
      <c r="L290" s="1475" t="s">
        <v>1959</v>
      </c>
      <c r="M290" s="1473" t="s">
        <v>1960</v>
      </c>
    </row>
    <row r="291" spans="1:13" s="1478" customFormat="1" ht="24" customHeight="1">
      <c r="A291" s="1600"/>
      <c r="B291" s="546" t="s">
        <v>107</v>
      </c>
      <c r="C291" s="1598" t="s">
        <v>1823</v>
      </c>
      <c r="D291" s="270">
        <v>2</v>
      </c>
      <c r="E291" s="548" t="s">
        <v>5</v>
      </c>
      <c r="F291" s="550">
        <v>140400</v>
      </c>
      <c r="G291" s="526">
        <v>0</v>
      </c>
      <c r="H291" s="376">
        <f t="shared" si="34"/>
        <v>280800</v>
      </c>
      <c r="I291" s="376">
        <f t="shared" si="35"/>
        <v>0</v>
      </c>
      <c r="J291" s="376">
        <f t="shared" si="36"/>
        <v>280800</v>
      </c>
      <c r="K291" s="539"/>
      <c r="L291" s="1475" t="s">
        <v>1959</v>
      </c>
      <c r="M291" s="1473" t="s">
        <v>1960</v>
      </c>
    </row>
    <row r="292" spans="1:13" s="658" customFormat="1" ht="24" customHeight="1">
      <c r="A292" s="214"/>
      <c r="B292" s="500" t="s">
        <v>107</v>
      </c>
      <c r="C292" s="1598" t="s">
        <v>1824</v>
      </c>
      <c r="D292" s="269">
        <v>2</v>
      </c>
      <c r="E292" s="525" t="s">
        <v>5</v>
      </c>
      <c r="F292" s="526">
        <v>312000</v>
      </c>
      <c r="G292" s="526">
        <v>0</v>
      </c>
      <c r="H292" s="456">
        <f t="shared" si="34"/>
        <v>624000</v>
      </c>
      <c r="I292" s="456">
        <f t="shared" si="35"/>
        <v>0</v>
      </c>
      <c r="J292" s="456">
        <f t="shared" si="36"/>
        <v>624000</v>
      </c>
      <c r="K292" s="539"/>
      <c r="L292" s="1475" t="s">
        <v>1959</v>
      </c>
      <c r="M292" s="1473" t="s">
        <v>1960</v>
      </c>
    </row>
    <row r="293" spans="1:13" s="658" customFormat="1" ht="24" customHeight="1">
      <c r="A293" s="869"/>
      <c r="B293" s="912"/>
      <c r="C293" s="1276"/>
      <c r="D293" s="1277"/>
      <c r="E293" s="419"/>
      <c r="F293" s="419"/>
      <c r="G293" s="419"/>
      <c r="H293" s="871"/>
      <c r="I293" s="871"/>
      <c r="J293" s="871"/>
      <c r="K293" s="871"/>
      <c r="L293" s="1475"/>
      <c r="M293" s="1473"/>
    </row>
    <row r="294" spans="1:13" s="658" customFormat="1" ht="24" customHeight="1">
      <c r="A294" s="869"/>
      <c r="B294" s="1278"/>
      <c r="C294" s="1196" t="s">
        <v>133</v>
      </c>
      <c r="D294" s="1013"/>
      <c r="E294" s="912"/>
      <c r="F294" s="1014"/>
      <c r="G294" s="1279"/>
      <c r="H294" s="411"/>
      <c r="I294" s="1280"/>
      <c r="J294" s="871"/>
      <c r="K294" s="871"/>
      <c r="L294" s="1475"/>
      <c r="M294" s="1473"/>
    </row>
    <row r="295" spans="1:13" s="658" customFormat="1" ht="24" customHeight="1">
      <c r="A295" s="869"/>
      <c r="B295" s="1281"/>
      <c r="C295" s="1017" t="s">
        <v>1769</v>
      </c>
      <c r="D295" s="871"/>
      <c r="E295" s="866"/>
      <c r="F295" s="1017" t="s">
        <v>134</v>
      </c>
      <c r="G295" s="418"/>
      <c r="H295" s="1282"/>
      <c r="I295" s="1280"/>
      <c r="J295" s="871"/>
      <c r="K295" s="871"/>
      <c r="L295" s="1475"/>
      <c r="M295" s="1473"/>
    </row>
    <row r="296" spans="1:13" s="658" customFormat="1" ht="24" customHeight="1">
      <c r="A296" s="869"/>
      <c r="B296" s="1176"/>
      <c r="C296" s="419" t="s">
        <v>1970</v>
      </c>
      <c r="D296" s="871"/>
      <c r="E296" s="866"/>
      <c r="F296" s="1019" t="s">
        <v>1971</v>
      </c>
      <c r="G296" s="880"/>
      <c r="H296" s="411"/>
      <c r="I296" s="1280"/>
      <c r="J296" s="871"/>
      <c r="K296" s="871"/>
      <c r="L296" s="1475"/>
      <c r="M296" s="1473"/>
    </row>
    <row r="297" spans="1:13" s="658" customFormat="1" ht="24" customHeight="1">
      <c r="A297" s="869"/>
      <c r="B297" s="1176"/>
      <c r="C297" s="1017" t="s">
        <v>2035</v>
      </c>
      <c r="D297" s="871"/>
      <c r="E297" s="866"/>
      <c r="F297" s="1017" t="s">
        <v>2031</v>
      </c>
      <c r="G297" s="1017"/>
      <c r="H297" s="871"/>
      <c r="I297" s="871"/>
      <c r="J297" s="871"/>
      <c r="K297" s="871"/>
      <c r="L297" s="1475"/>
      <c r="M297" s="1473"/>
    </row>
    <row r="298" spans="1:13" s="658" customFormat="1" ht="24" customHeight="1">
      <c r="A298" s="869"/>
      <c r="B298" s="1281"/>
      <c r="C298" s="419" t="s">
        <v>1984</v>
      </c>
      <c r="D298" s="871"/>
      <c r="E298" s="866"/>
      <c r="F298" s="419" t="s">
        <v>1985</v>
      </c>
      <c r="G298" s="866"/>
      <c r="H298" s="871"/>
      <c r="I298" s="871"/>
      <c r="J298" s="871"/>
      <c r="K298" s="871"/>
      <c r="L298" s="1475"/>
      <c r="M298" s="1473"/>
    </row>
    <row r="299" spans="1:13" s="658" customFormat="1" ht="24" customHeight="1">
      <c r="A299" s="1283"/>
      <c r="B299" s="1284"/>
      <c r="C299" s="1017" t="s">
        <v>670</v>
      </c>
      <c r="D299" s="871"/>
      <c r="E299" s="1017"/>
      <c r="F299" s="1017"/>
      <c r="G299" s="866"/>
      <c r="H299" s="1181"/>
      <c r="I299" s="1275"/>
      <c r="J299" s="1275"/>
      <c r="K299" s="1275"/>
      <c r="L299" s="1475"/>
      <c r="M299" s="1473"/>
    </row>
    <row r="300" spans="1:13" s="658" customFormat="1" ht="24" customHeight="1">
      <c r="A300" s="1283"/>
      <c r="B300" s="866"/>
      <c r="C300" s="419" t="s">
        <v>1972</v>
      </c>
      <c r="D300" s="871"/>
      <c r="E300" s="419"/>
      <c r="F300" s="419"/>
      <c r="G300" s="1017"/>
      <c r="H300" s="1181"/>
      <c r="I300" s="1275"/>
      <c r="J300" s="1275"/>
      <c r="K300" s="1275"/>
      <c r="L300" s="1475"/>
      <c r="M300" s="1473"/>
    </row>
    <row r="301" spans="1:13" s="658" customFormat="1" ht="24" customHeight="1">
      <c r="A301" s="499"/>
      <c r="B301" s="500" t="s">
        <v>107</v>
      </c>
      <c r="C301" s="506" t="s">
        <v>1825</v>
      </c>
      <c r="D301" s="269">
        <v>1</v>
      </c>
      <c r="E301" s="525" t="s">
        <v>5</v>
      </c>
      <c r="F301" s="559">
        <v>716300</v>
      </c>
      <c r="G301" s="526">
        <v>0</v>
      </c>
      <c r="H301" s="456">
        <f t="shared" si="34"/>
        <v>716300</v>
      </c>
      <c r="I301" s="456">
        <f t="shared" si="35"/>
        <v>0</v>
      </c>
      <c r="J301" s="456">
        <f t="shared" si="36"/>
        <v>716300</v>
      </c>
      <c r="K301" s="539"/>
      <c r="L301" s="1475" t="s">
        <v>1959</v>
      </c>
      <c r="M301" s="1473" t="s">
        <v>1960</v>
      </c>
    </row>
    <row r="302" spans="1:13" s="658" customFormat="1" ht="24" customHeight="1">
      <c r="A302" s="499"/>
      <c r="B302" s="500" t="s">
        <v>107</v>
      </c>
      <c r="C302" s="506" t="s">
        <v>1826</v>
      </c>
      <c r="D302" s="269">
        <v>1</v>
      </c>
      <c r="E302" s="525" t="s">
        <v>5</v>
      </c>
      <c r="F302" s="559">
        <v>355200</v>
      </c>
      <c r="G302" s="526">
        <v>0</v>
      </c>
      <c r="H302" s="456">
        <f t="shared" si="34"/>
        <v>355200</v>
      </c>
      <c r="I302" s="456">
        <f t="shared" si="35"/>
        <v>0</v>
      </c>
      <c r="J302" s="456">
        <f t="shared" si="36"/>
        <v>355200</v>
      </c>
      <c r="K302" s="539"/>
      <c r="L302" s="1475" t="s">
        <v>1959</v>
      </c>
      <c r="M302" s="1473" t="s">
        <v>1960</v>
      </c>
    </row>
    <row r="303" spans="1:13" s="658" customFormat="1" ht="24" customHeight="1">
      <c r="A303" s="499"/>
      <c r="B303" s="500" t="s">
        <v>107</v>
      </c>
      <c r="C303" s="506" t="s">
        <v>1827</v>
      </c>
      <c r="D303" s="269">
        <v>1</v>
      </c>
      <c r="E303" s="525" t="s">
        <v>5</v>
      </c>
      <c r="F303" s="559">
        <v>588200</v>
      </c>
      <c r="G303" s="526">
        <v>0</v>
      </c>
      <c r="H303" s="456">
        <f t="shared" si="34"/>
        <v>588200</v>
      </c>
      <c r="I303" s="456">
        <f t="shared" si="35"/>
        <v>0</v>
      </c>
      <c r="J303" s="456">
        <f t="shared" si="36"/>
        <v>588200</v>
      </c>
      <c r="K303" s="539"/>
      <c r="L303" s="1475" t="s">
        <v>1959</v>
      </c>
      <c r="M303" s="1473" t="s">
        <v>1960</v>
      </c>
    </row>
    <row r="304" spans="1:13" s="658" customFormat="1" ht="24" customHeight="1">
      <c r="A304" s="499"/>
      <c r="B304" s="500" t="s">
        <v>107</v>
      </c>
      <c r="C304" s="506" t="s">
        <v>1828</v>
      </c>
      <c r="D304" s="269">
        <v>1</v>
      </c>
      <c r="E304" s="525" t="s">
        <v>5</v>
      </c>
      <c r="F304" s="526">
        <v>658100</v>
      </c>
      <c r="G304" s="526">
        <v>0</v>
      </c>
      <c r="H304" s="456">
        <f t="shared" si="34"/>
        <v>658100</v>
      </c>
      <c r="I304" s="456">
        <f t="shared" si="35"/>
        <v>0</v>
      </c>
      <c r="J304" s="456">
        <f t="shared" si="36"/>
        <v>658100</v>
      </c>
      <c r="K304" s="539"/>
      <c r="L304" s="1475" t="s">
        <v>1959</v>
      </c>
      <c r="M304" s="1473" t="s">
        <v>1960</v>
      </c>
    </row>
    <row r="305" spans="1:13" s="658" customFormat="1" ht="24" customHeight="1">
      <c r="A305" s="499"/>
      <c r="B305" s="500" t="s">
        <v>107</v>
      </c>
      <c r="C305" s="506" t="s">
        <v>1829</v>
      </c>
      <c r="D305" s="269">
        <v>1</v>
      </c>
      <c r="E305" s="525" t="s">
        <v>5</v>
      </c>
      <c r="F305" s="526">
        <v>658100</v>
      </c>
      <c r="G305" s="526">
        <v>0</v>
      </c>
      <c r="H305" s="456">
        <f t="shared" si="34"/>
        <v>658100</v>
      </c>
      <c r="I305" s="456">
        <f t="shared" si="35"/>
        <v>0</v>
      </c>
      <c r="J305" s="456">
        <f t="shared" si="36"/>
        <v>658100</v>
      </c>
      <c r="K305" s="539"/>
      <c r="L305" s="1475" t="s">
        <v>1959</v>
      </c>
      <c r="M305" s="1473" t="s">
        <v>1960</v>
      </c>
    </row>
    <row r="306" spans="1:13" s="658" customFormat="1" ht="24" customHeight="1">
      <c r="A306" s="499"/>
      <c r="B306" s="500" t="s">
        <v>107</v>
      </c>
      <c r="C306" s="506" t="s">
        <v>1830</v>
      </c>
      <c r="D306" s="269">
        <v>1</v>
      </c>
      <c r="E306" s="525" t="s">
        <v>5</v>
      </c>
      <c r="F306" s="526">
        <v>658100</v>
      </c>
      <c r="G306" s="526">
        <v>0</v>
      </c>
      <c r="H306" s="456">
        <f t="shared" si="34"/>
        <v>658100</v>
      </c>
      <c r="I306" s="456">
        <f t="shared" si="35"/>
        <v>0</v>
      </c>
      <c r="J306" s="456">
        <f t="shared" si="36"/>
        <v>658100</v>
      </c>
      <c r="K306" s="539"/>
      <c r="L306" s="1475" t="s">
        <v>1959</v>
      </c>
      <c r="M306" s="1473" t="s">
        <v>1960</v>
      </c>
    </row>
    <row r="307" spans="1:13" s="658" customFormat="1" ht="24" customHeight="1">
      <c r="A307" s="499"/>
      <c r="B307" s="500" t="s">
        <v>107</v>
      </c>
      <c r="C307" s="506" t="s">
        <v>1831</v>
      </c>
      <c r="D307" s="269">
        <v>1</v>
      </c>
      <c r="E307" s="525" t="s">
        <v>5</v>
      </c>
      <c r="F307" s="559">
        <v>588200</v>
      </c>
      <c r="G307" s="526">
        <v>0</v>
      </c>
      <c r="H307" s="456">
        <f t="shared" si="34"/>
        <v>588200</v>
      </c>
      <c r="I307" s="456">
        <f t="shared" si="35"/>
        <v>0</v>
      </c>
      <c r="J307" s="456">
        <f t="shared" si="36"/>
        <v>588200</v>
      </c>
      <c r="K307" s="539"/>
      <c r="L307" s="1475" t="s">
        <v>1959</v>
      </c>
      <c r="M307" s="1473" t="s">
        <v>1960</v>
      </c>
    </row>
    <row r="308" spans="1:13" s="658" customFormat="1" ht="24" customHeight="1">
      <c r="A308" s="499"/>
      <c r="B308" s="500" t="s">
        <v>107</v>
      </c>
      <c r="C308" s="506" t="s">
        <v>1832</v>
      </c>
      <c r="D308" s="269">
        <v>1</v>
      </c>
      <c r="E308" s="525" t="s">
        <v>5</v>
      </c>
      <c r="F308" s="559">
        <v>588200</v>
      </c>
      <c r="G308" s="526">
        <v>0</v>
      </c>
      <c r="H308" s="456">
        <f t="shared" si="34"/>
        <v>588200</v>
      </c>
      <c r="I308" s="456">
        <f t="shared" si="35"/>
        <v>0</v>
      </c>
      <c r="J308" s="456">
        <f t="shared" si="36"/>
        <v>588200</v>
      </c>
      <c r="K308" s="539"/>
      <c r="L308" s="1475" t="s">
        <v>1959</v>
      </c>
      <c r="M308" s="1473" t="s">
        <v>1960</v>
      </c>
    </row>
    <row r="309" spans="1:13" s="658" customFormat="1" ht="24" customHeight="1">
      <c r="A309" s="499"/>
      <c r="B309" s="500" t="s">
        <v>107</v>
      </c>
      <c r="C309" s="506" t="s">
        <v>1833</v>
      </c>
      <c r="D309" s="269">
        <v>1</v>
      </c>
      <c r="E309" s="525" t="s">
        <v>5</v>
      </c>
      <c r="F309" s="559">
        <v>460000</v>
      </c>
      <c r="G309" s="526">
        <v>0</v>
      </c>
      <c r="H309" s="456">
        <f t="shared" si="34"/>
        <v>460000</v>
      </c>
      <c r="I309" s="456">
        <f t="shared" si="35"/>
        <v>0</v>
      </c>
      <c r="J309" s="456">
        <f t="shared" si="36"/>
        <v>460000</v>
      </c>
      <c r="K309" s="539"/>
      <c r="L309" s="1475" t="s">
        <v>1959</v>
      </c>
      <c r="M309" s="1473" t="s">
        <v>1960</v>
      </c>
    </row>
    <row r="310" spans="1:13" s="658" customFormat="1" ht="24" customHeight="1">
      <c r="A310" s="499"/>
      <c r="B310" s="500" t="s">
        <v>107</v>
      </c>
      <c r="C310" s="506" t="s">
        <v>1834</v>
      </c>
      <c r="D310" s="269">
        <v>1</v>
      </c>
      <c r="E310" s="525" t="s">
        <v>5</v>
      </c>
      <c r="F310" s="526">
        <v>215400</v>
      </c>
      <c r="G310" s="526">
        <v>0</v>
      </c>
      <c r="H310" s="456">
        <f t="shared" si="34"/>
        <v>215400</v>
      </c>
      <c r="I310" s="456">
        <f t="shared" si="35"/>
        <v>0</v>
      </c>
      <c r="J310" s="456">
        <f t="shared" si="36"/>
        <v>215400</v>
      </c>
      <c r="K310" s="539"/>
      <c r="L310" s="1475" t="s">
        <v>1959</v>
      </c>
      <c r="M310" s="1473" t="s">
        <v>1960</v>
      </c>
    </row>
    <row r="311" spans="1:13" s="658" customFormat="1" ht="24" customHeight="1">
      <c r="A311" s="499"/>
      <c r="B311" s="1615" t="s">
        <v>1995</v>
      </c>
      <c r="C311" s="506"/>
      <c r="D311" s="269"/>
      <c r="E311" s="525"/>
      <c r="F311" s="526"/>
      <c r="G311" s="526"/>
      <c r="H311" s="456"/>
      <c r="I311" s="456"/>
      <c r="J311" s="456"/>
      <c r="K311" s="539"/>
      <c r="L311" s="1475"/>
      <c r="M311" s="1473"/>
    </row>
    <row r="312" spans="1:13" s="658" customFormat="1" ht="24" customHeight="1">
      <c r="A312" s="499"/>
      <c r="B312" s="500" t="s">
        <v>107</v>
      </c>
      <c r="C312" s="506" t="s">
        <v>1835</v>
      </c>
      <c r="D312" s="160">
        <v>2</v>
      </c>
      <c r="E312" s="501" t="s">
        <v>5</v>
      </c>
      <c r="F312" s="505">
        <v>28000</v>
      </c>
      <c r="G312" s="526">
        <v>0</v>
      </c>
      <c r="H312" s="526">
        <f>D312*F312</f>
        <v>56000</v>
      </c>
      <c r="I312" s="165">
        <f>D312*G312</f>
        <v>0</v>
      </c>
      <c r="J312" s="165">
        <f>H312+I312</f>
        <v>56000</v>
      </c>
      <c r="K312" s="539"/>
      <c r="L312" s="1475"/>
      <c r="M312" s="1473"/>
    </row>
    <row r="313" spans="1:13" s="658" customFormat="1" ht="24" customHeight="1">
      <c r="A313" s="499"/>
      <c r="B313" s="500"/>
      <c r="C313" s="506"/>
      <c r="D313" s="269"/>
      <c r="E313" s="525"/>
      <c r="F313" s="526"/>
      <c r="G313" s="526"/>
      <c r="H313" s="456"/>
      <c r="I313" s="456"/>
      <c r="J313" s="456"/>
      <c r="K313" s="539"/>
      <c r="L313" s="1475"/>
      <c r="M313" s="1473"/>
    </row>
    <row r="314" spans="1:13" s="1483" customFormat="1" ht="24.75" thickBot="1">
      <c r="A314" s="861"/>
      <c r="B314" s="1616"/>
      <c r="C314" s="1617" t="str">
        <f>"รวมราคา "&amp;B282</f>
        <v>รวมราคา งานครุภัณฑ์งานระบบปรับอากาศและระบายอากาศ</v>
      </c>
      <c r="D314" s="1618"/>
      <c r="E314" s="348"/>
      <c r="F314" s="1619"/>
      <c r="G314" s="1620"/>
      <c r="H314" s="1619">
        <f>SUM(H283:H313)</f>
        <v>12170600</v>
      </c>
      <c r="I314" s="1619">
        <f t="shared" ref="I314:J314" si="37">SUM(I283:I313)</f>
        <v>0</v>
      </c>
      <c r="J314" s="1619">
        <f t="shared" si="37"/>
        <v>12170600</v>
      </c>
      <c r="K314" s="1619"/>
      <c r="L314" s="1482"/>
      <c r="M314" s="1482"/>
    </row>
    <row r="315" spans="1:13" s="1490" customFormat="1" ht="24.75" thickTop="1">
      <c r="A315" s="163">
        <v>9.5</v>
      </c>
      <c r="B315" s="865" t="s">
        <v>2028</v>
      </c>
      <c r="C315" s="1621"/>
      <c r="D315" s="1622"/>
      <c r="E315" s="184"/>
      <c r="F315" s="1623"/>
      <c r="G315" s="1624"/>
      <c r="H315" s="1623"/>
      <c r="I315" s="1623"/>
      <c r="J315" s="1623"/>
      <c r="K315" s="1625"/>
      <c r="L315" s="1489"/>
    </row>
    <row r="316" spans="1:13" s="1485" customFormat="1" ht="48">
      <c r="A316" s="889"/>
      <c r="B316" s="1626" t="s">
        <v>107</v>
      </c>
      <c r="C316" s="1627" t="s">
        <v>1811</v>
      </c>
      <c r="D316" s="1628">
        <v>1</v>
      </c>
      <c r="E316" s="1629" t="s">
        <v>5</v>
      </c>
      <c r="F316" s="1628">
        <f>2850000*70%</f>
        <v>1994999.9999999998</v>
      </c>
      <c r="G316" s="550">
        <v>0</v>
      </c>
      <c r="H316" s="550">
        <f>D316*F316</f>
        <v>1994999.9999999998</v>
      </c>
      <c r="I316" s="550">
        <f>D316*G316</f>
        <v>0</v>
      </c>
      <c r="J316" s="550">
        <f>H316+I316</f>
        <v>1994999.9999999998</v>
      </c>
      <c r="K316" s="667"/>
      <c r="L316" s="732" t="s">
        <v>1891</v>
      </c>
    </row>
    <row r="317" spans="1:13" s="1485" customFormat="1" ht="48">
      <c r="A317" s="889"/>
      <c r="B317" s="1626" t="s">
        <v>107</v>
      </c>
      <c r="C317" s="1627" t="s">
        <v>1812</v>
      </c>
      <c r="D317" s="1628">
        <v>1</v>
      </c>
      <c r="E317" s="1629" t="s">
        <v>5</v>
      </c>
      <c r="F317" s="1628">
        <f>2850000*70%</f>
        <v>1994999.9999999998</v>
      </c>
      <c r="G317" s="550">
        <v>0</v>
      </c>
      <c r="H317" s="550">
        <f t="shared" ref="H317:H318" si="38">D317*F317</f>
        <v>1994999.9999999998</v>
      </c>
      <c r="I317" s="550">
        <f t="shared" ref="I317:I318" si="39">D317*G317</f>
        <v>0</v>
      </c>
      <c r="J317" s="550">
        <f t="shared" ref="J317:J318" si="40">H317+I317</f>
        <v>1994999.9999999998</v>
      </c>
      <c r="K317" s="667"/>
      <c r="L317" s="732" t="s">
        <v>1891</v>
      </c>
    </row>
    <row r="318" spans="1:13" s="1485" customFormat="1" ht="48">
      <c r="A318" s="889"/>
      <c r="B318" s="1626" t="s">
        <v>107</v>
      </c>
      <c r="C318" s="1630" t="s">
        <v>1813</v>
      </c>
      <c r="D318" s="1631">
        <v>1</v>
      </c>
      <c r="E318" s="1632" t="s">
        <v>5</v>
      </c>
      <c r="F318" s="1631">
        <f>3000000*70%</f>
        <v>2100000</v>
      </c>
      <c r="G318" s="550">
        <v>0</v>
      </c>
      <c r="H318" s="550">
        <f t="shared" si="38"/>
        <v>2100000</v>
      </c>
      <c r="I318" s="550">
        <f t="shared" si="39"/>
        <v>0</v>
      </c>
      <c r="J318" s="550">
        <f t="shared" si="40"/>
        <v>2100000</v>
      </c>
      <c r="K318" s="667"/>
      <c r="L318" s="740" t="s">
        <v>1891</v>
      </c>
    </row>
    <row r="319" spans="1:13" s="871" customFormat="1">
      <c r="A319" s="887"/>
      <c r="B319" s="891"/>
      <c r="C319" s="1484"/>
      <c r="D319" s="1270"/>
      <c r="E319" s="1261"/>
      <c r="F319" s="402"/>
      <c r="G319" s="1214"/>
      <c r="H319" s="402"/>
      <c r="I319" s="402"/>
      <c r="J319" s="402"/>
      <c r="K319" s="1271"/>
      <c r="L319" s="741"/>
    </row>
    <row r="320" spans="1:13" s="1483" customFormat="1" ht="24.75" thickBot="1">
      <c r="A320" s="861"/>
      <c r="B320" s="1616"/>
      <c r="C320" s="1617" t="str">
        <f>"รวมราคา "&amp;B315</f>
        <v>รวมราคา งานครุภัณฑ์ระบบลิฟต์</v>
      </c>
      <c r="D320" s="1618"/>
      <c r="E320" s="348"/>
      <c r="F320" s="1619"/>
      <c r="G320" s="1620"/>
      <c r="H320" s="1619">
        <f>SUM(H316:H319)</f>
        <v>6090000</v>
      </c>
      <c r="I320" s="1619">
        <f t="shared" ref="I320" si="41">SUM(I316:I319)</f>
        <v>0</v>
      </c>
      <c r="J320" s="1619">
        <f>SUM(J316:J319)</f>
        <v>6090000</v>
      </c>
      <c r="K320" s="1619"/>
      <c r="L320" s="1482"/>
      <c r="M320" s="1482"/>
    </row>
    <row r="321" spans="1:13" s="1488" customFormat="1" ht="25.5" thickTop="1" thickBot="1">
      <c r="A321" s="1633"/>
      <c r="B321" s="1634"/>
      <c r="C321" s="1635" t="str">
        <f>"รวมราคา "&amp;B11</f>
        <v>รวมราคา ส่วนงานที่ 2 ค่างานครุภัณฑ์สั่งซื้อ (จัดซื้อ)</v>
      </c>
      <c r="D321" s="1636"/>
      <c r="E321" s="1637"/>
      <c r="F321" s="1636"/>
      <c r="G321" s="1636"/>
      <c r="H321" s="1636">
        <f>H320+H314+H281+H249+H245</f>
        <v>38323307</v>
      </c>
      <c r="I321" s="1636">
        <f t="shared" ref="I321:J321" si="42">I320+I314+I281+I249+I245</f>
        <v>0</v>
      </c>
      <c r="J321" s="1636">
        <f t="shared" si="42"/>
        <v>38323307</v>
      </c>
      <c r="K321" s="1636"/>
      <c r="L321" s="1486"/>
      <c r="M321" s="1487"/>
    </row>
    <row r="322" spans="1:13" s="871" customFormat="1" ht="24" customHeight="1" thickTop="1">
      <c r="A322" s="869"/>
      <c r="B322" s="912"/>
      <c r="C322" s="1276"/>
      <c r="D322" s="1277"/>
      <c r="E322" s="419"/>
      <c r="F322" s="419"/>
      <c r="G322" s="419"/>
    </row>
    <row r="323" spans="1:13" s="871" customFormat="1" ht="29.25" customHeight="1">
      <c r="A323" s="869"/>
      <c r="B323" s="1278"/>
      <c r="C323" s="1196" t="s">
        <v>133</v>
      </c>
      <c r="D323" s="1013"/>
      <c r="E323" s="912"/>
      <c r="F323" s="1014"/>
      <c r="G323" s="1279"/>
      <c r="H323" s="411"/>
      <c r="I323" s="1280"/>
    </row>
    <row r="324" spans="1:13" s="871" customFormat="1" ht="29.25" customHeight="1">
      <c r="A324" s="869"/>
      <c r="B324" s="1281"/>
      <c r="C324" s="1017" t="s">
        <v>1769</v>
      </c>
      <c r="E324" s="866"/>
      <c r="F324" s="1017" t="s">
        <v>134</v>
      </c>
      <c r="G324" s="418"/>
      <c r="H324" s="1282"/>
      <c r="I324" s="1280"/>
    </row>
    <row r="325" spans="1:13" s="871" customFormat="1" ht="29.25" customHeight="1">
      <c r="A325" s="869"/>
      <c r="B325" s="1176"/>
      <c r="C325" s="419" t="s">
        <v>1970</v>
      </c>
      <c r="E325" s="866"/>
      <c r="F325" s="1019" t="s">
        <v>1971</v>
      </c>
      <c r="G325" s="880"/>
      <c r="H325" s="411"/>
      <c r="I325" s="1280"/>
    </row>
    <row r="326" spans="1:13" s="871" customFormat="1" ht="29.25" customHeight="1">
      <c r="A326" s="869"/>
      <c r="B326" s="1176"/>
      <c r="C326" s="1017" t="s">
        <v>2035</v>
      </c>
      <c r="E326" s="866"/>
      <c r="F326" s="1017" t="s">
        <v>2031</v>
      </c>
      <c r="G326" s="1017"/>
    </row>
    <row r="327" spans="1:13" s="871" customFormat="1" ht="29.25" customHeight="1">
      <c r="A327" s="869"/>
      <c r="B327" s="1281"/>
      <c r="C327" s="419" t="s">
        <v>1984</v>
      </c>
      <c r="E327" s="866"/>
      <c r="F327" s="419" t="s">
        <v>1985</v>
      </c>
      <c r="G327" s="866"/>
    </row>
    <row r="328" spans="1:13" ht="29.25" customHeight="1">
      <c r="B328" s="1284"/>
      <c r="C328" s="1017" t="s">
        <v>670</v>
      </c>
      <c r="D328" s="871"/>
      <c r="E328" s="1017"/>
      <c r="F328" s="1017"/>
      <c r="G328" s="866"/>
      <c r="H328" s="1181"/>
    </row>
    <row r="329" spans="1:13" ht="24" customHeight="1">
      <c r="B329" s="866"/>
      <c r="C329" s="419" t="s">
        <v>1972</v>
      </c>
      <c r="D329" s="871"/>
      <c r="E329" s="419"/>
      <c r="F329" s="419"/>
      <c r="G329" s="1017"/>
      <c r="H329" s="1181"/>
    </row>
    <row r="330" spans="1:13" ht="24" customHeight="1">
      <c r="B330" s="419"/>
      <c r="C330" s="866"/>
      <c r="D330" s="868"/>
      <c r="E330" s="419"/>
      <c r="F330" s="419"/>
      <c r="G330" s="419"/>
      <c r="H330" s="1181"/>
    </row>
    <row r="331" spans="1:13" ht="24" customHeight="1">
      <c r="B331" s="419"/>
      <c r="C331" s="1017"/>
      <c r="D331" s="1285"/>
      <c r="E331" s="1017"/>
      <c r="F331" s="1017"/>
      <c r="G331" s="866"/>
      <c r="H331" s="1181"/>
    </row>
    <row r="332" spans="1:13" ht="24" customHeight="1">
      <c r="B332" s="419"/>
      <c r="C332" s="419"/>
      <c r="D332" s="1277"/>
      <c r="E332" s="419"/>
      <c r="F332" s="869"/>
      <c r="G332" s="401"/>
      <c r="H332" s="1181"/>
    </row>
    <row r="333" spans="1:13" ht="24" customHeight="1">
      <c r="B333" s="419"/>
      <c r="C333" s="1276"/>
      <c r="D333" s="1276"/>
      <c r="E333" s="1286"/>
      <c r="F333" s="912"/>
      <c r="G333" s="1279"/>
      <c r="H333" s="1181"/>
    </row>
    <row r="334" spans="1:13" ht="24" customHeight="1">
      <c r="C334" s="871"/>
      <c r="D334" s="1181"/>
      <c r="E334" s="1076"/>
      <c r="F334" s="1181"/>
      <c r="G334" s="1181"/>
      <c r="H334" s="1181"/>
    </row>
    <row r="335" spans="1:13" ht="24" customHeight="1">
      <c r="C335" s="871"/>
      <c r="D335" s="1181"/>
      <c r="E335" s="1076"/>
      <c r="F335" s="1181"/>
      <c r="G335" s="1181"/>
      <c r="H335" s="1181"/>
    </row>
  </sheetData>
  <autoFilter ref="B1:B333" xr:uid="{00000000-0001-0000-1300-000000000000}"/>
  <mergeCells count="13">
    <mergeCell ref="A1:K1"/>
    <mergeCell ref="B9:C10"/>
    <mergeCell ref="A9:A10"/>
    <mergeCell ref="J9:J10"/>
    <mergeCell ref="K9:K10"/>
    <mergeCell ref="D9:D10"/>
    <mergeCell ref="E9:E10"/>
    <mergeCell ref="A2:B8"/>
    <mergeCell ref="B283:C283"/>
    <mergeCell ref="B260:C260"/>
    <mergeCell ref="B273:C273"/>
    <mergeCell ref="F9:G9"/>
    <mergeCell ref="H9:I9"/>
  </mergeCells>
  <phoneticPr fontId="17" type="noConversion"/>
  <printOptions horizontalCentered="1"/>
  <pageMargins left="0.23622047244094499" right="0.23622047244094499" top="0.511811023622047" bottom="0.27559055118110198" header="0.511811023622047" footer="0.31496062992126"/>
  <pageSetup paperSize="9" scale="47" fitToHeight="0" orientation="landscape" r:id="rId1"/>
  <headerFooter alignWithMargins="0">
    <oddHeader>&amp;R&amp;"TH Sarabun New,ตัวหนา"&amp;16แบบ ปร.4 หน้าที่ &amp;P จาก &amp;N</oddHeader>
  </headerFooter>
  <rowBreaks count="11" manualBreakCount="11">
    <brk id="32" max="10" man="1"/>
    <brk id="63" max="10" man="1"/>
    <brk id="89" max="10" man="1"/>
    <brk id="112" max="10" man="1"/>
    <brk id="139" max="10" man="1"/>
    <brk id="168" max="10" man="1"/>
    <brk id="191" max="10" man="1"/>
    <brk id="215" max="10" man="1"/>
    <brk id="237" max="10" man="1"/>
    <brk id="272" max="10" man="1"/>
    <brk id="300" max="1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A1:Y100"/>
  <sheetViews>
    <sheetView showGridLines="0" view="pageBreakPreview" topLeftCell="A4" zoomScale="106" zoomScaleNormal="50" zoomScaleSheetLayoutView="106" workbookViewId="0">
      <selection activeCell="J66" sqref="J66"/>
    </sheetView>
  </sheetViews>
  <sheetFormatPr defaultColWidth="9.42578125" defaultRowHeight="24"/>
  <cols>
    <col min="1" max="1" width="20.7109375" style="2216" customWidth="1"/>
    <col min="2" max="2" width="61" style="2264" customWidth="1"/>
    <col min="3" max="3" width="10.28515625" style="2265" bestFit="1" customWidth="1"/>
    <col min="4" max="4" width="12.7109375" style="2216" customWidth="1"/>
    <col min="5" max="6" width="15.5703125" style="2266" customWidth="1"/>
    <col min="7" max="7" width="16.28515625" style="2266" customWidth="1"/>
    <col min="8" max="8" width="15.42578125" style="2266" customWidth="1"/>
    <col min="9" max="9" width="15.85546875" style="2266" customWidth="1"/>
    <col min="10" max="10" width="16.140625" style="2264" customWidth="1"/>
    <col min="11" max="11" width="55.7109375" style="2264" customWidth="1"/>
    <col min="12" max="12" width="12" style="2216" customWidth="1"/>
    <col min="13" max="13" width="45.28515625" style="2264" customWidth="1"/>
    <col min="14" max="14" width="67.7109375" style="2264" customWidth="1"/>
    <col min="15" max="15" width="82.7109375" style="2264" customWidth="1"/>
    <col min="16" max="16" width="13" style="2264" customWidth="1"/>
    <col min="17" max="17" width="9.5703125" style="2264" bestFit="1" customWidth="1"/>
    <col min="18" max="18" width="9.42578125" style="2264"/>
    <col min="19" max="19" width="9.5703125" style="2264" bestFit="1" customWidth="1"/>
    <col min="20" max="20" width="10.28515625" style="2264" bestFit="1" customWidth="1"/>
    <col min="21" max="21" width="11.140625" style="2264" bestFit="1" customWidth="1"/>
    <col min="22" max="16384" width="9.42578125" style="2264"/>
  </cols>
  <sheetData>
    <row r="1" spans="1:12" s="2202" customFormat="1" ht="27">
      <c r="A1" s="2622" t="str">
        <f>'10.ส่วนงานที่3 '!A1:F1</f>
        <v xml:space="preserve"> </v>
      </c>
      <c r="B1" s="2622"/>
      <c r="C1" s="2622"/>
      <c r="D1" s="2622"/>
      <c r="E1" s="2622"/>
      <c r="F1" s="2622"/>
      <c r="G1" s="2622"/>
      <c r="H1" s="2622"/>
      <c r="I1" s="2622"/>
      <c r="J1" s="2622"/>
      <c r="L1" s="2203"/>
    </row>
    <row r="2" spans="1:12" s="2205" customFormat="1">
      <c r="A2" s="2623"/>
      <c r="B2" s="2204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E2" s="2206"/>
      <c r="G2" s="1839"/>
      <c r="J2" s="2207"/>
      <c r="L2" s="2206"/>
    </row>
    <row r="3" spans="1:12" s="2205" customFormat="1">
      <c r="A3" s="2623"/>
      <c r="B3" s="2208" t="str">
        <f>'10.ส่วนงานที่3 '!B3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G3" s="1839"/>
      <c r="J3" s="2209"/>
      <c r="K3" s="2207"/>
      <c r="L3" s="2206"/>
    </row>
    <row r="4" spans="1:12" s="2205" customFormat="1">
      <c r="A4" s="2623"/>
      <c r="B4" s="2208" t="str">
        <f>'10.ส่วนงานที่3 '!B4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G4" s="1839"/>
      <c r="J4" s="2209"/>
      <c r="K4" s="2207"/>
      <c r="L4" s="2206"/>
    </row>
    <row r="5" spans="1:12" s="2205" customFormat="1">
      <c r="A5" s="2623"/>
      <c r="B5" s="2205" t="str">
        <f>'10.ส่วนงานที่3 '!B5</f>
        <v>แบบเลขที่  RMUTP-DOA-63-4-PL001.</v>
      </c>
      <c r="G5" s="1839"/>
      <c r="J5" s="2209"/>
      <c r="K5" s="2207"/>
      <c r="L5" s="2206"/>
    </row>
    <row r="6" spans="1:12" s="2210" customFormat="1">
      <c r="A6" s="2623"/>
      <c r="B6" s="2210" t="str">
        <f>'10.ส่วนงานที่3 '!B6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2211"/>
      <c r="D6" s="2211"/>
      <c r="E6" s="2212"/>
      <c r="G6" s="1846"/>
      <c r="J6" s="2213"/>
      <c r="K6" s="2214"/>
      <c r="L6" s="2215"/>
    </row>
    <row r="7" spans="1:12" s="2210" customFormat="1">
      <c r="A7" s="2623"/>
      <c r="B7" s="2210" t="str">
        <f>'10.ส่วนงานที่3 '!B7</f>
        <v>คำนวณราคากลาง   เมื่อวันที่ 16  เดือน สิงหาคม พ.ศ. 2567</v>
      </c>
      <c r="C7" s="2211"/>
      <c r="D7" s="2211"/>
      <c r="E7" s="2212"/>
      <c r="G7" s="1846"/>
      <c r="J7" s="2216" t="s">
        <v>146</v>
      </c>
      <c r="K7" s="2214"/>
      <c r="L7" s="2215"/>
    </row>
    <row r="8" spans="1:12" s="2217" customFormat="1">
      <c r="A8" s="2623"/>
      <c r="B8" s="2210"/>
      <c r="E8" s="2211"/>
      <c r="F8" s="2218"/>
      <c r="G8" s="2218"/>
      <c r="H8" s="2218"/>
      <c r="I8" s="2218"/>
      <c r="J8" s="2212"/>
      <c r="L8" s="2219"/>
    </row>
    <row r="9" spans="1:12" s="2220" customFormat="1" ht="27">
      <c r="A9" s="2624" t="s">
        <v>52</v>
      </c>
      <c r="B9" s="2624" t="s">
        <v>53</v>
      </c>
      <c r="C9" s="2626" t="s">
        <v>54</v>
      </c>
      <c r="D9" s="2626" t="s">
        <v>55</v>
      </c>
      <c r="E9" s="2626" t="s">
        <v>56</v>
      </c>
      <c r="F9" s="2626"/>
      <c r="G9" s="2626" t="s">
        <v>56</v>
      </c>
      <c r="H9" s="2626"/>
      <c r="I9" s="2624" t="s">
        <v>64</v>
      </c>
      <c r="J9" s="2627" t="s">
        <v>58</v>
      </c>
    </row>
    <row r="10" spans="1:12" s="2220" customFormat="1" ht="27">
      <c r="A10" s="2625"/>
      <c r="B10" s="2625"/>
      <c r="C10" s="2626"/>
      <c r="D10" s="2626"/>
      <c r="E10" s="2109" t="s">
        <v>1240</v>
      </c>
      <c r="F10" s="2109" t="s">
        <v>60</v>
      </c>
      <c r="G10" s="2109" t="s">
        <v>62</v>
      </c>
      <c r="H10" s="2109" t="s">
        <v>63</v>
      </c>
      <c r="I10" s="2625"/>
      <c r="J10" s="2628"/>
    </row>
    <row r="11" spans="1:12" s="2220" customFormat="1">
      <c r="A11" s="2221"/>
      <c r="B11" s="2222" t="s">
        <v>1854</v>
      </c>
      <c r="C11" s="2223"/>
      <c r="D11" s="2224"/>
      <c r="E11" s="2115"/>
      <c r="F11" s="2115"/>
      <c r="G11" s="2115"/>
      <c r="H11" s="2115"/>
      <c r="I11" s="2115"/>
      <c r="J11" s="2115"/>
    </row>
    <row r="12" spans="1:12" s="2220" customFormat="1">
      <c r="A12" s="2221">
        <v>3.1</v>
      </c>
      <c r="B12" s="2222" t="s">
        <v>264</v>
      </c>
      <c r="C12" s="2223"/>
      <c r="D12" s="2224"/>
      <c r="E12" s="2115"/>
      <c r="F12" s="2115"/>
      <c r="G12" s="2115"/>
      <c r="H12" s="2115"/>
      <c r="I12" s="2115"/>
      <c r="J12" s="2115"/>
    </row>
    <row r="13" spans="1:12" s="2205" customFormat="1">
      <c r="A13" s="2225" t="s">
        <v>117</v>
      </c>
      <c r="B13" s="2226" t="s">
        <v>167</v>
      </c>
      <c r="C13" s="2227">
        <v>198</v>
      </c>
      <c r="D13" s="2228" t="s">
        <v>84</v>
      </c>
      <c r="E13" s="1900">
        <v>470</v>
      </c>
      <c r="F13" s="1900">
        <v>403</v>
      </c>
      <c r="G13" s="1900">
        <f>E13*C13</f>
        <v>93060</v>
      </c>
      <c r="H13" s="1900">
        <f>F13*C13</f>
        <v>79794</v>
      </c>
      <c r="I13" s="1900">
        <f>G13+H13</f>
        <v>172854</v>
      </c>
      <c r="J13" s="1900"/>
      <c r="K13" s="2205" t="s">
        <v>280</v>
      </c>
    </row>
    <row r="14" spans="1:12" s="2205" customFormat="1">
      <c r="A14" s="2229"/>
      <c r="B14" s="2230" t="s">
        <v>140</v>
      </c>
      <c r="C14" s="2231"/>
      <c r="D14" s="2232"/>
      <c r="E14" s="1900"/>
      <c r="F14" s="1900"/>
      <c r="G14" s="1900"/>
      <c r="H14" s="1900"/>
      <c r="I14" s="1900"/>
      <c r="J14" s="1906"/>
    </row>
    <row r="15" spans="1:12" s="2205" customFormat="1">
      <c r="A15" s="2229"/>
      <c r="B15" s="2230" t="s">
        <v>142</v>
      </c>
      <c r="C15" s="2231"/>
      <c r="D15" s="2232"/>
      <c r="E15" s="1900"/>
      <c r="F15" s="1900"/>
      <c r="G15" s="1900"/>
      <c r="H15" s="1900"/>
      <c r="I15" s="1900"/>
      <c r="J15" s="1906"/>
    </row>
    <row r="16" spans="1:12" s="2205" customFormat="1">
      <c r="A16" s="2229"/>
      <c r="B16" s="2230" t="s">
        <v>1855</v>
      </c>
      <c r="C16" s="2231"/>
      <c r="D16" s="2232"/>
      <c r="E16" s="1900"/>
      <c r="F16" s="1900"/>
      <c r="G16" s="1900"/>
      <c r="H16" s="1900"/>
      <c r="I16" s="1900"/>
      <c r="J16" s="1906"/>
    </row>
    <row r="17" spans="1:11" s="2205" customFormat="1">
      <c r="A17" s="2233" t="s">
        <v>118</v>
      </c>
      <c r="B17" s="2234" t="s">
        <v>141</v>
      </c>
      <c r="C17" s="2231">
        <f>C13*40.25</f>
        <v>7969.5</v>
      </c>
      <c r="D17" s="2232" t="s">
        <v>86</v>
      </c>
      <c r="E17" s="1900">
        <v>50</v>
      </c>
      <c r="F17" s="1900">
        <v>25</v>
      </c>
      <c r="G17" s="1900">
        <f>E17*C17</f>
        <v>398475</v>
      </c>
      <c r="H17" s="1900">
        <f>F17*C17</f>
        <v>199237.5</v>
      </c>
      <c r="I17" s="1900">
        <f>G17+H17</f>
        <v>597712.5</v>
      </c>
      <c r="J17" s="1906"/>
      <c r="K17" s="2205" t="s">
        <v>2036</v>
      </c>
    </row>
    <row r="18" spans="1:11" s="2205" customFormat="1">
      <c r="A18" s="2229"/>
      <c r="B18" s="2230" t="s">
        <v>1856</v>
      </c>
      <c r="C18" s="2231"/>
      <c r="D18" s="2232"/>
      <c r="E18" s="1900"/>
      <c r="F18" s="1900"/>
      <c r="G18" s="1900"/>
      <c r="H18" s="1900"/>
      <c r="I18" s="1900"/>
      <c r="J18" s="1906"/>
      <c r="K18" s="2205" t="s">
        <v>280</v>
      </c>
    </row>
    <row r="19" spans="1:11" s="2205" customFormat="1">
      <c r="A19" s="2229"/>
      <c r="B19" s="2230" t="s">
        <v>1855</v>
      </c>
      <c r="C19" s="2231"/>
      <c r="D19" s="2232"/>
      <c r="E19" s="1900"/>
      <c r="F19" s="1900"/>
      <c r="G19" s="1900"/>
      <c r="H19" s="1900"/>
      <c r="I19" s="1900"/>
      <c r="J19" s="1906"/>
    </row>
    <row r="20" spans="1:11" s="2205" customFormat="1">
      <c r="A20" s="2233" t="s">
        <v>119</v>
      </c>
      <c r="B20" s="2235" t="s">
        <v>1857</v>
      </c>
      <c r="C20" s="2231"/>
      <c r="D20" s="2232"/>
      <c r="E20" s="1900"/>
      <c r="F20" s="1900"/>
      <c r="G20" s="1900"/>
      <c r="H20" s="1900"/>
      <c r="I20" s="1900"/>
      <c r="J20" s="1906"/>
    </row>
    <row r="21" spans="1:11" s="2205" customFormat="1">
      <c r="A21" s="2229"/>
      <c r="B21" s="2230" t="s">
        <v>1858</v>
      </c>
      <c r="C21" s="2231">
        <f>28*2</f>
        <v>56</v>
      </c>
      <c r="D21" s="2232" t="s">
        <v>0</v>
      </c>
      <c r="E21" s="1900">
        <v>7000</v>
      </c>
      <c r="F21" s="1900">
        <v>0</v>
      </c>
      <c r="G21" s="1900">
        <f>E21*C21</f>
        <v>392000</v>
      </c>
      <c r="H21" s="1900">
        <f>F21*C21</f>
        <v>0</v>
      </c>
      <c r="I21" s="1900">
        <f>G21+H21</f>
        <v>392000</v>
      </c>
      <c r="J21" s="1906"/>
    </row>
    <row r="22" spans="1:11" s="2205" customFormat="1">
      <c r="A22" s="2229"/>
      <c r="B22" s="2230" t="s">
        <v>1800</v>
      </c>
      <c r="C22" s="2231"/>
      <c r="D22" s="2232"/>
      <c r="E22" s="1900"/>
      <c r="F22" s="1900"/>
      <c r="G22" s="1900"/>
      <c r="H22" s="1900"/>
      <c r="I22" s="1900"/>
      <c r="J22" s="1906"/>
      <c r="K22" s="2205" t="s">
        <v>280</v>
      </c>
    </row>
    <row r="23" spans="1:11" s="2205" customFormat="1">
      <c r="A23" s="2229"/>
      <c r="B23" s="2230" t="s">
        <v>1801</v>
      </c>
      <c r="C23" s="2231"/>
      <c r="D23" s="2232"/>
      <c r="E23" s="1900"/>
      <c r="F23" s="1900"/>
      <c r="G23" s="1900"/>
      <c r="H23" s="1900"/>
      <c r="I23" s="1900"/>
      <c r="J23" s="1906"/>
    </row>
    <row r="24" spans="1:11" s="2205" customFormat="1">
      <c r="A24" s="2229"/>
      <c r="B24" s="2230" t="s">
        <v>152</v>
      </c>
      <c r="C24" s="2231">
        <v>4</v>
      </c>
      <c r="D24" s="2232" t="s">
        <v>144</v>
      </c>
      <c r="E24" s="2236">
        <v>7000</v>
      </c>
      <c r="F24" s="1900">
        <v>0</v>
      </c>
      <c r="G24" s="1900">
        <f>E24*C24</f>
        <v>28000</v>
      </c>
      <c r="H24" s="1900">
        <f>F24*C24</f>
        <v>0</v>
      </c>
      <c r="I24" s="1900">
        <f>G24+H24</f>
        <v>28000</v>
      </c>
      <c r="J24" s="1906"/>
    </row>
    <row r="25" spans="1:11" s="2205" customFormat="1">
      <c r="A25" s="2229"/>
      <c r="B25" s="2230" t="s">
        <v>2032</v>
      </c>
      <c r="C25" s="2231"/>
      <c r="D25" s="2232"/>
      <c r="E25" s="1900"/>
      <c r="F25" s="1900"/>
      <c r="G25" s="1900"/>
      <c r="H25" s="1900"/>
      <c r="I25" s="1900"/>
      <c r="J25" s="1906"/>
      <c r="K25" s="2205" t="s">
        <v>280</v>
      </c>
    </row>
    <row r="26" spans="1:11" s="2205" customFormat="1" hidden="1">
      <c r="A26" s="2237"/>
      <c r="B26" s="2238"/>
      <c r="C26" s="2239"/>
      <c r="D26" s="2240"/>
      <c r="E26" s="2017"/>
      <c r="F26" s="2017"/>
      <c r="G26" s="2017"/>
      <c r="H26" s="2017"/>
      <c r="I26" s="2017"/>
      <c r="J26" s="2007"/>
    </row>
    <row r="27" spans="1:11" s="2205" customFormat="1">
      <c r="A27" s="2216"/>
      <c r="B27" s="2264"/>
      <c r="C27" s="2265"/>
      <c r="D27" s="2216"/>
      <c r="E27" s="2266"/>
      <c r="F27" s="2266"/>
      <c r="G27" s="2266"/>
      <c r="H27" s="2266"/>
      <c r="I27" s="2266"/>
      <c r="J27" s="2264"/>
    </row>
    <row r="28" spans="1:11" s="2205" customFormat="1">
      <c r="A28" s="2206"/>
      <c r="B28" s="2267" t="s">
        <v>133</v>
      </c>
      <c r="C28" s="2268"/>
      <c r="D28" s="2269"/>
      <c r="E28" s="2216"/>
      <c r="F28" s="2147"/>
    </row>
    <row r="29" spans="1:11" s="2205" customFormat="1">
      <c r="A29" s="2206"/>
      <c r="B29" s="2139" t="s">
        <v>1769</v>
      </c>
      <c r="C29" s="2208"/>
      <c r="D29" s="2135"/>
      <c r="E29" s="2139" t="s">
        <v>134</v>
      </c>
      <c r="F29" s="2216"/>
      <c r="G29" s="2270"/>
    </row>
    <row r="30" spans="1:11" s="2205" customFormat="1">
      <c r="A30" s="2206"/>
      <c r="B30" s="2147" t="s">
        <v>1970</v>
      </c>
      <c r="C30" s="2208"/>
      <c r="D30" s="2143"/>
      <c r="E30" s="2144" t="s">
        <v>1971</v>
      </c>
      <c r="G30" s="2270"/>
    </row>
    <row r="31" spans="1:11" s="2205" customFormat="1">
      <c r="A31" s="2206"/>
      <c r="B31" s="2139" t="s">
        <v>2031</v>
      </c>
      <c r="C31" s="2264"/>
      <c r="D31" s="2139"/>
      <c r="E31" s="2139" t="s">
        <v>2031</v>
      </c>
      <c r="F31" s="2271"/>
      <c r="G31" s="2271"/>
    </row>
    <row r="32" spans="1:11" s="2205" customFormat="1">
      <c r="A32" s="2206"/>
      <c r="B32" s="2147" t="s">
        <v>1984</v>
      </c>
      <c r="C32" s="2135"/>
      <c r="E32" s="2147" t="s">
        <v>1985</v>
      </c>
      <c r="F32" s="2139"/>
      <c r="G32" s="2139"/>
    </row>
    <row r="33" spans="1:25" s="2205" customFormat="1">
      <c r="A33" s="2206"/>
      <c r="B33" s="2139" t="s">
        <v>670</v>
      </c>
      <c r="C33" s="2143"/>
      <c r="D33" s="2139"/>
      <c r="E33" s="2139"/>
    </row>
    <row r="34" spans="1:25" s="2205" customFormat="1">
      <c r="B34" s="2147" t="s">
        <v>1972</v>
      </c>
      <c r="C34" s="2147"/>
      <c r="E34" s="2147"/>
    </row>
    <row r="35" spans="1:25" s="2205" customFormat="1">
      <c r="A35" s="2221">
        <v>3.2</v>
      </c>
      <c r="B35" s="2222" t="s">
        <v>143</v>
      </c>
      <c r="C35" s="2223"/>
      <c r="D35" s="2224"/>
      <c r="E35" s="2115"/>
      <c r="F35" s="2115"/>
      <c r="G35" s="2119"/>
      <c r="H35" s="2119"/>
      <c r="I35" s="2119"/>
      <c r="J35" s="2115"/>
    </row>
    <row r="36" spans="1:25" s="2220" customFormat="1">
      <c r="A36" s="2241" t="s">
        <v>159</v>
      </c>
      <c r="B36" s="2230" t="s">
        <v>1859</v>
      </c>
      <c r="C36" s="2242">
        <f>(3*2)*30*28</f>
        <v>5040</v>
      </c>
      <c r="D36" s="2228" t="s">
        <v>144</v>
      </c>
      <c r="E36" s="2242">
        <v>700</v>
      </c>
      <c r="F36" s="1900">
        <v>0</v>
      </c>
      <c r="G36" s="1900">
        <f>E36*C36</f>
        <v>3528000</v>
      </c>
      <c r="H36" s="1900">
        <f>F36*C36</f>
        <v>0</v>
      </c>
      <c r="I36" s="1900">
        <f>G36+H36</f>
        <v>3528000</v>
      </c>
      <c r="J36" s="1900"/>
      <c r="K36" s="2242">
        <v>700.43531090559998</v>
      </c>
      <c r="L36" s="2220" t="s">
        <v>2033</v>
      </c>
    </row>
    <row r="37" spans="1:25" s="2205" customFormat="1">
      <c r="A37" s="2229"/>
      <c r="B37" s="2230" t="s">
        <v>1860</v>
      </c>
      <c r="C37" s="2231"/>
      <c r="D37" s="2232"/>
      <c r="E37" s="1900"/>
      <c r="F37" s="1900"/>
      <c r="G37" s="1900"/>
      <c r="H37" s="1900"/>
      <c r="I37" s="1900"/>
      <c r="J37" s="1906"/>
      <c r="K37" s="2205" t="s">
        <v>280</v>
      </c>
    </row>
    <row r="38" spans="1:25" s="2205" customFormat="1">
      <c r="A38" s="2243"/>
      <c r="B38" s="2244" t="s">
        <v>2032</v>
      </c>
      <c r="C38" s="2245"/>
      <c r="D38" s="2246"/>
      <c r="E38" s="2247"/>
      <c r="F38" s="2247"/>
      <c r="G38" s="2247"/>
      <c r="H38" s="2247"/>
      <c r="I38" s="2247"/>
      <c r="J38" s="2247"/>
    </row>
    <row r="39" spans="1:25" s="2205" customFormat="1">
      <c r="A39" s="2221">
        <v>3.3</v>
      </c>
      <c r="B39" s="2222" t="s">
        <v>168</v>
      </c>
      <c r="C39" s="2223"/>
      <c r="D39" s="2224"/>
      <c r="E39" s="2115"/>
      <c r="F39" s="2115"/>
      <c r="G39" s="2119"/>
      <c r="H39" s="2119"/>
      <c r="I39" s="2119"/>
      <c r="J39" s="2115"/>
    </row>
    <row r="40" spans="1:25" s="2251" customFormat="1" ht="48">
      <c r="A40" s="2248" t="s">
        <v>161</v>
      </c>
      <c r="B40" s="2249" t="s">
        <v>1230</v>
      </c>
      <c r="C40" s="1920">
        <v>26</v>
      </c>
      <c r="D40" s="2250" t="s">
        <v>0</v>
      </c>
      <c r="E40" s="1948">
        <v>0</v>
      </c>
      <c r="F40" s="1922">
        <v>120000</v>
      </c>
      <c r="G40" s="1922">
        <f>E40*C40</f>
        <v>0</v>
      </c>
      <c r="H40" s="1922">
        <f>F40*C40</f>
        <v>3120000</v>
      </c>
      <c r="I40" s="1922">
        <f>G40+H40</f>
        <v>3120000</v>
      </c>
      <c r="J40" s="1922"/>
      <c r="K40" s="2251" t="s">
        <v>280</v>
      </c>
    </row>
    <row r="41" spans="1:25" s="2205" customFormat="1">
      <c r="A41" s="2229"/>
      <c r="B41" s="2230" t="s">
        <v>1802</v>
      </c>
      <c r="C41" s="2231">
        <v>1</v>
      </c>
      <c r="D41" s="2232" t="s">
        <v>1229</v>
      </c>
      <c r="E41" s="1900">
        <v>0</v>
      </c>
      <c r="F41" s="1900">
        <v>150000</v>
      </c>
      <c r="G41" s="1900">
        <f>E41*C41</f>
        <v>0</v>
      </c>
      <c r="H41" s="1900">
        <f>F41*C41</f>
        <v>150000</v>
      </c>
      <c r="I41" s="1900">
        <f>G41+H41</f>
        <v>150000</v>
      </c>
      <c r="J41" s="1906"/>
    </row>
    <row r="42" spans="1:25" s="2205" customFormat="1">
      <c r="A42" s="2229"/>
      <c r="B42" s="2230" t="s">
        <v>1803</v>
      </c>
      <c r="C42" s="2231"/>
      <c r="D42" s="2232"/>
      <c r="E42" s="1900"/>
      <c r="F42" s="1900"/>
      <c r="G42" s="1900"/>
      <c r="H42" s="1900"/>
      <c r="I42" s="1900"/>
      <c r="J42" s="1906"/>
      <c r="L42" s="2205" t="s">
        <v>2034</v>
      </c>
    </row>
    <row r="43" spans="1:25" s="2205" customFormat="1">
      <c r="A43" s="2229"/>
      <c r="B43" s="2252" t="s">
        <v>1804</v>
      </c>
      <c r="C43" s="1909"/>
      <c r="D43" s="2232"/>
      <c r="E43" s="1930"/>
      <c r="F43" s="1900"/>
      <c r="G43" s="1900"/>
      <c r="H43" s="1900"/>
      <c r="I43" s="1900"/>
      <c r="J43" s="1906"/>
      <c r="K43" s="2205" t="s">
        <v>280</v>
      </c>
    </row>
    <row r="44" spans="1:25" s="2210" customFormat="1" ht="48">
      <c r="A44" s="2248" t="s">
        <v>162</v>
      </c>
      <c r="B44" s="2249" t="s">
        <v>1805</v>
      </c>
      <c r="C44" s="1920">
        <v>26</v>
      </c>
      <c r="D44" s="2250" t="s">
        <v>0</v>
      </c>
      <c r="E44" s="1948">
        <v>0</v>
      </c>
      <c r="F44" s="1922">
        <v>0</v>
      </c>
      <c r="G44" s="1922">
        <f>E44*C44</f>
        <v>0</v>
      </c>
      <c r="H44" s="1922">
        <f>F44*C44</f>
        <v>0</v>
      </c>
      <c r="I44" s="1922">
        <f>G44+H44</f>
        <v>0</v>
      </c>
      <c r="J44" s="1922"/>
    </row>
    <row r="45" spans="1:25" s="2205" customFormat="1">
      <c r="A45" s="2229"/>
      <c r="B45" s="2252" t="s">
        <v>1802</v>
      </c>
      <c r="C45" s="1909">
        <v>1</v>
      </c>
      <c r="D45" s="2232" t="s">
        <v>1229</v>
      </c>
      <c r="E45" s="1930">
        <v>0</v>
      </c>
      <c r="F45" s="1900">
        <v>0</v>
      </c>
      <c r="G45" s="1900">
        <f>E45*C45</f>
        <v>0</v>
      </c>
      <c r="H45" s="1900">
        <f>F45*C45</f>
        <v>0</v>
      </c>
      <c r="I45" s="1900">
        <f>G45+H45</f>
        <v>0</v>
      </c>
      <c r="J45" s="1906"/>
    </row>
    <row r="46" spans="1:25" s="2205" customFormat="1">
      <c r="A46" s="2229"/>
      <c r="B46" s="2252" t="s">
        <v>1803</v>
      </c>
      <c r="C46" s="1909"/>
      <c r="D46" s="2232"/>
      <c r="E46" s="1930"/>
      <c r="F46" s="1900"/>
      <c r="G46" s="1900"/>
      <c r="H46" s="1900"/>
      <c r="I46" s="1900"/>
      <c r="J46" s="1906"/>
    </row>
    <row r="47" spans="1:25" s="2205" customFormat="1">
      <c r="A47" s="2237" t="s">
        <v>189</v>
      </c>
      <c r="B47" s="2253" t="s">
        <v>1861</v>
      </c>
      <c r="C47" s="1956">
        <v>2544</v>
      </c>
      <c r="D47" s="2240" t="s">
        <v>85</v>
      </c>
      <c r="E47" s="2023">
        <v>220</v>
      </c>
      <c r="F47" s="2017">
        <v>0</v>
      </c>
      <c r="G47" s="2017">
        <f>E47*C47</f>
        <v>559680</v>
      </c>
      <c r="H47" s="2017">
        <f>F47*C47</f>
        <v>0</v>
      </c>
      <c r="I47" s="2017">
        <f>G47+H47</f>
        <v>559680</v>
      </c>
      <c r="J47" s="2007"/>
      <c r="K47" s="2205" t="s">
        <v>280</v>
      </c>
    </row>
    <row r="48" spans="1:25" s="2256" customFormat="1">
      <c r="A48" s="2221">
        <v>3.4</v>
      </c>
      <c r="B48" s="2254" t="s">
        <v>1231</v>
      </c>
      <c r="C48" s="2223"/>
      <c r="D48" s="2224"/>
      <c r="E48" s="2115"/>
      <c r="F48" s="2115"/>
      <c r="G48" s="2119"/>
      <c r="H48" s="2119"/>
      <c r="I48" s="2119"/>
      <c r="J48" s="2115"/>
      <c r="K48" s="2255"/>
      <c r="T48" s="2257"/>
      <c r="U48" s="2257"/>
      <c r="V48" s="2257"/>
      <c r="Y48" s="2255" t="s">
        <v>289</v>
      </c>
    </row>
    <row r="49" spans="1:24" s="2210" customFormat="1" ht="48">
      <c r="A49" s="2248" t="s">
        <v>211</v>
      </c>
      <c r="B49" s="2249" t="s">
        <v>1232</v>
      </c>
      <c r="C49" s="1920">
        <v>2880</v>
      </c>
      <c r="D49" s="1920" t="s">
        <v>85</v>
      </c>
      <c r="E49" s="1948">
        <v>0</v>
      </c>
      <c r="F49" s="1948">
        <v>0</v>
      </c>
      <c r="G49" s="1922">
        <f>E49*C49</f>
        <v>0</v>
      </c>
      <c r="H49" s="1922">
        <f>F49*C49</f>
        <v>0</v>
      </c>
      <c r="I49" s="1922">
        <f>G49+H49</f>
        <v>0</v>
      </c>
      <c r="J49" s="1922"/>
      <c r="K49" s="2210" t="s">
        <v>2029</v>
      </c>
    </row>
    <row r="50" spans="1:24" s="2205" customFormat="1" ht="24.75" thickBot="1">
      <c r="A50" s="2258"/>
      <c r="B50" s="2259"/>
      <c r="C50" s="2015"/>
      <c r="D50" s="2260"/>
      <c r="E50" s="1883"/>
      <c r="F50" s="2017"/>
      <c r="G50" s="2017"/>
      <c r="H50" s="2017"/>
      <c r="I50" s="2017"/>
      <c r="J50" s="2017"/>
    </row>
    <row r="51" spans="1:24" s="2220" customFormat="1" ht="25.5" thickTop="1" thickBot="1">
      <c r="A51" s="2261"/>
      <c r="B51" s="2262" t="str">
        <f>"รวมราคา "&amp;B11</f>
        <v>รวมราคา ส่วนงานที่ 3 ค่าใช้จ่ายพิเศษตามข้อกำหนด</v>
      </c>
      <c r="C51" s="2262"/>
      <c r="D51" s="2262"/>
      <c r="E51" s="2263"/>
      <c r="F51" s="2263"/>
      <c r="G51" s="2263">
        <f>SUM(G13:G50)</f>
        <v>4999215</v>
      </c>
      <c r="H51" s="2263">
        <f>SUM(H13:H50)</f>
        <v>3549031.5</v>
      </c>
      <c r="I51" s="2263">
        <f>SUM(I13:I50)</f>
        <v>8548246.5</v>
      </c>
      <c r="J51" s="2263"/>
    </row>
    <row r="52" spans="1:24" ht="24.75" thickTop="1"/>
    <row r="53" spans="1:24" s="2205" customFormat="1">
      <c r="A53" s="2206"/>
      <c r="B53" s="2267" t="s">
        <v>133</v>
      </c>
      <c r="C53" s="2268"/>
      <c r="D53" s="2269"/>
      <c r="E53" s="2216"/>
      <c r="F53" s="2147"/>
    </row>
    <row r="54" spans="1:24" s="2205" customFormat="1">
      <c r="A54" s="2206"/>
      <c r="B54" s="2139" t="s">
        <v>1769</v>
      </c>
      <c r="C54" s="2208"/>
      <c r="D54" s="2135"/>
      <c r="E54" s="2139" t="s">
        <v>134</v>
      </c>
      <c r="F54" s="2216"/>
      <c r="G54" s="2270"/>
    </row>
    <row r="55" spans="1:24" s="2205" customFormat="1">
      <c r="A55" s="2206"/>
      <c r="B55" s="2147" t="s">
        <v>1970</v>
      </c>
      <c r="C55" s="2208"/>
      <c r="D55" s="2143"/>
      <c r="E55" s="2144" t="s">
        <v>1971</v>
      </c>
      <c r="G55" s="2270"/>
      <c r="S55" s="2264"/>
    </row>
    <row r="56" spans="1:24" s="2205" customFormat="1">
      <c r="A56" s="2206"/>
      <c r="B56" s="2139" t="s">
        <v>2031</v>
      </c>
      <c r="C56" s="2264"/>
      <c r="D56" s="2139"/>
      <c r="E56" s="2139" t="s">
        <v>2031</v>
      </c>
      <c r="F56" s="2271"/>
      <c r="G56" s="2271"/>
    </row>
    <row r="57" spans="1:24" s="2205" customFormat="1">
      <c r="A57" s="2206"/>
      <c r="B57" s="2147" t="s">
        <v>1984</v>
      </c>
      <c r="C57" s="2135"/>
      <c r="E57" s="2147" t="s">
        <v>1985</v>
      </c>
      <c r="F57" s="2139"/>
      <c r="G57" s="2139"/>
    </row>
    <row r="58" spans="1:24" s="2205" customFormat="1">
      <c r="A58" s="2206"/>
      <c r="B58" s="2139" t="s">
        <v>670</v>
      </c>
      <c r="C58" s="2143"/>
      <c r="D58" s="2139"/>
      <c r="E58" s="2139"/>
    </row>
    <row r="59" spans="1:24" s="2205" customFormat="1">
      <c r="B59" s="2147" t="s">
        <v>1972</v>
      </c>
      <c r="C59" s="2147"/>
      <c r="E59" s="2147"/>
    </row>
    <row r="62" spans="1:24">
      <c r="Q62" s="2272"/>
      <c r="R62" s="2273"/>
      <c r="S62" s="2273"/>
      <c r="T62" s="2273"/>
      <c r="U62" s="2273"/>
      <c r="V62" s="2273"/>
      <c r="W62" s="2273"/>
      <c r="X62" s="2220"/>
    </row>
    <row r="63" spans="1:24">
      <c r="Q63" s="2272"/>
      <c r="R63" s="2273"/>
      <c r="S63" s="2273" t="s">
        <v>338</v>
      </c>
      <c r="T63" s="2274">
        <v>2066.1</v>
      </c>
      <c r="U63" s="2275">
        <v>1249.8800000000001</v>
      </c>
      <c r="V63" s="2276" t="s">
        <v>364</v>
      </c>
      <c r="W63" s="2273"/>
      <c r="X63" s="2220"/>
    </row>
    <row r="64" spans="1:24">
      <c r="Q64" s="2272"/>
      <c r="R64" s="2273"/>
      <c r="S64" s="2273" t="s">
        <v>339</v>
      </c>
      <c r="T64" s="2274">
        <v>1195.4000000000001</v>
      </c>
      <c r="U64" s="2275">
        <v>194.09</v>
      </c>
      <c r="V64" s="2276" t="s">
        <v>364</v>
      </c>
      <c r="W64" s="2273"/>
      <c r="X64" s="2220"/>
    </row>
    <row r="65" spans="17:24">
      <c r="Q65" s="2272"/>
      <c r="R65" s="2273"/>
      <c r="S65" s="2273" t="s">
        <v>340</v>
      </c>
      <c r="T65" s="2274">
        <v>1112</v>
      </c>
      <c r="U65" s="2275">
        <v>445.46</v>
      </c>
      <c r="V65" s="2276" t="s">
        <v>364</v>
      </c>
      <c r="W65" s="2273"/>
      <c r="X65" s="2220"/>
    </row>
    <row r="66" spans="17:24">
      <c r="Q66" s="2277"/>
      <c r="R66" s="2278"/>
      <c r="S66" s="2278" t="s">
        <v>341</v>
      </c>
      <c r="T66" s="2279">
        <v>1030.9000000000001</v>
      </c>
      <c r="U66" s="2280">
        <v>1173.82</v>
      </c>
      <c r="V66" s="2281" t="s">
        <v>364</v>
      </c>
      <c r="W66" s="2278"/>
      <c r="X66" s="2205"/>
    </row>
    <row r="67" spans="17:24">
      <c r="Q67" s="2277"/>
      <c r="R67" s="2278"/>
      <c r="S67" s="2278" t="s">
        <v>342</v>
      </c>
      <c r="T67" s="2279">
        <v>1051.0999999999999</v>
      </c>
      <c r="U67" s="2280">
        <v>1085.7</v>
      </c>
      <c r="V67" s="2281" t="s">
        <v>364</v>
      </c>
      <c r="W67" s="2278"/>
      <c r="X67" s="2205"/>
    </row>
    <row r="68" spans="17:24">
      <c r="Q68" s="2277"/>
      <c r="R68" s="2278"/>
      <c r="S68" s="2278" t="s">
        <v>358</v>
      </c>
      <c r="T68" s="2279">
        <v>1085</v>
      </c>
      <c r="U68" s="2280">
        <v>1085.7</v>
      </c>
      <c r="V68" s="2281" t="s">
        <v>364</v>
      </c>
      <c r="W68" s="2278"/>
      <c r="X68" s="2205"/>
    </row>
    <row r="69" spans="17:24">
      <c r="Q69" s="2277"/>
      <c r="R69" s="2278"/>
      <c r="S69" s="2278" t="s">
        <v>359</v>
      </c>
      <c r="T69" s="2279">
        <v>1193.3</v>
      </c>
      <c r="U69" s="2280">
        <v>1085.7</v>
      </c>
      <c r="V69" s="2281" t="s">
        <v>364</v>
      </c>
      <c r="W69" s="2278"/>
      <c r="X69" s="2205"/>
    </row>
    <row r="70" spans="17:24">
      <c r="Q70" s="2277"/>
      <c r="R70" s="2278"/>
      <c r="S70" s="2278" t="s">
        <v>580</v>
      </c>
      <c r="T70" s="2279">
        <v>644.29999999999995</v>
      </c>
      <c r="U70" s="2280">
        <v>1085.7</v>
      </c>
      <c r="V70" s="2281" t="s">
        <v>364</v>
      </c>
      <c r="W70" s="2205"/>
      <c r="X70" s="2205"/>
    </row>
    <row r="71" spans="17:24">
      <c r="Q71" s="2277"/>
      <c r="R71" s="2278"/>
      <c r="S71" s="2278" t="s">
        <v>581</v>
      </c>
      <c r="T71" s="2279">
        <v>638.79999999999995</v>
      </c>
      <c r="U71" s="2280">
        <v>1173.82</v>
      </c>
      <c r="V71" s="2281" t="s">
        <v>364</v>
      </c>
      <c r="W71" s="2205"/>
      <c r="X71" s="2205"/>
    </row>
    <row r="72" spans="17:24">
      <c r="Q72" s="2277"/>
      <c r="R72" s="2278"/>
      <c r="S72" s="2278" t="s">
        <v>582</v>
      </c>
      <c r="T72" s="2279">
        <v>533.29999999999995</v>
      </c>
      <c r="U72" s="2280">
        <v>881.6</v>
      </c>
      <c r="V72" s="2281" t="s">
        <v>364</v>
      </c>
      <c r="W72" s="2205"/>
      <c r="X72" s="2205"/>
    </row>
    <row r="73" spans="17:24">
      <c r="Q73" s="2277"/>
      <c r="R73" s="2278"/>
      <c r="S73" s="2278"/>
      <c r="T73" s="2282">
        <v>9379</v>
      </c>
      <c r="U73" s="2280">
        <f>SUM(U63:U72)</f>
        <v>9461.4699999999993</v>
      </c>
      <c r="V73" s="2281" t="s">
        <v>364</v>
      </c>
      <c r="W73" s="2205"/>
      <c r="X73" s="2205"/>
    </row>
    <row r="74" spans="17:24" ht="96">
      <c r="Q74" s="2277"/>
      <c r="R74" s="2278"/>
      <c r="S74" s="2283" t="s">
        <v>568</v>
      </c>
      <c r="T74" s="2283" t="s">
        <v>569</v>
      </c>
      <c r="U74" s="2278"/>
      <c r="V74" s="2278"/>
      <c r="W74" s="2205"/>
      <c r="X74" s="2205"/>
    </row>
    <row r="75" spans="17:24">
      <c r="Q75" s="2277"/>
      <c r="R75" s="2278"/>
      <c r="S75" s="2283"/>
      <c r="T75" s="2283"/>
      <c r="U75" s="2278"/>
      <c r="V75" s="2278"/>
      <c r="W75" s="2205"/>
      <c r="X75" s="2205"/>
    </row>
    <row r="76" spans="17:24">
      <c r="Q76" s="2277">
        <v>1</v>
      </c>
      <c r="R76" s="2278" t="s">
        <v>570</v>
      </c>
      <c r="S76" s="2278">
        <v>15</v>
      </c>
      <c r="T76" s="2278">
        <v>120</v>
      </c>
      <c r="U76" s="2284">
        <f>T73/T76</f>
        <v>78.158333333333331</v>
      </c>
      <c r="V76" s="2278"/>
      <c r="W76" s="2205"/>
      <c r="X76" s="2205"/>
    </row>
    <row r="77" spans="17:24">
      <c r="Q77" s="2277">
        <v>2</v>
      </c>
      <c r="R77" s="2278" t="s">
        <v>571</v>
      </c>
      <c r="S77" s="2278">
        <v>30</v>
      </c>
      <c r="T77" s="2278">
        <v>50</v>
      </c>
      <c r="U77" s="2284">
        <f>T73/T77</f>
        <v>187.58</v>
      </c>
      <c r="V77" s="2278"/>
      <c r="W77" s="2205"/>
      <c r="X77" s="2205"/>
    </row>
    <row r="78" spans="17:24">
      <c r="Q78" s="2277"/>
      <c r="R78" s="2278" t="s">
        <v>572</v>
      </c>
      <c r="S78" s="2278"/>
      <c r="T78" s="2278"/>
      <c r="U78" s="2278"/>
      <c r="V78" s="2278"/>
      <c r="W78" s="2205"/>
      <c r="X78" s="2205"/>
    </row>
    <row r="79" spans="17:24">
      <c r="Q79" s="2277">
        <v>3</v>
      </c>
      <c r="R79" s="2278" t="s">
        <v>573</v>
      </c>
      <c r="S79" s="2278">
        <v>45</v>
      </c>
      <c r="T79" s="2278">
        <v>40</v>
      </c>
      <c r="U79" s="2284">
        <f>T63/T79</f>
        <v>51.652499999999996</v>
      </c>
      <c r="V79" s="2278"/>
      <c r="W79" s="2205"/>
      <c r="X79" s="2205"/>
    </row>
    <row r="80" spans="17:24">
      <c r="Q80" s="2277"/>
      <c r="R80" s="2278" t="s">
        <v>574</v>
      </c>
      <c r="S80" s="2278"/>
      <c r="T80" s="2278"/>
      <c r="U80" s="2278"/>
      <c r="V80" s="2278"/>
      <c r="W80" s="2205"/>
      <c r="X80" s="2205"/>
    </row>
    <row r="81" spans="17:24">
      <c r="Q81" s="2277">
        <v>4</v>
      </c>
      <c r="R81" s="2278" t="s">
        <v>573</v>
      </c>
      <c r="S81" s="2278">
        <v>60</v>
      </c>
      <c r="T81" s="2278">
        <v>40</v>
      </c>
      <c r="U81" s="2284">
        <f>T64/T81</f>
        <v>29.885000000000002</v>
      </c>
      <c r="V81" s="2278"/>
      <c r="W81" s="2205"/>
      <c r="X81" s="2205"/>
    </row>
    <row r="82" spans="17:24">
      <c r="Q82" s="2272"/>
      <c r="R82" s="2273" t="s">
        <v>575</v>
      </c>
      <c r="S82" s="2273"/>
      <c r="T82" s="2273"/>
      <c r="U82" s="2273"/>
      <c r="V82" s="2273"/>
      <c r="W82" s="2220"/>
      <c r="X82" s="2220"/>
    </row>
    <row r="83" spans="17:24">
      <c r="Q83" s="2277">
        <v>5</v>
      </c>
      <c r="R83" s="2278" t="s">
        <v>573</v>
      </c>
      <c r="S83" s="2278">
        <v>30</v>
      </c>
      <c r="T83" s="2278">
        <v>40</v>
      </c>
      <c r="U83" s="2284">
        <f>T65/T83</f>
        <v>27.8</v>
      </c>
      <c r="V83" s="2278"/>
      <c r="W83" s="2205"/>
      <c r="X83" s="2205"/>
    </row>
    <row r="84" spans="17:24">
      <c r="Q84" s="2277">
        <v>6</v>
      </c>
      <c r="R84" s="2278" t="s">
        <v>573</v>
      </c>
      <c r="S84" s="2278">
        <v>30</v>
      </c>
      <c r="T84" s="2278">
        <v>40</v>
      </c>
      <c r="U84" s="2284">
        <f>T66/T84</f>
        <v>25.772500000000001</v>
      </c>
      <c r="V84" s="2278"/>
      <c r="W84" s="2205"/>
      <c r="X84" s="2205"/>
    </row>
    <row r="85" spans="17:24">
      <c r="Q85" s="2277"/>
      <c r="R85" s="2278" t="s">
        <v>576</v>
      </c>
      <c r="S85" s="2278"/>
      <c r="T85" s="2278"/>
      <c r="U85" s="2284"/>
      <c r="V85" s="2278"/>
      <c r="W85" s="2205"/>
      <c r="X85" s="2205"/>
    </row>
    <row r="86" spans="17:24">
      <c r="Q86" s="2285">
        <v>7</v>
      </c>
      <c r="R86" s="2286" t="s">
        <v>573</v>
      </c>
      <c r="S86" s="2286">
        <v>30</v>
      </c>
      <c r="T86" s="2286">
        <v>40</v>
      </c>
      <c r="U86" s="2287">
        <f>T67/T86</f>
        <v>26.277499999999996</v>
      </c>
      <c r="V86" s="2286"/>
      <c r="W86" s="2286"/>
      <c r="X86" s="2251"/>
    </row>
    <row r="87" spans="17:24">
      <c r="Q87" s="2277"/>
      <c r="R87" s="2278" t="s">
        <v>579</v>
      </c>
      <c r="S87" s="2278"/>
      <c r="T87" s="2278"/>
      <c r="U87" s="2284"/>
      <c r="V87" s="2278"/>
      <c r="W87" s="2205"/>
      <c r="X87" s="2205"/>
    </row>
    <row r="88" spans="17:24">
      <c r="Q88" s="2277"/>
      <c r="R88" s="2278"/>
      <c r="S88" s="2278"/>
      <c r="T88" s="2278"/>
      <c r="U88" s="2284"/>
      <c r="V88" s="2278"/>
      <c r="W88" s="2205"/>
      <c r="X88" s="2205"/>
    </row>
    <row r="89" spans="17:24">
      <c r="Q89" s="2277">
        <v>9</v>
      </c>
      <c r="R89" s="2278" t="s">
        <v>573</v>
      </c>
      <c r="S89" s="2278">
        <v>30</v>
      </c>
      <c r="T89" s="2278">
        <v>40</v>
      </c>
      <c r="U89" s="2284">
        <f>T69/T89</f>
        <v>29.8325</v>
      </c>
      <c r="V89" s="2278"/>
      <c r="W89" s="2278"/>
      <c r="X89" s="2205"/>
    </row>
    <row r="90" spans="17:24">
      <c r="Q90" s="2288"/>
      <c r="R90" s="2289"/>
      <c r="S90" s="2210"/>
      <c r="T90" s="2289"/>
      <c r="U90" s="2290"/>
      <c r="V90" s="2210"/>
      <c r="W90" s="2210"/>
      <c r="X90" s="2210"/>
    </row>
    <row r="91" spans="17:24">
      <c r="Q91" s="2277"/>
      <c r="R91" s="2278" t="s">
        <v>579</v>
      </c>
      <c r="S91" s="2278"/>
      <c r="T91" s="2278"/>
      <c r="U91" s="2284"/>
      <c r="V91" s="2278"/>
      <c r="W91" s="2278"/>
      <c r="X91" s="2205"/>
    </row>
    <row r="92" spans="17:24">
      <c r="Q92" s="2277"/>
      <c r="R92" s="2278"/>
      <c r="S92" s="2278"/>
      <c r="T92" s="2278"/>
      <c r="U92" s="2284"/>
      <c r="V92" s="2278"/>
      <c r="W92" s="2278"/>
      <c r="X92" s="2205"/>
    </row>
    <row r="93" spans="17:24">
      <c r="Q93" s="2277">
        <v>9</v>
      </c>
      <c r="R93" s="2278" t="s">
        <v>573</v>
      </c>
      <c r="S93" s="2278">
        <v>30</v>
      </c>
      <c r="T93" s="2278">
        <v>40</v>
      </c>
      <c r="U93" s="2284">
        <f>T73/T93</f>
        <v>234.47499999999999</v>
      </c>
      <c r="V93" s="2278"/>
      <c r="W93" s="2278"/>
      <c r="X93" s="2205"/>
    </row>
    <row r="94" spans="17:24">
      <c r="Q94" s="2282"/>
      <c r="R94" s="2282"/>
      <c r="S94" s="2256"/>
      <c r="T94" s="2282"/>
      <c r="U94" s="2256"/>
      <c r="V94" s="2257"/>
      <c r="W94" s="2257"/>
      <c r="X94" s="2257"/>
    </row>
    <row r="95" spans="17:24">
      <c r="Q95" s="2291"/>
      <c r="R95" s="2292" t="s">
        <v>583</v>
      </c>
      <c r="S95" s="2292"/>
      <c r="T95" s="2292"/>
      <c r="U95" s="2292"/>
      <c r="V95" s="2292"/>
      <c r="W95" s="2292"/>
      <c r="X95" s="2210"/>
    </row>
    <row r="96" spans="17:24">
      <c r="Q96" s="2293"/>
      <c r="R96" s="2294"/>
      <c r="S96" s="2294"/>
      <c r="T96" s="2294"/>
      <c r="U96" s="2294"/>
      <c r="V96" s="2294"/>
      <c r="W96" s="2294"/>
      <c r="X96" s="2205"/>
    </row>
    <row r="97" spans="17:24">
      <c r="Q97" s="2295"/>
      <c r="R97" s="2296"/>
      <c r="S97" s="2296"/>
      <c r="T97" s="2296"/>
      <c r="U97" s="2297">
        <f>SUM(U76:U94)</f>
        <v>691.43333333333328</v>
      </c>
      <c r="V97" s="2296" t="s">
        <v>169</v>
      </c>
      <c r="W97" s="2296"/>
      <c r="X97" s="2220"/>
    </row>
    <row r="98" spans="17:24">
      <c r="Q98" s="2298"/>
      <c r="R98" s="2299" t="s">
        <v>577</v>
      </c>
      <c r="S98" s="2300"/>
      <c r="T98" s="2300"/>
      <c r="U98" s="2301">
        <f>U97*1.1</f>
        <v>760.57666666666671</v>
      </c>
      <c r="V98" s="2300" t="s">
        <v>169</v>
      </c>
      <c r="W98" s="2300"/>
    </row>
    <row r="99" spans="17:24">
      <c r="Q99" s="2302"/>
      <c r="R99" s="2303" t="s">
        <v>578</v>
      </c>
      <c r="S99" s="2304"/>
      <c r="T99" s="2304"/>
      <c r="U99" s="2305">
        <f>U98/30</f>
        <v>25.352555555555558</v>
      </c>
      <c r="V99" s="2304" t="s">
        <v>0</v>
      </c>
      <c r="W99" s="2304"/>
    </row>
    <row r="100" spans="17:24">
      <c r="Q100" s="2302"/>
      <c r="R100" s="2304"/>
      <c r="S100" s="2304"/>
      <c r="T100" s="2304"/>
      <c r="U100" s="2304"/>
      <c r="V100" s="2304"/>
      <c r="W100" s="2304"/>
    </row>
  </sheetData>
  <mergeCells count="10">
    <mergeCell ref="A1:J1"/>
    <mergeCell ref="A2:A8"/>
    <mergeCell ref="A9:A10"/>
    <mergeCell ref="B9:B10"/>
    <mergeCell ref="C9:C10"/>
    <mergeCell ref="D9:D10"/>
    <mergeCell ref="E9:F9"/>
    <mergeCell ref="G9:H9"/>
    <mergeCell ref="I9:I10"/>
    <mergeCell ref="J9:J10"/>
  </mergeCells>
  <phoneticPr fontId="17" type="noConversion"/>
  <printOptions horizontalCentered="1"/>
  <pageMargins left="0.23622047244094491" right="0.23622047244094491" top="0.51181102362204722" bottom="0.27559055118110237" header="0.51181102362204722" footer="0.35433070866141736"/>
  <pageSetup paperSize="9" scale="52" fitToHeight="0" orientation="landscape" r:id="rId1"/>
  <headerFooter alignWithMargins="0">
    <oddHeader>&amp;R&amp;"TH Sarabun New,Regular"&amp;16แบบ ปร.4(พ) หน้าที่ &amp;P จาก &amp;N</oddHeader>
  </headerFooter>
  <rowBreaks count="1" manualBreakCount="1">
    <brk id="34" max="9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J27"/>
  <sheetViews>
    <sheetView showGridLines="0" view="pageBreakPreview" zoomScale="85" zoomScaleNormal="100" zoomScaleSheetLayoutView="85" workbookViewId="0">
      <selection activeCell="E21" sqref="E21"/>
    </sheetView>
  </sheetViews>
  <sheetFormatPr defaultColWidth="16.5703125" defaultRowHeight="24" customHeight="1"/>
  <cols>
    <col min="1" max="1" width="27" style="139" customWidth="1"/>
    <col min="2" max="2" width="78.5703125" style="137" customWidth="1"/>
    <col min="3" max="3" width="19.42578125" style="227" customWidth="1"/>
    <col min="4" max="4" width="19.140625" style="227" customWidth="1"/>
    <col min="5" max="5" width="19.85546875" style="227" customWidth="1"/>
    <col min="6" max="6" width="17.28515625" style="227" customWidth="1"/>
    <col min="7" max="7" width="37.42578125" style="187" customWidth="1"/>
    <col min="8" max="8" width="26.5703125" style="187" customWidth="1"/>
    <col min="9" max="9" width="16.5703125" style="187"/>
    <col min="10" max="16384" width="16.5703125" style="156"/>
  </cols>
  <sheetData>
    <row r="1" spans="1:10" s="234" customFormat="1" ht="39" customHeight="1">
      <c r="A1" s="2629" t="str">
        <f>งานครุภัณฑ์จัดชื้อ!A1</f>
        <v xml:space="preserve"> </v>
      </c>
      <c r="B1" s="2629"/>
      <c r="C1" s="2629"/>
      <c r="D1" s="2629"/>
      <c r="E1" s="2629"/>
      <c r="F1" s="2629"/>
      <c r="G1" s="233"/>
      <c r="H1" s="233"/>
      <c r="I1" s="233"/>
      <c r="J1" s="233"/>
    </row>
    <row r="2" spans="1:10" s="137" customFormat="1" ht="24" customHeight="1">
      <c r="A2" s="2343"/>
      <c r="B2" s="162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142"/>
      <c r="H2" s="178"/>
      <c r="J2" s="141"/>
    </row>
    <row r="3" spans="1:10" s="137" customFormat="1" ht="24" customHeight="1">
      <c r="A3" s="2343"/>
      <c r="B3" s="143" t="str">
        <f>งานครุภัณฑ์จัดชื้อ!C3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H3" s="178"/>
      <c r="J3" s="141"/>
    </row>
    <row r="4" spans="1:10" s="137" customFormat="1" ht="24" customHeight="1">
      <c r="A4" s="2343"/>
      <c r="B4" s="143" t="str">
        <f>งานครุภัณฑ์จัดชื้อ!C4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H4" s="178"/>
      <c r="J4" s="141"/>
    </row>
    <row r="5" spans="1:10" s="137" customFormat="1" ht="24" customHeight="1">
      <c r="A5" s="2343"/>
      <c r="B5" s="162" t="str">
        <f>งานครุภัณฑ์จัดชื้อ!C5</f>
        <v>แบบเลขที่  RMUTP-DOA-63-4-PL001.</v>
      </c>
      <c r="H5" s="178"/>
      <c r="J5" s="141"/>
    </row>
    <row r="6" spans="1:10" s="144" customFormat="1" ht="24" customHeight="1">
      <c r="A6" s="2343"/>
      <c r="B6" s="162" t="str">
        <f>งานครุภัณฑ์จัดชื้อ!C6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46"/>
      <c r="D6" s="146"/>
      <c r="E6" s="146"/>
      <c r="F6" s="147"/>
      <c r="H6" s="189"/>
      <c r="J6" s="148"/>
    </row>
    <row r="7" spans="1:10" s="144" customFormat="1" ht="24" customHeight="1">
      <c r="A7" s="2343"/>
      <c r="B7" s="162" t="str">
        <f>งานครุภัณฑ์จัดชื้อ!C7</f>
        <v>คำนวณราคากลาง   เมื่อวันที่ 16  เดือน สิงหาคม พ.ศ. 2567</v>
      </c>
      <c r="C7" s="146"/>
      <c r="D7" s="146"/>
      <c r="E7" s="149"/>
      <c r="F7" s="259" t="s">
        <v>146</v>
      </c>
      <c r="H7" s="189"/>
      <c r="J7" s="148"/>
    </row>
    <row r="8" spans="1:10" s="151" customFormat="1" ht="24" customHeight="1">
      <c r="A8" s="2343"/>
      <c r="B8" s="144"/>
      <c r="C8" s="146"/>
      <c r="E8" s="190"/>
      <c r="F8" s="147"/>
      <c r="G8" s="235"/>
      <c r="H8" s="235"/>
      <c r="I8" s="235"/>
    </row>
    <row r="9" spans="1:10" s="237" customFormat="1" ht="24" customHeight="1">
      <c r="A9" s="2561" t="s">
        <v>52</v>
      </c>
      <c r="B9" s="2561" t="s">
        <v>53</v>
      </c>
      <c r="C9" s="2561" t="s">
        <v>1772</v>
      </c>
      <c r="D9" s="2561"/>
      <c r="E9" s="2561"/>
      <c r="F9" s="2561" t="s">
        <v>58</v>
      </c>
      <c r="G9" s="236"/>
      <c r="H9" s="236"/>
      <c r="I9" s="236"/>
    </row>
    <row r="10" spans="1:10" s="237" customFormat="1" ht="24" customHeight="1">
      <c r="A10" s="2561"/>
      <c r="B10" s="2561"/>
      <c r="C10" s="366" t="s">
        <v>62</v>
      </c>
      <c r="D10" s="366" t="s">
        <v>63</v>
      </c>
      <c r="E10" s="366" t="s">
        <v>64</v>
      </c>
      <c r="F10" s="2561"/>
      <c r="G10" s="236"/>
      <c r="H10" s="236"/>
      <c r="I10" s="236"/>
    </row>
    <row r="11" spans="1:10" ht="24" customHeight="1">
      <c r="A11" s="381">
        <v>3</v>
      </c>
      <c r="B11" s="382" t="s">
        <v>1854</v>
      </c>
      <c r="C11" s="383"/>
      <c r="D11" s="383"/>
      <c r="E11" s="383"/>
      <c r="F11" s="384"/>
    </row>
    <row r="12" spans="1:10" ht="24" customHeight="1">
      <c r="A12" s="238">
        <v>3.1</v>
      </c>
      <c r="B12" s="239" t="str">
        <f>ค่าใช้จ่ายพิเศษ!B51</f>
        <v>รวมราคา ส่วนงานที่ 3 ค่าใช้จ่ายพิเศษตามข้อกำหนด</v>
      </c>
      <c r="C12" s="154">
        <f>ค่าใช้จ่ายพิเศษ!F51</f>
        <v>0</v>
      </c>
      <c r="D12" s="154">
        <f>ค่าใช้จ่ายพิเศษ!I51</f>
        <v>8548246.5</v>
      </c>
      <c r="E12" s="154">
        <f>D12+C12</f>
        <v>8548246.5</v>
      </c>
      <c r="F12" s="154"/>
    </row>
    <row r="13" spans="1:10" ht="24" customHeight="1">
      <c r="A13" s="263"/>
      <c r="B13" s="264"/>
      <c r="C13" s="193"/>
      <c r="D13" s="193"/>
      <c r="E13" s="193"/>
      <c r="F13" s="193"/>
    </row>
    <row r="14" spans="1:10" s="152" customFormat="1" ht="24" customHeight="1" thickBot="1">
      <c r="A14" s="346"/>
      <c r="B14" s="367" t="str">
        <f>"รวมราคา "&amp;B12</f>
        <v>รวมราคา รวมราคา ส่วนงานที่ 3 ค่าใช้จ่ายพิเศษตามข้อกำหนด</v>
      </c>
      <c r="C14" s="347">
        <f>SUM(C12:C13)</f>
        <v>0</v>
      </c>
      <c r="D14" s="347">
        <f>SUM(D12:D13)</f>
        <v>8548246.5</v>
      </c>
      <c r="E14" s="347">
        <f>SUM(E12:E13)</f>
        <v>8548246.5</v>
      </c>
      <c r="F14" s="347"/>
      <c r="G14" s="232"/>
      <c r="H14" s="232"/>
      <c r="I14" s="232"/>
    </row>
    <row r="15" spans="1:10" s="206" customFormat="1" ht="24" customHeight="1" thickTop="1" thickBot="1">
      <c r="A15" s="362"/>
      <c r="B15" s="379" t="str">
        <f>"รวมราคา "&amp;B11</f>
        <v>รวมราคา ส่วนงานที่ 3 ค่าใช้จ่ายพิเศษตามข้อกำหนด</v>
      </c>
      <c r="C15" s="385">
        <f>C14</f>
        <v>0</v>
      </c>
      <c r="D15" s="385">
        <f>D14</f>
        <v>8548246.5</v>
      </c>
      <c r="E15" s="385">
        <f>E14</f>
        <v>8548246.5</v>
      </c>
      <c r="F15" s="386"/>
      <c r="G15" s="387"/>
      <c r="H15" s="232"/>
      <c r="I15" s="232"/>
    </row>
    <row r="16" spans="1:10" s="174" customFormat="1" ht="24" customHeight="1" thickTop="1">
      <c r="A16" s="139"/>
      <c r="B16" s="202"/>
      <c r="C16" s="181"/>
      <c r="H16" s="187"/>
      <c r="I16" s="187"/>
    </row>
    <row r="17" spans="1:8" s="137" customFormat="1" ht="24" customHeight="1">
      <c r="A17" s="139"/>
      <c r="B17" s="265"/>
      <c r="C17" s="265"/>
      <c r="D17" s="265"/>
      <c r="E17" s="260"/>
      <c r="F17" s="202"/>
    </row>
    <row r="18" spans="1:8" s="137" customFormat="1" ht="24" customHeight="1">
      <c r="A18" s="139"/>
      <c r="B18" s="881" t="s">
        <v>133</v>
      </c>
      <c r="C18" s="175"/>
      <c r="E18" s="177"/>
      <c r="F18" s="191"/>
      <c r="G18" s="168"/>
      <c r="H18" s="242"/>
    </row>
    <row r="19" spans="1:8" s="137" customFormat="1" ht="24" customHeight="1">
      <c r="A19" s="139"/>
      <c r="B19" s="176" t="s">
        <v>1769</v>
      </c>
      <c r="C19" s="176" t="s">
        <v>134</v>
      </c>
      <c r="F19" s="173"/>
      <c r="G19" s="243"/>
      <c r="H19" s="242"/>
    </row>
    <row r="20" spans="1:8" s="137" customFormat="1" ht="24" customHeight="1">
      <c r="A20" s="139"/>
      <c r="B20" s="174" t="s">
        <v>1970</v>
      </c>
      <c r="C20" s="227" t="s">
        <v>1971</v>
      </c>
      <c r="F20" s="156"/>
      <c r="G20" s="168"/>
      <c r="H20" s="242"/>
    </row>
    <row r="21" spans="1:8" s="137" customFormat="1" ht="24" customHeight="1">
      <c r="A21" s="139"/>
      <c r="B21" s="176" t="s">
        <v>2035</v>
      </c>
      <c r="C21" s="176" t="s">
        <v>2035</v>
      </c>
      <c r="E21" s="137" t="s">
        <v>51</v>
      </c>
      <c r="F21" s="176"/>
      <c r="G21" s="143"/>
      <c r="H21" s="143"/>
    </row>
    <row r="22" spans="1:8" s="137" customFormat="1" ht="24" customHeight="1">
      <c r="B22" s="174" t="s">
        <v>1984</v>
      </c>
      <c r="C22" s="174" t="s">
        <v>1985</v>
      </c>
      <c r="G22" s="143"/>
      <c r="H22" s="143"/>
    </row>
    <row r="23" spans="1:8" s="174" customFormat="1" ht="24" customHeight="1">
      <c r="A23" s="139"/>
      <c r="B23" s="176" t="s">
        <v>670</v>
      </c>
      <c r="C23" s="143"/>
      <c r="D23" s="176"/>
      <c r="E23" s="176"/>
      <c r="F23" s="137"/>
      <c r="G23" s="240"/>
      <c r="H23" s="204"/>
    </row>
    <row r="24" spans="1:8" s="174" customFormat="1" ht="24" customHeight="1">
      <c r="A24" s="139"/>
      <c r="B24" s="174" t="s">
        <v>1972</v>
      </c>
      <c r="C24" s="143"/>
      <c r="F24" s="176"/>
      <c r="G24" s="240"/>
      <c r="H24" s="204"/>
    </row>
    <row r="25" spans="1:8" s="174" customFormat="1" ht="24" customHeight="1">
      <c r="A25" s="139"/>
      <c r="B25" s="176"/>
      <c r="C25" s="176"/>
      <c r="D25" s="176"/>
      <c r="E25" s="176"/>
      <c r="F25" s="176"/>
    </row>
    <row r="26" spans="1:8" s="174" customFormat="1" ht="24" customHeight="1">
      <c r="A26" s="139"/>
      <c r="F26" s="139"/>
    </row>
    <row r="27" spans="1:8" s="174" customFormat="1" ht="24" customHeight="1">
      <c r="A27" s="139"/>
      <c r="C27" s="181"/>
      <c r="D27" s="181"/>
      <c r="E27" s="260"/>
      <c r="F27" s="202"/>
    </row>
  </sheetData>
  <mergeCells count="6">
    <mergeCell ref="A2:A8"/>
    <mergeCell ref="A1:F1"/>
    <mergeCell ref="A9:A10"/>
    <mergeCell ref="B9:B10"/>
    <mergeCell ref="C9:E9"/>
    <mergeCell ref="F9:F10"/>
  </mergeCells>
  <printOptions horizontalCentered="1"/>
  <pageMargins left="0.23622047244094491" right="0.23622047244094491" top="0.51181102362204722" bottom="0.27559055118110237" header="0.51181102362204722" footer="0.31496062992125984"/>
  <pageSetup paperSize="9" scale="75" fitToHeight="0" orientation="landscape" r:id="rId1"/>
  <headerFooter alignWithMargins="0">
    <oddHeader>&amp;R&amp;"TH Sarabun New,Regular"&amp;16แบบ ปร.4(พ) หน้าที่ &amp;P จาก 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U35"/>
  <sheetViews>
    <sheetView showGridLines="0" view="pageBreakPreview" topLeftCell="A4" zoomScale="55" zoomScaleNormal="60" zoomScaleSheetLayoutView="55" workbookViewId="0">
      <selection activeCell="K31" sqref="K31"/>
    </sheetView>
  </sheetViews>
  <sheetFormatPr defaultColWidth="9.42578125" defaultRowHeight="21.75"/>
  <cols>
    <col min="1" max="1" width="3.5703125" style="13" customWidth="1"/>
    <col min="2" max="2" width="9.42578125" style="34" customWidth="1"/>
    <col min="3" max="3" width="52.42578125" style="13" customWidth="1"/>
    <col min="4" max="4" width="12.5703125" style="2" customWidth="1"/>
    <col min="5" max="5" width="8.42578125" style="34" customWidth="1"/>
    <col min="6" max="6" width="16.42578125" style="10" customWidth="1"/>
    <col min="7" max="7" width="16.42578125" style="10" bestFit="1" customWidth="1"/>
    <col min="8" max="8" width="15.5703125" style="10" customWidth="1"/>
    <col min="9" max="9" width="17.5703125" style="10" customWidth="1"/>
    <col min="10" max="10" width="16.42578125" style="10" bestFit="1" customWidth="1"/>
    <col min="11" max="11" width="17.42578125" style="10" customWidth="1"/>
    <col min="12" max="12" width="13.5703125" style="13" customWidth="1"/>
    <col min="13" max="13" width="12.5703125" style="2" customWidth="1"/>
    <col min="14" max="14" width="8.42578125" style="34" customWidth="1"/>
    <col min="15" max="15" width="16.42578125" style="10" customWidth="1"/>
    <col min="16" max="16" width="16.42578125" style="10" bestFit="1" customWidth="1"/>
    <col min="17" max="17" width="15.5703125" style="10" customWidth="1"/>
    <col min="18" max="18" width="17.5703125" style="10" customWidth="1"/>
    <col min="19" max="19" width="16.42578125" style="10" bestFit="1" customWidth="1"/>
    <col min="20" max="20" width="17.42578125" style="10" customWidth="1"/>
    <col min="21" max="21" width="13.5703125" style="13" customWidth="1"/>
    <col min="22" max="16384" width="9.42578125" style="59"/>
  </cols>
  <sheetData>
    <row r="1" spans="1:21" ht="24.75" customHeight="1" thickTop="1">
      <c r="B1" s="2309"/>
      <c r="C1" s="37" t="s">
        <v>67</v>
      </c>
      <c r="D1" s="1"/>
      <c r="E1" s="11"/>
      <c r="F1" s="40"/>
      <c r="G1" s="11"/>
      <c r="H1" s="12"/>
      <c r="I1" s="2311" t="s">
        <v>70</v>
      </c>
      <c r="J1" s="2312"/>
      <c r="K1" s="2312"/>
      <c r="L1" s="2313"/>
      <c r="M1" s="1"/>
      <c r="N1" s="11"/>
      <c r="O1" s="40"/>
      <c r="P1" s="11"/>
      <c r="Q1" s="12"/>
      <c r="R1" s="2311" t="s">
        <v>70</v>
      </c>
      <c r="S1" s="2312"/>
      <c r="T1" s="2312"/>
      <c r="U1" s="2313"/>
    </row>
    <row r="2" spans="1:21" ht="24.75" customHeight="1">
      <c r="B2" s="2310"/>
      <c r="C2" s="38" t="s">
        <v>68</v>
      </c>
      <c r="E2" s="13"/>
      <c r="F2" s="39"/>
      <c r="G2" s="2313" t="s">
        <v>50</v>
      </c>
      <c r="H2" s="2313"/>
      <c r="I2" s="2313" t="s">
        <v>71</v>
      </c>
      <c r="J2" s="2313"/>
      <c r="K2" s="2313"/>
      <c r="L2" s="2313"/>
      <c r="N2" s="13"/>
      <c r="O2" s="39"/>
      <c r="P2" s="2313" t="s">
        <v>50</v>
      </c>
      <c r="Q2" s="2313"/>
      <c r="R2" s="2313" t="s">
        <v>71</v>
      </c>
      <c r="S2" s="2313"/>
      <c r="T2" s="2313"/>
      <c r="U2" s="2313"/>
    </row>
    <row r="3" spans="1:21" s="60" customFormat="1" ht="23.25">
      <c r="A3" s="14"/>
      <c r="B3" s="2307" t="s">
        <v>51</v>
      </c>
      <c r="C3" s="38" t="s">
        <v>66</v>
      </c>
      <c r="D3" s="2"/>
      <c r="E3" s="13"/>
      <c r="F3" s="41"/>
      <c r="G3" s="13"/>
      <c r="H3" s="3"/>
      <c r="I3" s="2313" t="s">
        <v>72</v>
      </c>
      <c r="J3" s="2313"/>
      <c r="K3" s="2313"/>
      <c r="L3" s="2313"/>
      <c r="M3" s="2"/>
      <c r="N3" s="13"/>
      <c r="O3" s="41"/>
      <c r="P3" s="13"/>
      <c r="Q3" s="3"/>
      <c r="R3" s="2313" t="s">
        <v>72</v>
      </c>
      <c r="S3" s="2313"/>
      <c r="T3" s="2313"/>
      <c r="U3" s="2313"/>
    </row>
    <row r="4" spans="1:21" s="61" customFormat="1" ht="22.5" thickBot="1">
      <c r="A4" s="19"/>
      <c r="B4" s="2308"/>
      <c r="C4" s="15" t="s">
        <v>69</v>
      </c>
      <c r="D4" s="16"/>
      <c r="E4" s="17"/>
      <c r="F4" s="42"/>
      <c r="G4" s="17"/>
      <c r="H4" s="18"/>
      <c r="I4" s="2313" t="s">
        <v>73</v>
      </c>
      <c r="J4" s="2313"/>
      <c r="K4" s="2313"/>
      <c r="L4" s="2313"/>
      <c r="M4" s="16"/>
      <c r="N4" s="17"/>
      <c r="O4" s="42"/>
      <c r="P4" s="17"/>
      <c r="Q4" s="18"/>
      <c r="R4" s="2313" t="s">
        <v>73</v>
      </c>
      <c r="S4" s="2313"/>
      <c r="T4" s="2313"/>
      <c r="U4" s="2313"/>
    </row>
    <row r="5" spans="1:21" s="69" customFormat="1" ht="32.25" thickTop="1" thickBot="1">
      <c r="A5" s="66"/>
      <c r="B5" s="67"/>
      <c r="C5" s="68"/>
      <c r="D5" s="2313" t="s">
        <v>41</v>
      </c>
      <c r="E5" s="2313"/>
      <c r="F5" s="2313"/>
      <c r="G5" s="2313"/>
      <c r="H5" s="2313"/>
      <c r="I5" s="2313"/>
      <c r="J5" s="2313"/>
      <c r="K5" s="2313"/>
      <c r="L5" s="2313"/>
      <c r="M5" s="2313" t="s">
        <v>1</v>
      </c>
      <c r="N5" s="2313"/>
      <c r="O5" s="2313"/>
      <c r="P5" s="2313"/>
      <c r="Q5" s="2313"/>
      <c r="R5" s="2313"/>
      <c r="S5" s="2313"/>
      <c r="T5" s="2313"/>
      <c r="U5" s="2313"/>
    </row>
    <row r="6" spans="1:21" ht="22.5" thickTop="1">
      <c r="B6" s="2313" t="s">
        <v>52</v>
      </c>
      <c r="C6" s="2315" t="s">
        <v>53</v>
      </c>
      <c r="D6" s="2313" t="s">
        <v>54</v>
      </c>
      <c r="E6" s="2315" t="s">
        <v>55</v>
      </c>
      <c r="F6" s="2314" t="s">
        <v>56</v>
      </c>
      <c r="G6" s="2314"/>
      <c r="H6" s="2314"/>
      <c r="I6" s="2314" t="s">
        <v>57</v>
      </c>
      <c r="J6" s="2314"/>
      <c r="K6" s="2314"/>
      <c r="L6" s="2313" t="s">
        <v>58</v>
      </c>
      <c r="M6" s="2313" t="s">
        <v>54</v>
      </c>
      <c r="N6" s="2315" t="s">
        <v>55</v>
      </c>
      <c r="O6" s="2314" t="s">
        <v>56</v>
      </c>
      <c r="P6" s="2314"/>
      <c r="Q6" s="2314"/>
      <c r="R6" s="2314" t="s">
        <v>57</v>
      </c>
      <c r="S6" s="2314"/>
      <c r="T6" s="2314"/>
      <c r="U6" s="2313" t="s">
        <v>58</v>
      </c>
    </row>
    <row r="7" spans="1:21">
      <c r="B7" s="2313"/>
      <c r="C7" s="2316"/>
      <c r="D7" s="2313"/>
      <c r="E7" s="2316"/>
      <c r="F7" s="4" t="s">
        <v>59</v>
      </c>
      <c r="G7" s="4" t="s">
        <v>60</v>
      </c>
      <c r="H7" s="4" t="s">
        <v>61</v>
      </c>
      <c r="I7" s="4" t="s">
        <v>62</v>
      </c>
      <c r="J7" s="4" t="s">
        <v>63</v>
      </c>
      <c r="K7" s="4" t="s">
        <v>64</v>
      </c>
      <c r="L7" s="2313"/>
      <c r="M7" s="2313"/>
      <c r="N7" s="2316"/>
      <c r="O7" s="4" t="s">
        <v>59</v>
      </c>
      <c r="P7" s="4" t="s">
        <v>60</v>
      </c>
      <c r="Q7" s="4" t="s">
        <v>61</v>
      </c>
      <c r="R7" s="4" t="s">
        <v>62</v>
      </c>
      <c r="S7" s="4" t="s">
        <v>63</v>
      </c>
      <c r="T7" s="4" t="s">
        <v>64</v>
      </c>
      <c r="U7" s="2313"/>
    </row>
    <row r="8" spans="1:21" s="62" customFormat="1">
      <c r="A8" s="23"/>
      <c r="B8" s="112"/>
      <c r="C8" s="20" t="s">
        <v>79</v>
      </c>
      <c r="D8" s="5"/>
      <c r="E8" s="21"/>
      <c r="F8" s="6"/>
      <c r="G8" s="6"/>
      <c r="H8" s="6"/>
      <c r="I8" s="6"/>
      <c r="J8" s="6"/>
      <c r="K8" s="65"/>
      <c r="L8" s="22"/>
      <c r="M8" s="5"/>
      <c r="N8" s="21"/>
      <c r="O8" s="6"/>
      <c r="P8" s="6"/>
      <c r="Q8" s="6"/>
      <c r="R8" s="6"/>
      <c r="S8" s="6"/>
      <c r="T8" s="65"/>
      <c r="U8" s="113"/>
    </row>
    <row r="9" spans="1:21" s="78" customFormat="1" ht="24">
      <c r="A9" s="70"/>
      <c r="B9" s="114"/>
      <c r="C9" s="72"/>
      <c r="D9" s="73"/>
      <c r="E9" s="74"/>
      <c r="F9" s="75"/>
      <c r="G9" s="75"/>
      <c r="H9" s="75"/>
      <c r="I9" s="75"/>
      <c r="J9" s="75"/>
      <c r="K9" s="106"/>
      <c r="L9" s="77"/>
      <c r="M9" s="73"/>
      <c r="N9" s="74"/>
      <c r="O9" s="75"/>
      <c r="P9" s="75"/>
      <c r="Q9" s="75"/>
      <c r="R9" s="75"/>
      <c r="S9" s="75"/>
      <c r="T9" s="76"/>
      <c r="U9" s="115"/>
    </row>
    <row r="10" spans="1:21" s="63" customFormat="1" ht="24">
      <c r="A10" s="79"/>
      <c r="B10" s="114" t="s">
        <v>74</v>
      </c>
      <c r="C10" s="72" t="s">
        <v>80</v>
      </c>
      <c r="D10" s="80"/>
      <c r="E10" s="81"/>
      <c r="F10" s="76"/>
      <c r="G10" s="76"/>
      <c r="H10" s="76"/>
      <c r="I10" s="76"/>
      <c r="J10" s="76"/>
      <c r="K10" s="106" t="e">
        <f>'ส่วนงานที่1 '!#REF!</f>
        <v>#REF!</v>
      </c>
      <c r="L10" s="82"/>
      <c r="M10" s="80"/>
      <c r="N10" s="81"/>
      <c r="O10" s="76"/>
      <c r="P10" s="76"/>
      <c r="Q10" s="76"/>
      <c r="R10" s="76"/>
      <c r="S10" s="76"/>
      <c r="T10" s="76" t="e">
        <f>'ส่วนงานที่1 '!#REF!</f>
        <v>#REF!</v>
      </c>
      <c r="U10" s="116"/>
    </row>
    <row r="11" spans="1:21" s="63" customFormat="1" ht="24">
      <c r="A11" s="79"/>
      <c r="B11" s="114" t="s">
        <v>75</v>
      </c>
      <c r="C11" s="72" t="s">
        <v>65</v>
      </c>
      <c r="D11" s="80"/>
      <c r="E11" s="81"/>
      <c r="F11" s="76"/>
      <c r="G11" s="76"/>
      <c r="H11" s="76"/>
      <c r="I11" s="76"/>
      <c r="J11" s="76"/>
      <c r="K11" s="106" t="e">
        <f>#REF!</f>
        <v>#REF!</v>
      </c>
      <c r="L11" s="82"/>
      <c r="M11" s="80"/>
      <c r="N11" s="81"/>
      <c r="O11" s="76"/>
      <c r="P11" s="76"/>
      <c r="Q11" s="76"/>
      <c r="R11" s="76"/>
      <c r="S11" s="76"/>
      <c r="T11" s="76" t="e">
        <f>#REF!</f>
        <v>#REF!</v>
      </c>
      <c r="U11" s="116"/>
    </row>
    <row r="12" spans="1:21" s="63" customFormat="1" ht="24">
      <c r="A12" s="79"/>
      <c r="B12" s="114" t="s">
        <v>76</v>
      </c>
      <c r="C12" s="72" t="s">
        <v>81</v>
      </c>
      <c r="D12" s="80"/>
      <c r="E12" s="81"/>
      <c r="F12" s="76"/>
      <c r="G12" s="76"/>
      <c r="H12" s="76"/>
      <c r="I12" s="76"/>
      <c r="J12" s="76"/>
      <c r="K12" s="106" t="e">
        <f>#REF!</f>
        <v>#REF!</v>
      </c>
      <c r="L12" s="82"/>
      <c r="M12" s="80"/>
      <c r="N12" s="81"/>
      <c r="O12" s="76"/>
      <c r="P12" s="76"/>
      <c r="Q12" s="76"/>
      <c r="R12" s="76"/>
      <c r="S12" s="76"/>
      <c r="T12" s="76" t="e">
        <f>#REF!</f>
        <v>#REF!</v>
      </c>
      <c r="U12" s="116"/>
    </row>
    <row r="13" spans="1:21" s="63" customFormat="1" ht="24">
      <c r="A13" s="79"/>
      <c r="B13" s="117"/>
      <c r="C13" s="84"/>
      <c r="D13" s="85"/>
      <c r="E13" s="86"/>
      <c r="F13" s="87"/>
      <c r="G13" s="87"/>
      <c r="H13" s="87"/>
      <c r="I13" s="87"/>
      <c r="J13" s="87"/>
      <c r="K13" s="107"/>
      <c r="L13" s="88"/>
      <c r="M13" s="85"/>
      <c r="N13" s="86"/>
      <c r="O13" s="87"/>
      <c r="P13" s="87"/>
      <c r="Q13" s="87"/>
      <c r="R13" s="87"/>
      <c r="S13" s="87"/>
      <c r="T13" s="87"/>
      <c r="U13" s="118"/>
    </row>
    <row r="14" spans="1:21" s="63" customFormat="1" ht="24">
      <c r="A14" s="79"/>
      <c r="B14" s="119"/>
      <c r="C14" s="97" t="s">
        <v>64</v>
      </c>
      <c r="D14" s="98"/>
      <c r="E14" s="99"/>
      <c r="F14" s="100"/>
      <c r="G14" s="100"/>
      <c r="H14" s="100"/>
      <c r="I14" s="100"/>
      <c r="J14" s="100"/>
      <c r="K14" s="108" t="e">
        <f>SUM(K10:K13)</f>
        <v>#REF!</v>
      </c>
      <c r="L14" s="101"/>
      <c r="M14" s="98"/>
      <c r="N14" s="99"/>
      <c r="O14" s="100"/>
      <c r="P14" s="100"/>
      <c r="Q14" s="100"/>
      <c r="R14" s="100"/>
      <c r="S14" s="100"/>
      <c r="T14" s="100" t="e">
        <f>SUM(T10:T13)</f>
        <v>#REF!</v>
      </c>
      <c r="U14" s="120"/>
    </row>
    <row r="15" spans="1:21" s="63" customFormat="1" ht="24">
      <c r="A15" s="79"/>
      <c r="B15" s="121"/>
      <c r="C15" s="90" t="s">
        <v>44</v>
      </c>
      <c r="D15" s="111">
        <v>0.10850467289719599</v>
      </c>
      <c r="E15" s="92"/>
      <c r="F15" s="93"/>
      <c r="G15" s="93"/>
      <c r="H15" s="93"/>
      <c r="I15" s="93"/>
      <c r="J15" s="93"/>
      <c r="K15" s="109" t="e">
        <f>K14*D15</f>
        <v>#REF!</v>
      </c>
      <c r="L15" s="95"/>
      <c r="M15" s="111">
        <v>0.10850467289719599</v>
      </c>
      <c r="N15" s="92"/>
      <c r="O15" s="93"/>
      <c r="P15" s="93"/>
      <c r="Q15" s="93"/>
      <c r="R15" s="93"/>
      <c r="S15" s="93"/>
      <c r="T15" s="94" t="e">
        <f>T14*M15</f>
        <v>#REF!</v>
      </c>
      <c r="U15" s="122"/>
    </row>
    <row r="16" spans="1:21" s="63" customFormat="1" ht="24">
      <c r="A16" s="79"/>
      <c r="B16" s="119"/>
      <c r="C16" s="97" t="s">
        <v>64</v>
      </c>
      <c r="D16" s="98"/>
      <c r="E16" s="99"/>
      <c r="F16" s="100"/>
      <c r="G16" s="100"/>
      <c r="H16" s="100"/>
      <c r="I16" s="100"/>
      <c r="J16" s="100"/>
      <c r="K16" s="108" t="e">
        <f>SUM(K14:K15)</f>
        <v>#REF!</v>
      </c>
      <c r="L16" s="101"/>
      <c r="M16" s="98"/>
      <c r="N16" s="99"/>
      <c r="O16" s="100"/>
      <c r="P16" s="100"/>
      <c r="Q16" s="100"/>
      <c r="R16" s="100"/>
      <c r="S16" s="100"/>
      <c r="T16" s="100" t="e">
        <f>SUM(T14:T15)</f>
        <v>#REF!</v>
      </c>
      <c r="U16" s="120"/>
    </row>
    <row r="17" spans="2:21">
      <c r="B17" s="123"/>
      <c r="C17" s="8" t="s">
        <v>42</v>
      </c>
      <c r="D17" s="105"/>
      <c r="E17" s="43"/>
      <c r="F17" s="48"/>
      <c r="G17" s="44"/>
      <c r="H17" s="44"/>
      <c r="I17" s="44"/>
      <c r="J17" s="44"/>
      <c r="K17" s="110" t="e">
        <f>K16*D17</f>
        <v>#REF!</v>
      </c>
      <c r="L17" s="49"/>
      <c r="M17" s="105">
        <v>7.0000000000000007E-2</v>
      </c>
      <c r="N17" s="43"/>
      <c r="O17" s="48"/>
      <c r="P17" s="44"/>
      <c r="Q17" s="44"/>
      <c r="R17" s="44"/>
      <c r="S17" s="44"/>
      <c r="T17" s="7" t="e">
        <f>T16*M17</f>
        <v>#REF!</v>
      </c>
      <c r="U17" s="124"/>
    </row>
    <row r="18" spans="2:21" s="63" customFormat="1" ht="24">
      <c r="B18" s="119"/>
      <c r="C18" s="97" t="s">
        <v>64</v>
      </c>
      <c r="D18" s="98"/>
      <c r="E18" s="99"/>
      <c r="F18" s="100"/>
      <c r="G18" s="100"/>
      <c r="H18" s="100"/>
      <c r="I18" s="100"/>
      <c r="J18" s="100"/>
      <c r="K18" s="108" t="e">
        <f>SUM(K16:K17)</f>
        <v>#REF!</v>
      </c>
      <c r="L18" s="101"/>
      <c r="M18" s="98"/>
      <c r="N18" s="99"/>
      <c r="O18" s="100"/>
      <c r="P18" s="100"/>
      <c r="Q18" s="100"/>
      <c r="R18" s="100"/>
      <c r="S18" s="100"/>
      <c r="T18" s="100" t="e">
        <f>SUM(T16:T17)</f>
        <v>#REF!</v>
      </c>
      <c r="U18" s="120"/>
    </row>
    <row r="19" spans="2:21">
      <c r="B19" s="123"/>
      <c r="C19" s="8"/>
      <c r="D19" s="26"/>
      <c r="E19" s="43"/>
      <c r="F19" s="48"/>
      <c r="G19" s="44"/>
      <c r="H19" s="44"/>
      <c r="I19" s="44"/>
      <c r="J19" s="44"/>
      <c r="K19" s="110"/>
      <c r="L19" s="49"/>
      <c r="M19" s="26"/>
      <c r="N19" s="43"/>
      <c r="O19" s="48"/>
      <c r="P19" s="44"/>
      <c r="Q19" s="44"/>
      <c r="R19" s="44"/>
      <c r="S19" s="44"/>
      <c r="T19" s="7"/>
      <c r="U19" s="124"/>
    </row>
    <row r="20" spans="2:21" s="78" customFormat="1" ht="24">
      <c r="B20" s="114" t="s">
        <v>77</v>
      </c>
      <c r="C20" s="72" t="s">
        <v>78</v>
      </c>
      <c r="D20" s="73"/>
      <c r="E20" s="74"/>
      <c r="F20" s="75"/>
      <c r="G20" s="75"/>
      <c r="H20" s="75"/>
      <c r="I20" s="75"/>
      <c r="J20" s="75"/>
      <c r="K20" s="106" t="e">
        <f>+#REF!</f>
        <v>#REF!</v>
      </c>
      <c r="L20" s="77"/>
      <c r="M20" s="73"/>
      <c r="N20" s="74"/>
      <c r="O20" s="75"/>
      <c r="P20" s="75"/>
      <c r="Q20" s="75"/>
      <c r="R20" s="75"/>
      <c r="S20" s="75"/>
      <c r="T20" s="76" t="e">
        <f>+#REF!</f>
        <v>#REF!</v>
      </c>
      <c r="U20" s="115"/>
    </row>
    <row r="21" spans="2:21">
      <c r="B21" s="123"/>
      <c r="C21" s="8"/>
      <c r="D21" s="46"/>
      <c r="E21" s="47"/>
      <c r="F21" s="44"/>
      <c r="G21" s="44"/>
      <c r="H21" s="44"/>
      <c r="I21" s="44"/>
      <c r="J21" s="44"/>
      <c r="K21" s="110"/>
      <c r="L21" s="49"/>
      <c r="M21" s="46"/>
      <c r="N21" s="47"/>
      <c r="O21" s="44"/>
      <c r="P21" s="44"/>
      <c r="Q21" s="44"/>
      <c r="R21" s="44"/>
      <c r="S21" s="44"/>
      <c r="T21" s="7"/>
      <c r="U21" s="124"/>
    </row>
    <row r="22" spans="2:21" s="63" customFormat="1" ht="24">
      <c r="B22" s="119"/>
      <c r="C22" s="97" t="s">
        <v>64</v>
      </c>
      <c r="D22" s="98"/>
      <c r="E22" s="99"/>
      <c r="F22" s="100"/>
      <c r="G22" s="100"/>
      <c r="H22" s="100"/>
      <c r="I22" s="100"/>
      <c r="J22" s="100"/>
      <c r="K22" s="108" t="e">
        <f>+K20+K18</f>
        <v>#REF!</v>
      </c>
      <c r="L22" s="101"/>
      <c r="M22" s="98"/>
      <c r="N22" s="99"/>
      <c r="O22" s="100"/>
      <c r="P22" s="100"/>
      <c r="Q22" s="100"/>
      <c r="R22" s="100"/>
      <c r="S22" s="100"/>
      <c r="T22" s="100" t="e">
        <f>+T20+T18</f>
        <v>#REF!</v>
      </c>
      <c r="U22" s="120"/>
    </row>
    <row r="23" spans="2:21">
      <c r="B23" s="123"/>
      <c r="C23" s="8"/>
      <c r="D23" s="26"/>
      <c r="E23" s="43"/>
      <c r="F23" s="48"/>
      <c r="G23" s="44"/>
      <c r="H23" s="44"/>
      <c r="I23" s="44"/>
      <c r="J23" s="44"/>
      <c r="K23" s="110"/>
      <c r="L23" s="49"/>
      <c r="M23" s="26"/>
      <c r="N23" s="43"/>
      <c r="O23" s="48"/>
      <c r="P23" s="44"/>
      <c r="Q23" s="44"/>
      <c r="R23" s="44"/>
      <c r="S23" s="44"/>
      <c r="T23" s="7"/>
      <c r="U23" s="124"/>
    </row>
    <row r="24" spans="2:21">
      <c r="B24" s="123"/>
      <c r="C24" s="8"/>
      <c r="D24" s="26"/>
      <c r="E24" s="43"/>
      <c r="F24" s="48"/>
      <c r="G24" s="44"/>
      <c r="H24" s="44"/>
      <c r="I24" s="44"/>
      <c r="J24" s="44"/>
      <c r="K24" s="110"/>
      <c r="L24" s="49"/>
      <c r="M24" s="26"/>
      <c r="N24" s="43"/>
      <c r="O24" s="48"/>
      <c r="P24" s="44"/>
      <c r="Q24" s="44"/>
      <c r="R24" s="44"/>
      <c r="S24" s="44"/>
      <c r="T24" s="7"/>
      <c r="U24" s="124"/>
    </row>
    <row r="25" spans="2:21">
      <c r="B25" s="125"/>
      <c r="C25" s="8"/>
      <c r="D25" s="26"/>
      <c r="E25" s="43"/>
      <c r="F25" s="48"/>
      <c r="G25" s="44"/>
      <c r="H25" s="44"/>
      <c r="I25" s="44"/>
      <c r="J25" s="44"/>
      <c r="K25" s="110"/>
      <c r="L25" s="49"/>
      <c r="M25" s="26"/>
      <c r="N25" s="43"/>
      <c r="O25" s="48"/>
      <c r="P25" s="44"/>
      <c r="Q25" s="44"/>
      <c r="R25" s="44"/>
      <c r="S25" s="44"/>
      <c r="T25" s="7"/>
      <c r="U25" s="124"/>
    </row>
    <row r="26" spans="2:21">
      <c r="B26" s="125"/>
      <c r="C26" s="8"/>
      <c r="D26" s="26"/>
      <c r="E26" s="43"/>
      <c r="F26" s="48"/>
      <c r="G26" s="44"/>
      <c r="H26" s="44"/>
      <c r="I26" s="44"/>
      <c r="J26" s="44"/>
      <c r="K26" s="7"/>
      <c r="L26" s="49"/>
      <c r="M26" s="26"/>
      <c r="N26" s="43"/>
      <c r="O26" s="48"/>
      <c r="P26" s="44"/>
      <c r="Q26" s="44"/>
      <c r="R26" s="44"/>
      <c r="S26" s="44"/>
      <c r="T26" s="7"/>
      <c r="U26" s="124"/>
    </row>
    <row r="27" spans="2:21">
      <c r="B27" s="125"/>
      <c r="C27" s="8"/>
      <c r="D27" s="26"/>
      <c r="E27" s="43"/>
      <c r="F27" s="48"/>
      <c r="G27" s="44"/>
      <c r="H27" s="44"/>
      <c r="I27" s="44"/>
      <c r="J27" s="44"/>
      <c r="K27" s="7"/>
      <c r="L27" s="49"/>
      <c r="M27" s="26"/>
      <c r="N27" s="43"/>
      <c r="O27" s="48"/>
      <c r="P27" s="44"/>
      <c r="Q27" s="44"/>
      <c r="R27" s="44"/>
      <c r="S27" s="44"/>
      <c r="T27" s="7"/>
      <c r="U27" s="124"/>
    </row>
    <row r="28" spans="2:21">
      <c r="B28" s="125"/>
      <c r="C28" s="8"/>
      <c r="D28" s="26"/>
      <c r="E28" s="43"/>
      <c r="F28" s="44"/>
      <c r="G28" s="48"/>
      <c r="H28" s="48"/>
      <c r="I28" s="48"/>
      <c r="J28" s="48"/>
      <c r="K28" s="7"/>
      <c r="L28" s="49"/>
      <c r="M28" s="26"/>
      <c r="N28" s="43"/>
      <c r="O28" s="44"/>
      <c r="P28" s="48"/>
      <c r="Q28" s="48"/>
      <c r="R28" s="48"/>
      <c r="S28" s="48"/>
      <c r="T28" s="7"/>
      <c r="U28" s="124"/>
    </row>
    <row r="29" spans="2:21">
      <c r="B29" s="126"/>
      <c r="C29" s="52"/>
      <c r="D29" s="53"/>
      <c r="E29" s="54"/>
      <c r="F29" s="55"/>
      <c r="G29" s="56"/>
      <c r="H29" s="56"/>
      <c r="I29" s="56"/>
      <c r="J29" s="56"/>
      <c r="K29" s="57"/>
      <c r="L29" s="58"/>
      <c r="M29" s="53"/>
      <c r="N29" s="54"/>
      <c r="O29" s="55"/>
      <c r="P29" s="56"/>
      <c r="Q29" s="56"/>
      <c r="R29" s="56"/>
      <c r="S29" s="56"/>
      <c r="T29" s="57"/>
      <c r="U29" s="127"/>
    </row>
    <row r="30" spans="2:21">
      <c r="B30" s="126"/>
      <c r="C30" s="52"/>
      <c r="D30" s="53"/>
      <c r="E30" s="54"/>
      <c r="F30" s="55"/>
      <c r="G30" s="56"/>
      <c r="H30" s="56"/>
      <c r="I30" s="56"/>
      <c r="J30" s="56"/>
      <c r="K30" s="57"/>
      <c r="L30" s="58"/>
      <c r="M30" s="53"/>
      <c r="N30" s="54"/>
      <c r="O30" s="55"/>
      <c r="P30" s="56"/>
      <c r="Q30" s="56"/>
      <c r="R30" s="56"/>
      <c r="S30" s="56"/>
      <c r="T30" s="57"/>
      <c r="U30" s="127"/>
    </row>
    <row r="31" spans="2:21">
      <c r="B31" s="126"/>
      <c r="C31" s="52"/>
      <c r="D31" s="53"/>
      <c r="E31" s="54"/>
      <c r="F31" s="55"/>
      <c r="G31" s="56"/>
      <c r="H31" s="56"/>
      <c r="I31" s="56"/>
      <c r="J31" s="56"/>
      <c r="K31" s="57"/>
      <c r="L31" s="58"/>
      <c r="M31" s="53"/>
      <c r="N31" s="54"/>
      <c r="O31" s="55"/>
      <c r="P31" s="56"/>
      <c r="Q31" s="56"/>
      <c r="R31" s="56"/>
      <c r="S31" s="56"/>
      <c r="T31" s="57"/>
      <c r="U31" s="127"/>
    </row>
    <row r="32" spans="2:21">
      <c r="B32" s="126"/>
      <c r="C32" s="52"/>
      <c r="D32" s="53"/>
      <c r="E32" s="54"/>
      <c r="F32" s="55"/>
      <c r="G32" s="56"/>
      <c r="H32" s="56"/>
      <c r="I32" s="56"/>
      <c r="J32" s="56"/>
      <c r="K32" s="57"/>
      <c r="L32" s="58"/>
      <c r="M32" s="53"/>
      <c r="N32" s="54"/>
      <c r="O32" s="55"/>
      <c r="P32" s="56"/>
      <c r="Q32" s="56"/>
      <c r="R32" s="56"/>
      <c r="S32" s="56"/>
      <c r="T32" s="57"/>
      <c r="U32" s="127"/>
    </row>
    <row r="33" spans="2:21">
      <c r="B33" s="126"/>
      <c r="C33" s="52"/>
      <c r="D33" s="53"/>
      <c r="E33" s="54"/>
      <c r="F33" s="55"/>
      <c r="G33" s="56"/>
      <c r="H33" s="56"/>
      <c r="I33" s="56"/>
      <c r="J33" s="56"/>
      <c r="K33" s="57"/>
      <c r="L33" s="58"/>
      <c r="M33" s="53"/>
      <c r="N33" s="54"/>
      <c r="O33" s="55"/>
      <c r="P33" s="56"/>
      <c r="Q33" s="56"/>
      <c r="R33" s="56"/>
      <c r="S33" s="56"/>
      <c r="T33" s="57"/>
      <c r="U33" s="127"/>
    </row>
    <row r="34" spans="2:21">
      <c r="B34" s="128"/>
      <c r="C34" s="35"/>
      <c r="D34" s="27"/>
      <c r="E34" s="28"/>
      <c r="F34" s="29"/>
      <c r="G34" s="29"/>
      <c r="H34" s="29"/>
      <c r="I34" s="29"/>
      <c r="J34" s="29"/>
      <c r="K34" s="29"/>
      <c r="L34" s="36"/>
      <c r="M34" s="27"/>
      <c r="N34" s="28"/>
      <c r="O34" s="29"/>
      <c r="P34" s="29"/>
      <c r="Q34" s="29"/>
      <c r="R34" s="29"/>
      <c r="S34" s="29"/>
      <c r="T34" s="29"/>
      <c r="U34" s="129"/>
    </row>
    <row r="35" spans="2:21" s="63" customFormat="1" ht="24.75" thickBot="1">
      <c r="B35" s="130"/>
      <c r="C35" s="31" t="s">
        <v>82</v>
      </c>
      <c r="D35" s="9"/>
      <c r="E35" s="31"/>
      <c r="F35" s="32"/>
      <c r="G35" s="32"/>
      <c r="H35" s="32"/>
      <c r="I35" s="32">
        <f>SUM(I9:I34)</f>
        <v>0</v>
      </c>
      <c r="J35" s="32">
        <f>SUM(J9:J34)</f>
        <v>0</v>
      </c>
      <c r="K35" s="104" t="e">
        <f>+K22</f>
        <v>#REF!</v>
      </c>
      <c r="L35" s="33"/>
      <c r="M35" s="9"/>
      <c r="N35" s="31"/>
      <c r="O35" s="32"/>
      <c r="P35" s="32"/>
      <c r="Q35" s="32"/>
      <c r="R35" s="32">
        <f>SUM(R9:R34)</f>
        <v>0</v>
      </c>
      <c r="S35" s="32">
        <f>SUM(S9:S34)</f>
        <v>0</v>
      </c>
      <c r="T35" s="32" t="e">
        <f>+T22</f>
        <v>#REF!</v>
      </c>
      <c r="U35" s="131"/>
    </row>
  </sheetData>
  <autoFilter ref="B6:L35" xr:uid="{00000000-0009-0000-0000-000002000000}">
    <filterColumn colId="4" showButton="0"/>
    <filterColumn colId="5" showButton="0"/>
    <filterColumn colId="7" showButton="0"/>
    <filterColumn colId="8" showButton="0"/>
  </autoFilter>
  <mergeCells count="26">
    <mergeCell ref="D5:L5"/>
    <mergeCell ref="M5:U5"/>
    <mergeCell ref="R6:T6"/>
    <mergeCell ref="U6:U7"/>
    <mergeCell ref="B6:B7"/>
    <mergeCell ref="C6:C7"/>
    <mergeCell ref="D6:D7"/>
    <mergeCell ref="E6:E7"/>
    <mergeCell ref="F6:H6"/>
    <mergeCell ref="I6:K6"/>
    <mergeCell ref="L6:L7"/>
    <mergeCell ref="M6:M7"/>
    <mergeCell ref="N6:N7"/>
    <mergeCell ref="O6:Q6"/>
    <mergeCell ref="B3:B4"/>
    <mergeCell ref="B1:B2"/>
    <mergeCell ref="I1:L1"/>
    <mergeCell ref="I3:L3"/>
    <mergeCell ref="R1:U1"/>
    <mergeCell ref="G2:H2"/>
    <mergeCell ref="I2:L2"/>
    <mergeCell ref="P2:Q2"/>
    <mergeCell ref="R2:U2"/>
    <mergeCell ref="R3:U3"/>
    <mergeCell ref="I4:L4"/>
    <mergeCell ref="R4:U4"/>
  </mergeCells>
  <phoneticPr fontId="0" type="noConversion"/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J30"/>
  <sheetViews>
    <sheetView showGridLines="0" tabSelected="1" view="pageBreakPreview" zoomScale="50" zoomScaleNormal="50" zoomScaleSheetLayoutView="50" workbookViewId="0">
      <selection activeCell="B20" sqref="B20"/>
    </sheetView>
  </sheetViews>
  <sheetFormatPr defaultColWidth="9.42578125" defaultRowHeight="24"/>
  <cols>
    <col min="1" max="1" width="27.42578125" style="139" customWidth="1"/>
    <col min="2" max="2" width="95.85546875" style="137" customWidth="1"/>
    <col min="3" max="3" width="0.28515625" style="137" hidden="1" customWidth="1"/>
    <col min="4" max="4" width="30" style="178" customWidth="1"/>
    <col min="5" max="5" width="29.28515625" style="137" customWidth="1"/>
    <col min="6" max="6" width="40.42578125" style="178" bestFit="1" customWidth="1"/>
    <col min="7" max="9" width="9.42578125" style="137"/>
    <col min="10" max="10" width="32.5703125" style="178" customWidth="1"/>
    <col min="11" max="16384" width="9.42578125" style="137"/>
  </cols>
  <sheetData>
    <row r="1" spans="1:10" s="181" customFormat="1" ht="27">
      <c r="A1" s="2330" t="s">
        <v>265</v>
      </c>
      <c r="B1" s="2330"/>
      <c r="C1" s="2330"/>
      <c r="D1" s="2330"/>
      <c r="E1" s="2330"/>
      <c r="F1" s="177"/>
      <c r="J1" s="177"/>
    </row>
    <row r="2" spans="1:10" s="397" customFormat="1">
      <c r="A2" s="2335" t="s">
        <v>51</v>
      </c>
      <c r="B2" s="427" t="s">
        <v>1870</v>
      </c>
      <c r="C2" s="428"/>
      <c r="D2" s="428"/>
      <c r="E2" s="429"/>
      <c r="F2" s="398"/>
      <c r="J2" s="398"/>
    </row>
    <row r="3" spans="1:10">
      <c r="A3" s="2335"/>
      <c r="B3" s="430" t="s">
        <v>317</v>
      </c>
      <c r="C3" s="428"/>
      <c r="D3" s="428"/>
      <c r="E3" s="431"/>
    </row>
    <row r="4" spans="1:10">
      <c r="A4" s="2335"/>
      <c r="B4" s="430" t="s">
        <v>318</v>
      </c>
      <c r="C4" s="428"/>
      <c r="D4" s="428"/>
      <c r="E4" s="431"/>
    </row>
    <row r="5" spans="1:10">
      <c r="A5" s="2335"/>
      <c r="B5" s="428" t="s">
        <v>668</v>
      </c>
      <c r="C5" s="428"/>
      <c r="D5" s="428"/>
      <c r="E5" s="431"/>
    </row>
    <row r="6" spans="1:10" s="144" customFormat="1">
      <c r="A6" s="2335"/>
      <c r="B6" s="432" t="s">
        <v>603</v>
      </c>
      <c r="C6" s="433"/>
      <c r="D6" s="433"/>
      <c r="E6" s="434"/>
      <c r="F6" s="189"/>
      <c r="J6" s="189"/>
    </row>
    <row r="7" spans="1:10" s="144" customFormat="1">
      <c r="A7" s="426"/>
      <c r="B7" s="435" t="s">
        <v>2038</v>
      </c>
      <c r="C7" s="433"/>
      <c r="D7" s="433"/>
      <c r="E7" s="436" t="s">
        <v>146</v>
      </c>
      <c r="F7" s="189"/>
      <c r="J7" s="189"/>
    </row>
    <row r="8" spans="1:10" s="144" customFormat="1">
      <c r="A8" s="162"/>
      <c r="C8" s="146"/>
      <c r="D8" s="146"/>
      <c r="E8" s="149"/>
      <c r="F8" s="189"/>
      <c r="J8" s="189"/>
    </row>
    <row r="9" spans="1:10">
      <c r="A9" s="2331" t="s">
        <v>52</v>
      </c>
      <c r="B9" s="2324" t="s">
        <v>53</v>
      </c>
      <c r="C9" s="2325"/>
      <c r="D9" s="2333" t="s">
        <v>102</v>
      </c>
      <c r="E9" s="2325" t="s">
        <v>58</v>
      </c>
    </row>
    <row r="10" spans="1:10">
      <c r="A10" s="2332"/>
      <c r="B10" s="2326"/>
      <c r="C10" s="2327"/>
      <c r="D10" s="2334"/>
      <c r="E10" s="2327"/>
    </row>
    <row r="11" spans="1:10" s="156" customFormat="1">
      <c r="A11" s="157"/>
      <c r="B11" s="849" t="s">
        <v>1980</v>
      </c>
      <c r="C11" s="850"/>
      <c r="D11" s="186"/>
      <c r="E11" s="288"/>
      <c r="F11" s="178"/>
      <c r="J11" s="178"/>
    </row>
    <row r="12" spans="1:10" s="156" customFormat="1">
      <c r="A12" s="170"/>
      <c r="B12" s="852" t="s">
        <v>1981</v>
      </c>
      <c r="C12" s="853"/>
      <c r="D12" s="294"/>
      <c r="E12" s="286"/>
      <c r="F12" s="178"/>
      <c r="J12" s="178"/>
    </row>
    <row r="13" spans="1:10" s="156" customFormat="1">
      <c r="A13" s="170">
        <v>1</v>
      </c>
      <c r="B13" s="2328" t="s">
        <v>135</v>
      </c>
      <c r="C13" s="2329"/>
      <c r="D13" s="294">
        <f>'ปร5.ก'!E24</f>
        <v>250447333.54000002</v>
      </c>
      <c r="E13" s="286"/>
      <c r="F13" s="178"/>
      <c r="J13" s="178"/>
    </row>
    <row r="14" spans="1:10" s="156" customFormat="1">
      <c r="A14" s="157">
        <v>2</v>
      </c>
      <c r="B14" s="2321" t="s">
        <v>1975</v>
      </c>
      <c r="C14" s="2322"/>
      <c r="D14" s="186">
        <f>ปร5ข!E16</f>
        <v>41005938.490000002</v>
      </c>
      <c r="E14" s="288"/>
      <c r="F14" s="178"/>
      <c r="J14" s="178"/>
    </row>
    <row r="15" spans="1:10" s="156" customFormat="1">
      <c r="A15" s="157">
        <v>3</v>
      </c>
      <c r="B15" s="2321" t="s">
        <v>1854</v>
      </c>
      <c r="C15" s="2322"/>
      <c r="D15" s="186">
        <f>'ปร4 พ'!D19</f>
        <v>8548246.5</v>
      </c>
      <c r="E15" s="288"/>
      <c r="F15" s="178"/>
      <c r="J15" s="178"/>
    </row>
    <row r="16" spans="1:10" s="156" customFormat="1">
      <c r="A16" s="157"/>
      <c r="B16" s="2321"/>
      <c r="C16" s="2322"/>
      <c r="D16" s="186" t="s">
        <v>51</v>
      </c>
      <c r="E16" s="288"/>
      <c r="F16" s="178"/>
      <c r="J16" s="178"/>
    </row>
    <row r="17" spans="1:10" s="856" customFormat="1" ht="39">
      <c r="A17" s="207"/>
      <c r="B17" s="2317" t="s">
        <v>106</v>
      </c>
      <c r="C17" s="2318"/>
      <c r="D17" s="1539">
        <f>SUM(D13:D16)</f>
        <v>300001518.53000003</v>
      </c>
      <c r="E17" s="854"/>
      <c r="F17" s="855"/>
      <c r="J17" s="857"/>
    </row>
    <row r="18" spans="1:10" s="156" customFormat="1" ht="27.6" customHeight="1">
      <c r="A18" s="157"/>
      <c r="B18" s="664" t="s">
        <v>2040</v>
      </c>
      <c r="C18" s="222"/>
      <c r="D18" s="2306" t="s">
        <v>2039</v>
      </c>
      <c r="E18" s="288"/>
      <c r="F18" s="353"/>
      <c r="J18" s="295"/>
    </row>
    <row r="19" spans="1:10" s="156" customFormat="1">
      <c r="A19" s="157"/>
      <c r="B19" s="2321"/>
      <c r="C19" s="2322"/>
      <c r="D19" s="186"/>
      <c r="E19" s="288"/>
      <c r="F19" s="178"/>
      <c r="J19" s="295"/>
    </row>
    <row r="20" spans="1:10" s="156" customFormat="1" ht="24.75" thickBot="1">
      <c r="A20" s="157"/>
      <c r="D20" s="186"/>
      <c r="E20" s="288"/>
      <c r="F20" s="178"/>
      <c r="J20" s="178"/>
    </row>
    <row r="21" spans="1:10" s="356" customFormat="1" ht="27.75" thickTop="1">
      <c r="A21" s="2337" t="s">
        <v>112</v>
      </c>
      <c r="B21" s="2319" t="s">
        <v>602</v>
      </c>
      <c r="C21" s="2320"/>
      <c r="D21" s="851">
        <f>300000000</f>
        <v>300000000</v>
      </c>
      <c r="E21" s="354"/>
      <c r="F21" s="355"/>
      <c r="J21" s="295"/>
    </row>
    <row r="22" spans="1:10" s="156" customFormat="1" ht="27.75" thickBot="1">
      <c r="A22" s="2338"/>
      <c r="B22" s="2339" t="str">
        <f>"-"&amp;BAHTTEXT(D21)&amp;"-"</f>
        <v>-สามร้อยล้านบาทถ้วน-</v>
      </c>
      <c r="C22" s="2340"/>
      <c r="D22" s="2340"/>
      <c r="E22" s="2341"/>
      <c r="F22" s="178"/>
      <c r="J22" s="178"/>
    </row>
    <row r="23" spans="1:10" ht="24.75" thickTop="1">
      <c r="A23" s="274"/>
      <c r="B23" s="274"/>
      <c r="C23" s="274"/>
      <c r="D23" s="274"/>
      <c r="E23" s="274"/>
      <c r="F23" s="177"/>
    </row>
    <row r="24" spans="1:10">
      <c r="A24" s="274"/>
      <c r="B24" s="175" t="s">
        <v>133</v>
      </c>
      <c r="C24" s="205"/>
      <c r="D24" s="176" t="s">
        <v>134</v>
      </c>
      <c r="E24" s="178"/>
    </row>
    <row r="25" spans="1:10">
      <c r="A25" s="169"/>
      <c r="B25" s="176" t="s">
        <v>1769</v>
      </c>
      <c r="C25" s="176" t="s">
        <v>134</v>
      </c>
      <c r="D25" s="672" t="s">
        <v>1971</v>
      </c>
      <c r="E25" s="176"/>
    </row>
    <row r="26" spans="1:10" s="205" customFormat="1">
      <c r="A26" s="202"/>
      <c r="B26" s="262" t="s">
        <v>1970</v>
      </c>
      <c r="C26" s="672" t="s">
        <v>1971</v>
      </c>
      <c r="D26" s="176"/>
      <c r="E26" s="174"/>
      <c r="F26" s="262"/>
      <c r="J26" s="191"/>
    </row>
    <row r="27" spans="1:10" s="205" customFormat="1">
      <c r="A27" s="202"/>
      <c r="B27" s="2323" t="s">
        <v>2031</v>
      </c>
      <c r="C27" s="2323"/>
      <c r="D27" s="2323" t="s">
        <v>2031</v>
      </c>
      <c r="E27" s="2323"/>
      <c r="F27" s="178"/>
      <c r="J27" s="191"/>
    </row>
    <row r="28" spans="1:10" s="205" customFormat="1">
      <c r="A28" s="202"/>
      <c r="B28" s="2336" t="s">
        <v>1984</v>
      </c>
      <c r="C28" s="2336"/>
      <c r="D28" s="2336" t="s">
        <v>1985</v>
      </c>
      <c r="E28" s="2336"/>
      <c r="F28" s="178"/>
      <c r="J28" s="191"/>
    </row>
    <row r="29" spans="1:10" s="205" customFormat="1">
      <c r="A29" s="202"/>
      <c r="B29" s="2323" t="s">
        <v>670</v>
      </c>
      <c r="C29" s="2323"/>
      <c r="D29" s="178"/>
      <c r="E29" s="176"/>
      <c r="F29" s="178"/>
      <c r="J29" s="191"/>
    </row>
    <row r="30" spans="1:10">
      <c r="B30" s="2336" t="s">
        <v>1972</v>
      </c>
      <c r="C30" s="2336"/>
    </row>
  </sheetData>
  <mergeCells count="21">
    <mergeCell ref="B29:C29"/>
    <mergeCell ref="B30:C30"/>
    <mergeCell ref="B27:C27"/>
    <mergeCell ref="B28:C28"/>
    <mergeCell ref="A21:A22"/>
    <mergeCell ref="B22:E22"/>
    <mergeCell ref="D28:E28"/>
    <mergeCell ref="A1:E1"/>
    <mergeCell ref="E9:E10"/>
    <mergeCell ref="A9:A10"/>
    <mergeCell ref="D9:D10"/>
    <mergeCell ref="A2:A6"/>
    <mergeCell ref="B17:C17"/>
    <mergeCell ref="B21:C21"/>
    <mergeCell ref="B19:C19"/>
    <mergeCell ref="D27:E27"/>
    <mergeCell ref="B9:C10"/>
    <mergeCell ref="B13:C13"/>
    <mergeCell ref="B14:C14"/>
    <mergeCell ref="B15:C15"/>
    <mergeCell ref="B16:C16"/>
  </mergeCells>
  <phoneticPr fontId="17" type="noConversion"/>
  <printOptions horizontalCentered="1"/>
  <pageMargins left="0.23622047244094499" right="0.23599999999999999" top="0.511811024" bottom="0.261811024" header="0.5" footer="0.25"/>
  <pageSetup paperSize="9" scale="67" fitToHeight="0" orientation="landscape" r:id="rId1"/>
  <headerFooter alignWithMargins="0">
    <oddHeader>&amp;R&amp;"TH Sarabun New,ตัวหนา"&amp;16แบบ ปร.6 หน้าที่ &amp;P จาก 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E34"/>
  <sheetViews>
    <sheetView showGridLines="0" view="pageBreakPreview" topLeftCell="A10" zoomScale="85" zoomScaleNormal="100" zoomScaleSheetLayoutView="85" workbookViewId="0">
      <selection activeCell="C16" sqref="C16"/>
    </sheetView>
  </sheetViews>
  <sheetFormatPr defaultColWidth="39.5703125" defaultRowHeight="24"/>
  <cols>
    <col min="1" max="1" width="22.5703125" style="139" customWidth="1"/>
    <col min="2" max="2" width="84.140625" style="137" customWidth="1"/>
    <col min="3" max="3" width="26.7109375" style="137" customWidth="1"/>
    <col min="4" max="4" width="16.28515625" style="137" customWidth="1"/>
    <col min="5" max="5" width="21.7109375" style="137" customWidth="1"/>
    <col min="6" max="6" width="19.7109375" style="137" customWidth="1"/>
    <col min="7" max="7" width="4.28515625" style="281" customWidth="1"/>
    <col min="8" max="8" width="9.7109375" style="289" customWidth="1"/>
    <col min="9" max="9" width="28" style="178" customWidth="1"/>
    <col min="10" max="10" width="36.28515625" style="178" customWidth="1"/>
    <col min="11" max="13" width="28" style="156" customWidth="1"/>
    <col min="14" max="14" width="6" style="156" customWidth="1"/>
    <col min="15" max="15" width="10.42578125" style="156" customWidth="1"/>
    <col min="16" max="21" width="10.5703125" style="156" customWidth="1"/>
    <col min="22" max="51" width="4.5703125" style="156" customWidth="1"/>
    <col min="52" max="16384" width="39.5703125" style="156"/>
  </cols>
  <sheetData>
    <row r="1" spans="1:31" s="181" customFormat="1" ht="27">
      <c r="A1" s="2342" t="s">
        <v>266</v>
      </c>
      <c r="B1" s="2342"/>
      <c r="C1" s="2342"/>
      <c r="D1" s="2342"/>
      <c r="E1" s="2342"/>
      <c r="F1" s="2342"/>
      <c r="G1" s="305"/>
      <c r="H1" s="280" t="s">
        <v>268</v>
      </c>
      <c r="I1" s="177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</row>
    <row r="2" spans="1:31" s="137" customFormat="1">
      <c r="A2" s="2343" t="s">
        <v>51</v>
      </c>
      <c r="B2" s="306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C2" s="211"/>
      <c r="D2" s="211"/>
      <c r="E2" s="211"/>
      <c r="F2" s="219"/>
      <c r="G2" s="307"/>
      <c r="H2" s="280"/>
      <c r="I2" s="178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</row>
    <row r="3" spans="1:31" s="137" customFormat="1">
      <c r="A3" s="2343"/>
      <c r="B3" s="220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C3" s="211"/>
      <c r="D3" s="211"/>
      <c r="E3" s="211"/>
      <c r="F3" s="308"/>
      <c r="G3" s="309"/>
      <c r="H3" s="282"/>
      <c r="I3" s="178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</row>
    <row r="4" spans="1:31" s="137" customFormat="1">
      <c r="A4" s="2343"/>
      <c r="B4" s="220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4" s="211"/>
      <c r="D4" s="211"/>
      <c r="E4" s="211"/>
      <c r="F4" s="308"/>
      <c r="G4" s="309"/>
      <c r="H4" s="282"/>
      <c r="I4" s="178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</row>
    <row r="5" spans="1:31" s="137" customFormat="1">
      <c r="A5" s="2343"/>
      <c r="B5" s="211" t="str">
        <f>ปร6!B5</f>
        <v>แบบเลขที่  RMUTP-DOA-63-4-PL001.</v>
      </c>
      <c r="C5" s="211"/>
      <c r="D5" s="211"/>
      <c r="E5" s="211"/>
      <c r="F5" s="308"/>
      <c r="G5" s="309"/>
      <c r="H5" s="282"/>
      <c r="I5" s="178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</row>
    <row r="6" spans="1:31" s="144" customFormat="1">
      <c r="A6" s="2343"/>
      <c r="B6" s="213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212"/>
      <c r="D6" s="212"/>
      <c r="E6" s="212"/>
      <c r="F6" s="310"/>
      <c r="G6" s="311"/>
      <c r="H6" s="283"/>
      <c r="I6" s="189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</row>
    <row r="7" spans="1:31" s="144" customFormat="1" ht="24.75" thickBot="1">
      <c r="A7" s="162"/>
      <c r="B7" s="213" t="str">
        <f>ปร6!B7</f>
        <v>คำนวณราคากลาง   เมื่อวันที่ 16  เดือน สิงหาคม พ.ศ. 2567</v>
      </c>
      <c r="C7" s="212"/>
      <c r="D7" s="212"/>
      <c r="E7" s="212"/>
      <c r="F7" s="312" t="s">
        <v>146</v>
      </c>
      <c r="G7" s="313"/>
      <c r="H7" s="280"/>
      <c r="I7" s="189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</row>
    <row r="8" spans="1:31" s="144" customFormat="1">
      <c r="A8" s="162"/>
      <c r="B8" s="213"/>
      <c r="C8" s="212"/>
      <c r="D8" s="212"/>
      <c r="E8" s="212"/>
      <c r="F8" s="314"/>
      <c r="G8" s="311"/>
      <c r="H8" s="280"/>
      <c r="I8" s="189"/>
      <c r="J8" s="315"/>
      <c r="K8" s="316"/>
      <c r="L8" s="316"/>
      <c r="M8" s="317"/>
      <c r="N8" s="318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</row>
    <row r="9" spans="1:31" s="284" customFormat="1">
      <c r="A9" s="2348" t="s">
        <v>52</v>
      </c>
      <c r="B9" s="2346" t="s">
        <v>53</v>
      </c>
      <c r="C9" s="2344" t="s">
        <v>100</v>
      </c>
      <c r="D9" s="2348" t="s">
        <v>101</v>
      </c>
      <c r="E9" s="2344" t="s">
        <v>102</v>
      </c>
      <c r="F9" s="2346" t="s">
        <v>58</v>
      </c>
      <c r="G9" s="319"/>
      <c r="H9" s="320"/>
      <c r="I9" s="302"/>
      <c r="J9" s="321"/>
      <c r="K9" s="838"/>
      <c r="L9" s="838"/>
      <c r="M9" s="839"/>
      <c r="N9" s="322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  <c r="Z9" s="323"/>
      <c r="AA9" s="323"/>
      <c r="AB9" s="323"/>
      <c r="AC9" s="323"/>
      <c r="AD9" s="323"/>
      <c r="AE9" s="323"/>
    </row>
    <row r="10" spans="1:31" s="284" customFormat="1">
      <c r="A10" s="2349"/>
      <c r="B10" s="2347"/>
      <c r="C10" s="2345"/>
      <c r="D10" s="2349"/>
      <c r="E10" s="2345"/>
      <c r="F10" s="2347"/>
      <c r="G10" s="319"/>
      <c r="H10" s="320"/>
      <c r="I10" s="302"/>
      <c r="J10" s="324"/>
      <c r="K10" s="835"/>
      <c r="L10" s="835"/>
      <c r="M10" s="840"/>
      <c r="N10" s="325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23"/>
      <c r="AD10" s="323"/>
      <c r="AE10" s="323"/>
    </row>
    <row r="11" spans="1:31" s="285" customFormat="1">
      <c r="A11" s="326"/>
      <c r="B11" s="1538" t="str">
        <f>'ส่วนงานที่1 '!B11</f>
        <v>ส่วนงานที่ 1 ค่างานต้นทุน (คำนวณในราคาทุน)</v>
      </c>
      <c r="C11" s="328"/>
      <c r="D11" s="328"/>
      <c r="E11" s="328"/>
      <c r="F11" s="328"/>
      <c r="G11" s="329"/>
      <c r="H11" s="329"/>
      <c r="I11" s="295"/>
      <c r="J11" s="324"/>
      <c r="K11" s="835"/>
      <c r="L11" s="835"/>
      <c r="M11" s="840"/>
      <c r="N11" s="325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</row>
    <row r="12" spans="1:31">
      <c r="A12" s="257">
        <v>1</v>
      </c>
      <c r="B12" s="1536" t="str">
        <f>'ส่วนงานที่1 '!B12</f>
        <v>กลุ่มงานที่ 1 งานปรับปรุงและก่อสร้าง</v>
      </c>
      <c r="C12" s="1542">
        <f>'ส่วนงานที่1 '!E111</f>
        <v>194086979.72845799</v>
      </c>
      <c r="D12" s="1540">
        <v>1.2038</v>
      </c>
      <c r="E12" s="286">
        <f>ROUNDDOWN(C12*D12,2)</f>
        <v>233641906.19</v>
      </c>
      <c r="F12" s="286"/>
      <c r="G12" s="329"/>
      <c r="H12" s="329"/>
      <c r="J12" s="324"/>
      <c r="K12" s="835"/>
      <c r="L12" s="835"/>
      <c r="M12" s="840"/>
      <c r="N12" s="325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</row>
    <row r="13" spans="1:31">
      <c r="A13" s="214">
        <v>2</v>
      </c>
      <c r="B13" s="1537" t="str">
        <f>'ส่วนงานที่1 '!B112</f>
        <v>กลุ่มงานที่ 2 ครุภัณฑ์จัดจ้าง (สั่งทำ)</v>
      </c>
      <c r="C13" s="287">
        <f>'ส่วนงานที่1 '!E118</f>
        <v>7615155</v>
      </c>
      <c r="D13" s="1540">
        <v>1.2038</v>
      </c>
      <c r="E13" s="330">
        <f>ROUNDDOWN(C13*D13,2)</f>
        <v>9167123.5800000001</v>
      </c>
      <c r="F13" s="288"/>
      <c r="G13" s="329"/>
      <c r="H13" s="329"/>
      <c r="J13" s="324" t="s">
        <v>47</v>
      </c>
      <c r="K13" s="841">
        <f>C17</f>
        <v>208047294.86734799</v>
      </c>
      <c r="L13" s="835"/>
      <c r="M13" s="840"/>
      <c r="N13" s="325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</row>
    <row r="14" spans="1:31">
      <c r="A14" s="214">
        <v>3</v>
      </c>
      <c r="B14" s="1537" t="str">
        <f>'ส่วนงานที่1 '!B126</f>
        <v>กลุ่มงานที่ 3 งานภูมิสถาปัตยกรรม</v>
      </c>
      <c r="C14" s="287">
        <f>'ส่วนงานที่1 '!E133</f>
        <v>6345160.1388899991</v>
      </c>
      <c r="D14" s="1540">
        <v>1.2038</v>
      </c>
      <c r="E14" s="330">
        <f>ROUNDDOWN(C14*D14,2)</f>
        <v>7638303.7699999996</v>
      </c>
      <c r="F14" s="288"/>
      <c r="G14" s="329"/>
      <c r="H14" s="329"/>
      <c r="J14" s="324" t="s">
        <v>48</v>
      </c>
      <c r="K14" s="835">
        <v>200000000</v>
      </c>
      <c r="L14" s="840"/>
      <c r="M14" s="840"/>
      <c r="N14" s="325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</row>
    <row r="15" spans="1:31">
      <c r="A15" s="215"/>
      <c r="B15" s="331"/>
      <c r="C15" s="288"/>
      <c r="D15" s="331"/>
      <c r="E15" s="288"/>
      <c r="F15" s="288"/>
      <c r="G15" s="309"/>
      <c r="J15" s="303" t="s">
        <v>360</v>
      </c>
      <c r="K15" s="838">
        <v>250000000</v>
      </c>
      <c r="L15" s="840"/>
      <c r="M15" s="840"/>
      <c r="N15" s="325"/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  <c r="AA15" s="329"/>
      <c r="AB15" s="329"/>
      <c r="AC15" s="329"/>
      <c r="AD15" s="329"/>
      <c r="AE15" s="329"/>
    </row>
    <row r="16" spans="1:31">
      <c r="A16" s="272"/>
      <c r="B16" s="332"/>
      <c r="C16" s="290"/>
      <c r="D16" s="332"/>
      <c r="E16" s="290"/>
      <c r="F16" s="290"/>
      <c r="G16" s="309"/>
      <c r="I16" s="295"/>
      <c r="J16" s="335" t="s">
        <v>361</v>
      </c>
      <c r="K16" s="842">
        <v>1.2073</v>
      </c>
      <c r="L16" s="843"/>
      <c r="M16" s="843"/>
      <c r="N16" s="304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</row>
    <row r="17" spans="1:14" s="152" customFormat="1">
      <c r="A17" s="300"/>
      <c r="B17" s="327" t="s">
        <v>1979</v>
      </c>
      <c r="C17" s="333">
        <f>SUM(C12:C16)</f>
        <v>208047294.86734799</v>
      </c>
      <c r="D17" s="327"/>
      <c r="E17" s="333"/>
      <c r="F17" s="333"/>
      <c r="G17" s="334"/>
      <c r="H17" s="291"/>
      <c r="I17" s="323"/>
      <c r="J17" s="335" t="s">
        <v>362</v>
      </c>
      <c r="K17" s="842">
        <v>1.2070000000000001</v>
      </c>
      <c r="N17" s="844"/>
    </row>
    <row r="18" spans="1:14">
      <c r="A18" s="258"/>
      <c r="B18" s="336" t="s">
        <v>103</v>
      </c>
      <c r="C18" s="286"/>
      <c r="D18" s="337"/>
      <c r="E18" s="286"/>
      <c r="F18" s="337"/>
      <c r="G18" s="309"/>
      <c r="I18" s="295"/>
      <c r="J18" s="335"/>
      <c r="K18" s="842"/>
      <c r="N18" s="845"/>
    </row>
    <row r="19" spans="1:14">
      <c r="A19" s="215"/>
      <c r="B19" s="331" t="s">
        <v>1770</v>
      </c>
      <c r="C19" s="338"/>
      <c r="D19" s="331"/>
      <c r="E19" s="288"/>
      <c r="F19" s="331"/>
      <c r="G19" s="309"/>
      <c r="I19" s="295"/>
      <c r="J19" s="324"/>
      <c r="K19" s="292"/>
      <c r="N19" s="845"/>
    </row>
    <row r="20" spans="1:14" ht="24.75" thickBot="1">
      <c r="A20" s="215"/>
      <c r="B20" s="331" t="s">
        <v>2030</v>
      </c>
      <c r="C20" s="331"/>
      <c r="D20" s="331"/>
      <c r="E20" s="288"/>
      <c r="F20" s="331"/>
      <c r="G20" s="309"/>
      <c r="I20" s="295"/>
      <c r="J20" s="340" t="s">
        <v>101</v>
      </c>
      <c r="K20" s="846">
        <f>K16-((K16-K17)*(K13-K14))/(K15-K14)</f>
        <v>1.2072517162307959</v>
      </c>
      <c r="L20" s="847"/>
      <c r="M20" s="847"/>
      <c r="N20" s="848"/>
    </row>
    <row r="21" spans="1:14">
      <c r="A21" s="215"/>
      <c r="B21" s="331" t="s">
        <v>1853</v>
      </c>
      <c r="C21" s="331"/>
      <c r="D21" s="331"/>
      <c r="E21" s="288"/>
      <c r="F21" s="331"/>
      <c r="G21" s="309"/>
      <c r="I21" s="295"/>
    </row>
    <row r="22" spans="1:14">
      <c r="A22" s="215"/>
      <c r="B22" s="331" t="s">
        <v>1771</v>
      </c>
      <c r="C22" s="288"/>
      <c r="D22" s="331"/>
      <c r="E22" s="288"/>
      <c r="F22" s="288"/>
      <c r="G22" s="339"/>
      <c r="I22" s="767"/>
      <c r="J22" s="835"/>
      <c r="K22" s="836"/>
    </row>
    <row r="23" spans="1:14" ht="24.75" thickBot="1">
      <c r="A23" s="272"/>
      <c r="B23" s="332"/>
      <c r="C23" s="290"/>
      <c r="D23" s="332"/>
      <c r="E23" s="290"/>
      <c r="F23" s="290"/>
      <c r="G23" s="339"/>
      <c r="I23" s="767"/>
      <c r="J23" s="835"/>
      <c r="K23" s="835"/>
    </row>
    <row r="24" spans="1:14" s="293" customFormat="1" ht="25.5" thickTop="1" thickBot="1">
      <c r="A24" s="301"/>
      <c r="B24" s="341" t="s">
        <v>79</v>
      </c>
      <c r="C24" s="341"/>
      <c r="D24" s="341"/>
      <c r="E24" s="1541">
        <f>SUM(E12:E23)</f>
        <v>250447333.54000002</v>
      </c>
      <c r="F24" s="341"/>
      <c r="G24" s="342"/>
      <c r="H24" s="343"/>
      <c r="I24" s="837"/>
      <c r="J24" s="837"/>
      <c r="K24" s="837"/>
    </row>
    <row r="25" spans="1:14" ht="24.75" thickTop="1">
      <c r="A25" s="274"/>
      <c r="B25" s="344"/>
      <c r="C25" s="345"/>
      <c r="D25" s="345"/>
      <c r="E25" s="295"/>
      <c r="F25" s="211"/>
      <c r="G25" s="309"/>
      <c r="H25" s="309"/>
      <c r="I25" s="211"/>
      <c r="J25" s="211"/>
      <c r="K25" s="211"/>
    </row>
    <row r="26" spans="1:14" s="137" customFormat="1">
      <c r="A26" s="274"/>
      <c r="B26" s="175" t="s">
        <v>133</v>
      </c>
      <c r="C26" s="205"/>
      <c r="D26" s="176"/>
      <c r="E26" s="178"/>
      <c r="F26" s="178"/>
      <c r="J26" s="178"/>
    </row>
    <row r="27" spans="1:14" s="137" customFormat="1">
      <c r="A27" s="169"/>
      <c r="B27" s="176" t="s">
        <v>1769</v>
      </c>
      <c r="C27" s="176" t="s">
        <v>134</v>
      </c>
      <c r="D27" s="672"/>
      <c r="E27" s="176"/>
      <c r="F27" s="178"/>
      <c r="J27" s="178"/>
    </row>
    <row r="28" spans="1:14" s="205" customFormat="1">
      <c r="A28" s="202"/>
      <c r="B28" s="262" t="s">
        <v>1970</v>
      </c>
      <c r="C28" s="672" t="s">
        <v>1971</v>
      </c>
      <c r="D28" s="176"/>
      <c r="E28" s="174"/>
      <c r="F28" s="174"/>
      <c r="J28" s="191"/>
    </row>
    <row r="29" spans="1:14" s="205" customFormat="1">
      <c r="A29" s="202"/>
      <c r="B29" s="176" t="s">
        <v>2031</v>
      </c>
      <c r="C29" s="176" t="s">
        <v>2031</v>
      </c>
      <c r="D29" s="176"/>
      <c r="E29" s="176"/>
      <c r="F29" s="178"/>
      <c r="J29" s="191"/>
    </row>
    <row r="30" spans="1:14" s="205" customFormat="1">
      <c r="A30" s="202"/>
      <c r="B30" s="174" t="s">
        <v>1984</v>
      </c>
      <c r="C30" s="174" t="s">
        <v>1985</v>
      </c>
      <c r="D30" s="174"/>
      <c r="F30" s="178"/>
      <c r="J30" s="191"/>
    </row>
    <row r="31" spans="1:14" s="205" customFormat="1">
      <c r="A31" s="202"/>
      <c r="B31" s="176" t="s">
        <v>670</v>
      </c>
      <c r="C31" s="176"/>
      <c r="D31" s="178"/>
      <c r="E31" s="176"/>
      <c r="F31" s="178"/>
      <c r="J31" s="191"/>
    </row>
    <row r="32" spans="1:14" s="137" customFormat="1">
      <c r="A32" s="139"/>
      <c r="B32" s="174" t="s">
        <v>1972</v>
      </c>
      <c r="C32" s="174"/>
      <c r="D32" s="178"/>
      <c r="F32" s="178"/>
      <c r="J32" s="178"/>
    </row>
    <row r="34" spans="3:5" s="137" customFormat="1">
      <c r="C34" s="2323"/>
      <c r="D34" s="2323"/>
      <c r="E34" s="2323"/>
    </row>
  </sheetData>
  <mergeCells count="9">
    <mergeCell ref="C34:E34"/>
    <mergeCell ref="A1:F1"/>
    <mergeCell ref="A2:A6"/>
    <mergeCell ref="E9:E10"/>
    <mergeCell ref="F9:F10"/>
    <mergeCell ref="A9:A10"/>
    <mergeCell ref="B9:B10"/>
    <mergeCell ref="C9:C10"/>
    <mergeCell ref="D9:D10"/>
  </mergeCells>
  <printOptions horizontalCentered="1"/>
  <pageMargins left="0.23622047244094499" right="0.23622047244094499" top="0.51100000000000001" bottom="0.26100000000000001" header="0.5" footer="0.31496062992126"/>
  <pageSetup paperSize="9" scale="63" fitToHeight="0" orientation="landscape" r:id="rId1"/>
  <headerFooter alignWithMargins="0">
    <oddHeader>&amp;R&amp;"TH Sarabun New,ตัวหนา"&amp;16แบบ ปร.5 (ก) หน้าที่ &amp;P จาก &amp;N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H28"/>
  <sheetViews>
    <sheetView showGridLines="0" view="pageBreakPreview" zoomScale="70" zoomScaleNormal="70" zoomScaleSheetLayoutView="70" workbookViewId="0">
      <selection activeCell="C9" sqref="C9:C10"/>
    </sheetView>
  </sheetViews>
  <sheetFormatPr defaultColWidth="9.42578125" defaultRowHeight="24"/>
  <cols>
    <col min="1" max="1" width="26.7109375" style="202" customWidth="1"/>
    <col min="2" max="2" width="71.42578125" style="181" customWidth="1"/>
    <col min="3" max="3" width="25.7109375" style="181" customWidth="1"/>
    <col min="4" max="4" width="19.5703125" style="181" customWidth="1"/>
    <col min="5" max="5" width="24.42578125" style="181" customWidth="1"/>
    <col min="6" max="6" width="20.42578125" style="181" customWidth="1"/>
    <col min="7" max="7" width="9.42578125" style="181"/>
    <col min="8" max="8" width="15.7109375" style="181" bestFit="1" customWidth="1"/>
    <col min="9" max="16384" width="9.42578125" style="181"/>
  </cols>
  <sheetData>
    <row r="1" spans="1:8" s="182" customFormat="1" ht="27">
      <c r="A1" s="2352" t="s">
        <v>267</v>
      </c>
      <c r="B1" s="2352"/>
      <c r="C1" s="2352"/>
      <c r="D1" s="2352"/>
      <c r="E1" s="2352"/>
      <c r="F1" s="2352"/>
    </row>
    <row r="2" spans="1:8" s="137" customFormat="1">
      <c r="A2" s="2343"/>
      <c r="B2" s="138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F2" s="275"/>
    </row>
    <row r="3" spans="1:8" s="137" customFormat="1">
      <c r="A3" s="2343"/>
      <c r="B3" s="143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F3" s="141"/>
    </row>
    <row r="4" spans="1:8" s="137" customFormat="1">
      <c r="A4" s="2343"/>
      <c r="B4" s="143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F4" s="141"/>
    </row>
    <row r="5" spans="1:8" s="137" customFormat="1">
      <c r="A5" s="2343"/>
      <c r="B5" s="137" t="str">
        <f>ปร6!B5</f>
        <v>แบบเลขที่  RMUTP-DOA-63-4-PL001.</v>
      </c>
      <c r="F5" s="141"/>
    </row>
    <row r="6" spans="1:8" s="144" customFormat="1">
      <c r="A6" s="2343"/>
      <c r="B6" s="144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46"/>
      <c r="D6" s="146"/>
      <c r="E6" s="146"/>
      <c r="F6" s="276"/>
    </row>
    <row r="7" spans="1:8" s="144" customFormat="1">
      <c r="A7" s="2343"/>
      <c r="B7" s="144" t="str">
        <f>ปร6!B7</f>
        <v>คำนวณราคากลาง   เมื่อวันที่ 16  เดือน สิงหาคม พ.ศ. 2567</v>
      </c>
      <c r="C7" s="146"/>
      <c r="D7" s="146"/>
      <c r="E7" s="149"/>
      <c r="F7" s="241" t="s">
        <v>146</v>
      </c>
    </row>
    <row r="8" spans="1:8" s="144" customFormat="1">
      <c r="A8" s="2343"/>
      <c r="C8" s="146"/>
      <c r="D8" s="146"/>
      <c r="E8" s="146"/>
      <c r="F8" s="147"/>
    </row>
    <row r="9" spans="1:8">
      <c r="A9" s="2350" t="s">
        <v>52</v>
      </c>
      <c r="B9" s="2350" t="s">
        <v>53</v>
      </c>
      <c r="C9" s="2350" t="s">
        <v>104</v>
      </c>
      <c r="D9" s="2353" t="s">
        <v>42</v>
      </c>
      <c r="E9" s="2353" t="s">
        <v>102</v>
      </c>
      <c r="F9" s="2353" t="s">
        <v>58</v>
      </c>
    </row>
    <row r="10" spans="1:8">
      <c r="A10" s="2351"/>
      <c r="B10" s="2351"/>
      <c r="C10" s="2351"/>
      <c r="D10" s="2354"/>
      <c r="E10" s="2354"/>
      <c r="F10" s="2354"/>
    </row>
    <row r="11" spans="1:8" s="202" customFormat="1">
      <c r="A11" s="357"/>
      <c r="B11" s="358" t="s">
        <v>1975</v>
      </c>
      <c r="C11" s="357"/>
      <c r="D11" s="357"/>
      <c r="E11" s="357"/>
      <c r="F11" s="198"/>
    </row>
    <row r="12" spans="1:8" s="139" customFormat="1">
      <c r="A12" s="192">
        <v>1</v>
      </c>
      <c r="B12" s="277" t="str">
        <f>'9.ส่วนงานที่2'!B19</f>
        <v>รวมราคา ส่วนงานที่ 2 ค่างานครุภัณฑ์สั่งซื้อ ( จัดซื้อ )</v>
      </c>
      <c r="C12" s="200">
        <f>'9.ส่วนงานที่2'!E19</f>
        <v>38323307</v>
      </c>
      <c r="D12" s="200">
        <v>1.07</v>
      </c>
      <c r="E12" s="200">
        <f>C12*D12</f>
        <v>41005938.490000002</v>
      </c>
      <c r="F12" s="278"/>
      <c r="H12" s="446"/>
    </row>
    <row r="13" spans="1:8" s="202" customFormat="1">
      <c r="A13" s="167"/>
      <c r="B13" s="279"/>
      <c r="C13" s="255"/>
      <c r="D13" s="255"/>
      <c r="E13" s="255"/>
      <c r="F13" s="254"/>
    </row>
    <row r="14" spans="1:8" s="182" customFormat="1">
      <c r="A14" s="346"/>
      <c r="B14" s="834" t="s">
        <v>145</v>
      </c>
      <c r="C14" s="359">
        <f>SUM(C12:C13)</f>
        <v>38323307</v>
      </c>
      <c r="D14" s="360"/>
      <c r="E14" s="359"/>
      <c r="F14" s="361"/>
    </row>
    <row r="15" spans="1:8" s="182" customFormat="1" ht="24.75" thickBot="1">
      <c r="A15" s="447"/>
      <c r="B15" s="830"/>
      <c r="C15" s="831"/>
      <c r="D15" s="832"/>
      <c r="E15" s="831"/>
      <c r="F15" s="833"/>
    </row>
    <row r="16" spans="1:8" s="182" customFormat="1" ht="25.5" thickTop="1" thickBot="1">
      <c r="A16" s="362"/>
      <c r="B16" s="363" t="str">
        <f>"รวมราคา "&amp;B11</f>
        <v>รวมราคา ส่วนงานที่ 2 ค่างานครุภัณฑ์ สั่งซื้อ( จัดซื้อ )</v>
      </c>
      <c r="C16" s="364"/>
      <c r="D16" s="362"/>
      <c r="E16" s="364">
        <f>SUM(E12:E15)</f>
        <v>41005938.490000002</v>
      </c>
      <c r="F16" s="362"/>
    </row>
    <row r="17" spans="1:6" ht="24.75" thickTop="1">
      <c r="A17" s="274"/>
      <c r="B17" s="274"/>
      <c r="C17" s="274"/>
      <c r="D17" s="274"/>
      <c r="E17" s="274"/>
      <c r="F17" s="162"/>
    </row>
    <row r="18" spans="1:6">
      <c r="A18" s="274"/>
      <c r="B18" s="175" t="s">
        <v>133</v>
      </c>
      <c r="C18" s="205"/>
      <c r="D18" s="176"/>
      <c r="E18" s="178"/>
      <c r="F18" s="137"/>
    </row>
    <row r="19" spans="1:6">
      <c r="A19" s="274"/>
      <c r="B19" s="176" t="s">
        <v>1769</v>
      </c>
      <c r="C19" s="176" t="s">
        <v>134</v>
      </c>
      <c r="D19" s="672"/>
      <c r="E19" s="176"/>
      <c r="F19" s="137"/>
    </row>
    <row r="20" spans="1:6" s="137" customFormat="1">
      <c r="A20" s="169"/>
      <c r="B20" s="262" t="s">
        <v>1970</v>
      </c>
      <c r="C20" s="672" t="s">
        <v>1971</v>
      </c>
      <c r="D20" s="176"/>
      <c r="E20" s="174"/>
    </row>
    <row r="21" spans="1:6" s="137" customFormat="1">
      <c r="A21" s="202"/>
      <c r="B21" s="176" t="s">
        <v>2031</v>
      </c>
      <c r="C21" s="176" t="s">
        <v>2031</v>
      </c>
      <c r="D21" s="176"/>
      <c r="E21" s="176"/>
      <c r="F21" s="174"/>
    </row>
    <row r="22" spans="1:6" s="137" customFormat="1">
      <c r="A22" s="202"/>
      <c r="B22" s="174" t="s">
        <v>1984</v>
      </c>
      <c r="C22" s="174" t="s">
        <v>1985</v>
      </c>
      <c r="D22" s="174"/>
      <c r="E22" s="205"/>
      <c r="F22" s="262"/>
    </row>
    <row r="23" spans="1:6" s="137" customFormat="1">
      <c r="A23" s="202"/>
      <c r="B23" s="176" t="s">
        <v>670</v>
      </c>
      <c r="C23" s="176"/>
      <c r="D23" s="178"/>
      <c r="E23" s="176"/>
    </row>
    <row r="24" spans="1:6" s="137" customFormat="1">
      <c r="A24" s="202"/>
      <c r="B24" s="174" t="s">
        <v>1972</v>
      </c>
      <c r="C24" s="174"/>
      <c r="D24" s="178"/>
    </row>
    <row r="25" spans="1:6" s="137" customFormat="1">
      <c r="A25" s="202"/>
      <c r="B25" s="262"/>
      <c r="D25" s="262"/>
      <c r="E25" s="176"/>
    </row>
    <row r="26" spans="1:6" s="137" customFormat="1">
      <c r="A26" s="202"/>
      <c r="B26" s="176"/>
      <c r="C26" s="176"/>
      <c r="D26" s="178"/>
      <c r="E26" s="176"/>
    </row>
    <row r="27" spans="1:6" s="137" customFormat="1">
      <c r="A27" s="139"/>
      <c r="B27" s="262"/>
      <c r="D27" s="178"/>
    </row>
    <row r="28" spans="1:6">
      <c r="A28" s="139"/>
      <c r="B28" s="137"/>
      <c r="C28" s="137"/>
      <c r="D28" s="178"/>
      <c r="E28" s="137"/>
      <c r="F28" s="137"/>
    </row>
  </sheetData>
  <mergeCells count="8">
    <mergeCell ref="A2:A8"/>
    <mergeCell ref="A9:A10"/>
    <mergeCell ref="B9:B10"/>
    <mergeCell ref="A1:F1"/>
    <mergeCell ref="C9:C10"/>
    <mergeCell ref="D9:D10"/>
    <mergeCell ref="E9:E10"/>
    <mergeCell ref="F9:F10"/>
  </mergeCells>
  <printOptions horizontalCentered="1"/>
  <pageMargins left="0.23599999999999999" right="0.23599999999999999" top="0.51100000000000001" bottom="0.26100000000000001" header="0.5" footer="0.3"/>
  <pageSetup paperSize="9" scale="70" fitToHeight="13" orientation="landscape" r:id="rId1"/>
  <headerFooter alignWithMargins="0">
    <oddHeader>&amp;R&amp;"TH Sarabun New,ตัวหนา"&amp;16แบบ ปร.5 (ข) หน้าที่ &amp;P จาก 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G31"/>
  <sheetViews>
    <sheetView showGridLines="0" view="pageBreakPreview" topLeftCell="B7" zoomScale="85" zoomScaleNormal="70" zoomScaleSheetLayoutView="85" workbookViewId="0">
      <selection activeCell="C8" sqref="C8"/>
    </sheetView>
  </sheetViews>
  <sheetFormatPr defaultColWidth="9.42578125" defaultRowHeight="24" customHeight="1"/>
  <cols>
    <col min="1" max="1" width="3.5703125" style="181" hidden="1" customWidth="1"/>
    <col min="2" max="2" width="22.28515625" style="202" customWidth="1"/>
    <col min="3" max="3" width="93.42578125" style="181" customWidth="1"/>
    <col min="4" max="4" width="34.5703125" style="181" customWidth="1"/>
    <col min="5" max="5" width="32.28515625" style="181" customWidth="1"/>
    <col min="6" max="16384" width="9.42578125" style="181"/>
  </cols>
  <sheetData>
    <row r="1" spans="1:5" ht="24" customHeight="1">
      <c r="A1" s="2352" t="s">
        <v>669</v>
      </c>
      <c r="B1" s="2352"/>
      <c r="C1" s="2352"/>
      <c r="D1" s="2352"/>
      <c r="E1" s="2352"/>
    </row>
    <row r="2" spans="1:5" s="137" customFormat="1" ht="24" customHeight="1">
      <c r="A2" s="2343"/>
      <c r="C2" s="138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E2" s="202"/>
    </row>
    <row r="3" spans="1:5" s="137" customFormat="1" ht="24" customHeight="1">
      <c r="A3" s="2343"/>
      <c r="C3" s="143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</row>
    <row r="4" spans="1:5" s="137" customFormat="1" ht="24" customHeight="1">
      <c r="A4" s="2343"/>
      <c r="C4" s="143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</row>
    <row r="5" spans="1:5" s="137" customFormat="1" ht="24" customHeight="1">
      <c r="A5" s="2343"/>
      <c r="C5" s="137" t="str">
        <f>ปร6!B5</f>
        <v>แบบเลขที่  RMUTP-DOA-63-4-PL001.</v>
      </c>
    </row>
    <row r="6" spans="1:5" s="144" customFormat="1" ht="24" customHeight="1">
      <c r="A6" s="2343"/>
      <c r="C6" s="144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46"/>
      <c r="E6" s="147"/>
    </row>
    <row r="7" spans="1:5" s="144" customFormat="1" ht="24" customHeight="1">
      <c r="A7" s="2343"/>
      <c r="C7" s="144" t="str">
        <f>ปร6!B7</f>
        <v>คำนวณราคากลาง   เมื่อวันที่ 16  เดือน สิงหาคม พ.ศ. 2567</v>
      </c>
      <c r="D7" s="146"/>
      <c r="E7" s="147"/>
    </row>
    <row r="8" spans="1:5" s="144" customFormat="1" ht="24" customHeight="1" thickBot="1">
      <c r="A8" s="2355"/>
      <c r="D8" s="146"/>
      <c r="E8" s="241" t="s">
        <v>146</v>
      </c>
    </row>
    <row r="9" spans="1:5" s="206" customFormat="1" ht="24" customHeight="1" thickTop="1">
      <c r="B9" s="2331" t="s">
        <v>52</v>
      </c>
      <c r="C9" s="2353" t="s">
        <v>53</v>
      </c>
      <c r="D9" s="2353" t="s">
        <v>104</v>
      </c>
      <c r="E9" s="2353" t="s">
        <v>58</v>
      </c>
    </row>
    <row r="10" spans="1:5" s="206" customFormat="1" ht="24" customHeight="1">
      <c r="B10" s="2332"/>
      <c r="C10" s="2354"/>
      <c r="D10" s="2354"/>
      <c r="E10" s="2354"/>
    </row>
    <row r="11" spans="1:5" s="137" customFormat="1">
      <c r="B11" s="357"/>
      <c r="C11" s="360" t="s">
        <v>1854</v>
      </c>
      <c r="D11" s="197"/>
      <c r="E11" s="197"/>
    </row>
    <row r="12" spans="1:5" s="137" customFormat="1">
      <c r="B12" s="192">
        <v>1</v>
      </c>
      <c r="C12" s="273" t="str">
        <f>'10.ส่วนงานที่3 '!B12</f>
        <v>รวมราคา ส่วนงานที่ 3 ค่าใช้จ่ายพิเศษตามข้อกำหนด</v>
      </c>
      <c r="D12" s="460">
        <f>'10.ส่วนงานที่3 '!E15</f>
        <v>8548246.5</v>
      </c>
      <c r="E12" s="460"/>
    </row>
    <row r="13" spans="1:5" s="137" customFormat="1">
      <c r="B13" s="167"/>
      <c r="C13" s="461"/>
      <c r="D13" s="462"/>
      <c r="E13" s="462"/>
    </row>
    <row r="14" spans="1:5" s="137" customFormat="1">
      <c r="B14" s="167"/>
      <c r="C14" s="461"/>
      <c r="D14" s="462"/>
      <c r="E14" s="462"/>
    </row>
    <row r="15" spans="1:5" s="137" customFormat="1">
      <c r="B15" s="167"/>
      <c r="C15" s="461"/>
      <c r="D15" s="462"/>
      <c r="E15" s="462"/>
    </row>
    <row r="16" spans="1:5" s="137" customFormat="1">
      <c r="B16" s="167"/>
      <c r="C16" s="461"/>
      <c r="D16" s="462"/>
      <c r="E16" s="462"/>
    </row>
    <row r="17" spans="2:7" s="137" customFormat="1">
      <c r="B17" s="167"/>
      <c r="C17" s="461"/>
      <c r="D17" s="462"/>
      <c r="E17" s="462"/>
    </row>
    <row r="18" spans="2:7" s="137" customFormat="1" ht="24.75" thickBot="1">
      <c r="B18" s="167"/>
      <c r="C18" s="463"/>
      <c r="D18" s="463"/>
      <c r="E18" s="463"/>
    </row>
    <row r="19" spans="2:7" s="458" customFormat="1" ht="25.5" thickTop="1" thickBot="1">
      <c r="B19" s="1535"/>
      <c r="C19" s="363" t="str">
        <f>"รวมราคา "&amp;C11</f>
        <v>รวมราคา ส่วนงานที่ 3 ค่าใช้จ่ายพิเศษตามข้อกำหนด</v>
      </c>
      <c r="D19" s="364">
        <f>D12</f>
        <v>8548246.5</v>
      </c>
      <c r="E19" s="364"/>
    </row>
    <row r="20" spans="2:7" ht="24" customHeight="1" thickTop="1">
      <c r="B20" s="274"/>
      <c r="C20" s="274"/>
      <c r="D20" s="274"/>
      <c r="E20" s="274"/>
      <c r="F20" s="274"/>
      <c r="G20" s="162"/>
    </row>
    <row r="21" spans="2:7" s="137" customFormat="1" ht="24" customHeight="1">
      <c r="B21" s="274"/>
      <c r="C21" s="175" t="s">
        <v>133</v>
      </c>
      <c r="D21" s="205"/>
      <c r="E21" s="176"/>
      <c r="F21" s="178"/>
    </row>
    <row r="22" spans="2:7" s="137" customFormat="1" ht="24" customHeight="1">
      <c r="B22" s="274"/>
      <c r="C22" s="176" t="s">
        <v>1769</v>
      </c>
      <c r="D22" s="176" t="s">
        <v>134</v>
      </c>
      <c r="E22" s="672"/>
      <c r="F22" s="176"/>
    </row>
    <row r="23" spans="2:7" s="137" customFormat="1" ht="24" customHeight="1">
      <c r="B23" s="169"/>
      <c r="C23" s="262" t="s">
        <v>1970</v>
      </c>
      <c r="D23" s="672" t="s">
        <v>1971</v>
      </c>
      <c r="E23" s="176"/>
      <c r="F23" s="174"/>
    </row>
    <row r="24" spans="2:7" s="137" customFormat="1" ht="24" customHeight="1">
      <c r="B24" s="202"/>
      <c r="C24" s="176" t="s">
        <v>2031</v>
      </c>
      <c r="D24" s="176" t="s">
        <v>2037</v>
      </c>
      <c r="E24" s="176"/>
      <c r="F24" s="262"/>
      <c r="G24" s="176"/>
    </row>
    <row r="25" spans="2:7" s="137" customFormat="1" ht="24" customHeight="1">
      <c r="B25" s="202"/>
      <c r="C25" s="174" t="s">
        <v>1984</v>
      </c>
      <c r="D25" s="174" t="s">
        <v>1985</v>
      </c>
      <c r="E25" s="174"/>
      <c r="F25" s="176"/>
      <c r="G25" s="262"/>
    </row>
    <row r="26" spans="2:7" s="137" customFormat="1" ht="24" customHeight="1">
      <c r="B26" s="202"/>
      <c r="C26" s="176" t="s">
        <v>670</v>
      </c>
      <c r="D26" s="176"/>
      <c r="E26" s="178"/>
      <c r="F26" s="174"/>
    </row>
    <row r="27" spans="2:7" s="137" customFormat="1" ht="24" customHeight="1">
      <c r="B27" s="202"/>
      <c r="C27" s="174" t="s">
        <v>1972</v>
      </c>
      <c r="D27" s="174"/>
      <c r="E27" s="178"/>
      <c r="F27" s="176"/>
    </row>
    <row r="28" spans="2:7" s="137" customFormat="1" ht="24" customHeight="1">
      <c r="B28" s="202"/>
      <c r="C28" s="262"/>
      <c r="E28" s="262"/>
      <c r="F28" s="176"/>
    </row>
    <row r="29" spans="2:7" ht="24" customHeight="1">
      <c r="C29" s="174"/>
      <c r="D29" s="176"/>
      <c r="E29" s="178"/>
      <c r="F29" s="176"/>
      <c r="G29" s="137"/>
    </row>
    <row r="30" spans="2:7" ht="24" customHeight="1">
      <c r="B30" s="139"/>
      <c r="C30" s="261"/>
      <c r="D30" s="137"/>
      <c r="E30" s="178"/>
      <c r="F30" s="137"/>
      <c r="G30" s="137"/>
    </row>
    <row r="31" spans="2:7" ht="24" customHeight="1">
      <c r="B31" s="139"/>
      <c r="C31" s="137"/>
      <c r="D31" s="137"/>
      <c r="E31" s="178"/>
      <c r="F31" s="137"/>
      <c r="G31" s="137"/>
    </row>
  </sheetData>
  <mergeCells count="6">
    <mergeCell ref="A1:E1"/>
    <mergeCell ref="A2:A8"/>
    <mergeCell ref="B9:B10"/>
    <mergeCell ref="C9:C10"/>
    <mergeCell ref="D9:D10"/>
    <mergeCell ref="E9:E10"/>
  </mergeCells>
  <printOptions horizontalCentered="1"/>
  <pageMargins left="0.23599999999999999" right="0.23599999999999999" top="0.51100000000000001" bottom="0.26100000000000001" header="0.5" footer="0.3"/>
  <pageSetup paperSize="9" scale="70" fitToHeight="0" orientation="landscape" r:id="rId1"/>
  <headerFooter alignWithMargins="0">
    <oddHeader>&amp;R&amp;"TH Sarabun New,ตัวหนา"&amp;16แบบ ปร.4 (พ) หน้าที่ &amp;P จาก 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J248"/>
  <sheetViews>
    <sheetView showGridLines="0" view="pageBreakPreview" topLeftCell="A13" zoomScale="70" zoomScaleNormal="50" zoomScaleSheetLayoutView="70" workbookViewId="0">
      <selection activeCell="E36" sqref="E36"/>
    </sheetView>
  </sheetViews>
  <sheetFormatPr defaultColWidth="16.5703125" defaultRowHeight="24"/>
  <cols>
    <col min="1" max="1" width="20.5703125" style="755" customWidth="1"/>
    <col min="2" max="2" width="76.42578125" style="703" customWidth="1"/>
    <col min="3" max="4" width="25.140625" style="758" customWidth="1"/>
    <col min="5" max="5" width="29.28515625" style="758" customWidth="1"/>
    <col min="6" max="6" width="23" style="829" customWidth="1"/>
    <col min="7" max="7" width="19.28515625" style="708" customWidth="1"/>
    <col min="8" max="16384" width="16.5703125" style="708"/>
  </cols>
  <sheetData>
    <row r="1" spans="1:7" s="703" customFormat="1" ht="27.75">
      <c r="A1" s="2361" t="s">
        <v>148</v>
      </c>
      <c r="B1" s="2361"/>
      <c r="C1" s="2361"/>
      <c r="D1" s="2361"/>
      <c r="E1" s="2361"/>
      <c r="F1" s="2361"/>
    </row>
    <row r="2" spans="1:7" s="133" customFormat="1">
      <c r="A2" s="2362"/>
      <c r="B2" s="704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C2" s="703"/>
      <c r="D2" s="703"/>
      <c r="E2" s="703"/>
      <c r="F2" s="755"/>
    </row>
    <row r="3" spans="1:7" s="133" customFormat="1">
      <c r="A3" s="2362"/>
      <c r="B3" s="133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</row>
    <row r="4" spans="1:7" s="133" customFormat="1">
      <c r="A4" s="2362"/>
      <c r="B4" s="133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</row>
    <row r="5" spans="1:7" s="133" customFormat="1">
      <c r="A5" s="2362"/>
      <c r="B5" s="133" t="str">
        <f>ปร6!B5</f>
        <v>แบบเลขที่  RMUTP-DOA-63-4-PL001.</v>
      </c>
    </row>
    <row r="6" spans="1:7" s="706" customFormat="1">
      <c r="A6" s="2362"/>
      <c r="B6" s="706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C6" s="1393"/>
      <c r="D6" s="1393"/>
      <c r="E6" s="1393"/>
      <c r="F6" s="1394"/>
    </row>
    <row r="7" spans="1:7" s="706" customFormat="1">
      <c r="A7" s="2362"/>
      <c r="B7" s="706" t="str">
        <f>ปร6!B7</f>
        <v>คำนวณราคากลาง   เมื่อวันที่ 16  เดือน สิงหาคม พ.ศ. 2567</v>
      </c>
      <c r="C7" s="1393"/>
      <c r="D7" s="1393"/>
      <c r="E7" s="1395"/>
      <c r="F7" s="1396" t="s">
        <v>146</v>
      </c>
    </row>
    <row r="8" spans="1:7">
      <c r="A8" s="2362"/>
      <c r="B8" s="706"/>
      <c r="C8" s="1393"/>
      <c r="D8" s="1397"/>
      <c r="E8" s="1397"/>
      <c r="F8" s="1394"/>
    </row>
    <row r="9" spans="1:7" s="1398" customFormat="1" ht="27.75">
      <c r="A9" s="2363" t="s">
        <v>52</v>
      </c>
      <c r="B9" s="2363" t="s">
        <v>53</v>
      </c>
      <c r="C9" s="2363" t="s">
        <v>1772</v>
      </c>
      <c r="D9" s="2363"/>
      <c r="E9" s="2364" t="s">
        <v>64</v>
      </c>
      <c r="F9" s="2363" t="s">
        <v>58</v>
      </c>
    </row>
    <row r="10" spans="1:7" s="1398" customFormat="1" ht="27.75">
      <c r="A10" s="2363"/>
      <c r="B10" s="2363"/>
      <c r="C10" s="771" t="s">
        <v>62</v>
      </c>
      <c r="D10" s="771" t="s">
        <v>63</v>
      </c>
      <c r="E10" s="2364"/>
      <c r="F10" s="2363"/>
    </row>
    <row r="11" spans="1:7" s="1401" customFormat="1">
      <c r="A11" s="1399"/>
      <c r="B11" s="1400" t="s">
        <v>135</v>
      </c>
      <c r="C11" s="772"/>
      <c r="D11" s="772"/>
      <c r="E11" s="772"/>
      <c r="F11" s="773"/>
    </row>
    <row r="12" spans="1:7" s="1401" customFormat="1">
      <c r="A12" s="1399"/>
      <c r="B12" s="1402" t="s">
        <v>1978</v>
      </c>
      <c r="C12" s="772"/>
      <c r="D12" s="772"/>
      <c r="E12" s="772"/>
      <c r="F12" s="773"/>
    </row>
    <row r="13" spans="1:7" s="1405" customFormat="1">
      <c r="A13" s="1403">
        <v>1</v>
      </c>
      <c r="B13" s="1404" t="s">
        <v>262</v>
      </c>
      <c r="C13" s="774"/>
      <c r="D13" s="774"/>
      <c r="E13" s="774"/>
      <c r="F13" s="775"/>
    </row>
    <row r="14" spans="1:7" s="132" customFormat="1">
      <c r="A14" s="1406">
        <v>1.1000000000000001</v>
      </c>
      <c r="B14" s="1407" t="str">
        <f>'1.งานวิศวกรรมโครงสร้าง'!$C$23</f>
        <v>รวมราคา งานดิน-เสาเข็ม</v>
      </c>
      <c r="C14" s="745">
        <f>'1.งานวิศวกรรมโครงสร้าง'!$H$23</f>
        <v>6205000</v>
      </c>
      <c r="D14" s="745">
        <f>'1.งานวิศวกรรมโครงสร้าง'!$I$23</f>
        <v>3356000</v>
      </c>
      <c r="E14" s="745">
        <f>D14+C14</f>
        <v>9561000</v>
      </c>
      <c r="F14" s="776"/>
      <c r="G14" s="136"/>
    </row>
    <row r="15" spans="1:7" s="132" customFormat="1">
      <c r="A15" s="1406">
        <v>1.2</v>
      </c>
      <c r="B15" s="1407" t="str">
        <f>'1.งานวิศวกรรมโครงสร้าง'!$C$171</f>
        <v>รวมราคา งานโครงสร้าง ชั้นฐานราก</v>
      </c>
      <c r="C15" s="745">
        <f>'1.งานวิศวกรรมโครงสร้าง'!$H$171</f>
        <v>9668729.2439099941</v>
      </c>
      <c r="D15" s="745">
        <f>'1.งานวิศวกรรมโครงสร้าง'!$I$171</f>
        <v>1463206.8099999994</v>
      </c>
      <c r="E15" s="745">
        <f t="shared" ref="E15:E26" si="0">D15+C15</f>
        <v>11131936.053909993</v>
      </c>
      <c r="F15" s="776"/>
      <c r="G15" s="136"/>
    </row>
    <row r="16" spans="1:7" s="132" customFormat="1">
      <c r="A16" s="1406">
        <v>1.3</v>
      </c>
      <c r="B16" s="1407" t="str">
        <f>'1.งานวิศวกรรมโครงสร้าง'!$C$422</f>
        <v>รวมราคา งานโครงสร้างชั้น 1</v>
      </c>
      <c r="C16" s="745">
        <f>'1.งานวิศวกรรมโครงสร้าง'!$H$422</f>
        <v>3129597.007398</v>
      </c>
      <c r="D16" s="745">
        <f>'1.งานวิศวกรรมโครงสร้าง'!$I$422</f>
        <v>658322.25800000026</v>
      </c>
      <c r="E16" s="745">
        <f t="shared" si="0"/>
        <v>3787919.2653980004</v>
      </c>
      <c r="F16" s="776"/>
      <c r="G16" s="136"/>
    </row>
    <row r="17" spans="1:6" s="132" customFormat="1">
      <c r="A17" s="1406">
        <v>1.4</v>
      </c>
      <c r="B17" s="1407" t="str">
        <f>'1.งานวิศวกรรมโครงสร้าง'!$C$618</f>
        <v>รวมราคา งานโครงสร้างชั้น 2</v>
      </c>
      <c r="C17" s="745">
        <f>'1.งานวิศวกรรมโครงสร้าง'!$H$618</f>
        <v>3804814.826580001</v>
      </c>
      <c r="D17" s="745">
        <f>'1.งานวิศวกรรมโครงสร้าง'!$I$618</f>
        <v>748610.76000000036</v>
      </c>
      <c r="E17" s="745">
        <f t="shared" si="0"/>
        <v>4553425.5865800017</v>
      </c>
      <c r="F17" s="776"/>
    </row>
    <row r="18" spans="1:6" s="132" customFormat="1">
      <c r="A18" s="1406">
        <v>1.5</v>
      </c>
      <c r="B18" s="1407" t="str">
        <f>'1.งานวิศวกรรมโครงสร้าง'!$C$817</f>
        <v>รวมราคา งานโครงสร้างชั้น 3</v>
      </c>
      <c r="C18" s="745">
        <f>'1.งานวิศวกรรมโครงสร้าง'!$H$817</f>
        <v>7082445.4340899996</v>
      </c>
      <c r="D18" s="745">
        <f>'1.งานวิศวกรรมโครงสร้าง'!$I$817</f>
        <v>2081800.0500000003</v>
      </c>
      <c r="E18" s="745">
        <f t="shared" si="0"/>
        <v>9164245.4840900004</v>
      </c>
      <c r="F18" s="776"/>
    </row>
    <row r="19" spans="1:6" s="132" customFormat="1">
      <c r="A19" s="1406">
        <v>1.6</v>
      </c>
      <c r="B19" s="1407" t="str">
        <f>'1.งานวิศวกรรมโครงสร้าง'!$C$1009</f>
        <v>รวมราคา งานโครงสร้างชั้น 4</v>
      </c>
      <c r="C19" s="745">
        <f>'1.งานวิศวกรรมโครงสร้าง'!$H$1009</f>
        <v>3639881.7415900007</v>
      </c>
      <c r="D19" s="745">
        <f>'1.งานวิศวกรรมโครงสร้าง'!$I$1009</f>
        <v>711393.55</v>
      </c>
      <c r="E19" s="745">
        <f t="shared" si="0"/>
        <v>4351275.2915900005</v>
      </c>
      <c r="F19" s="776"/>
    </row>
    <row r="20" spans="1:6" s="132" customFormat="1">
      <c r="A20" s="1406">
        <v>1.7</v>
      </c>
      <c r="B20" s="1407" t="str">
        <f>'1.งานวิศวกรรมโครงสร้าง'!$C$1202</f>
        <v>รวมราคา งานโครงสร้างชั้น 5</v>
      </c>
      <c r="C20" s="745">
        <f>'1.งานวิศวกรรมโครงสร้าง'!$H$1202</f>
        <v>3572374.5536600007</v>
      </c>
      <c r="D20" s="745">
        <f>'1.งานวิศวกรรมโครงสร้าง'!$I$1202</f>
        <v>701480.46</v>
      </c>
      <c r="E20" s="745">
        <f t="shared" si="0"/>
        <v>4273855.0136600006</v>
      </c>
      <c r="F20" s="776"/>
    </row>
    <row r="21" spans="1:6" s="132" customFormat="1">
      <c r="A21" s="1406">
        <v>1.8</v>
      </c>
      <c r="B21" s="1407" t="str">
        <f>'1.งานวิศวกรรมโครงสร้าง'!$C$1395</f>
        <v>รวมราคา งานโครงสร้างชั้น 6</v>
      </c>
      <c r="C21" s="745">
        <f>'1.งานวิศวกรรมโครงสร้าง'!$H$1395</f>
        <v>3501331.3890900016</v>
      </c>
      <c r="D21" s="745">
        <f>'1.งานวิศวกรรมโครงสร้าง'!$I$1395</f>
        <v>687986.04</v>
      </c>
      <c r="E21" s="745">
        <f t="shared" si="0"/>
        <v>4189317.4290900016</v>
      </c>
      <c r="F21" s="776"/>
    </row>
    <row r="22" spans="1:6" s="132" customFormat="1">
      <c r="A22" s="1406">
        <v>1.9</v>
      </c>
      <c r="B22" s="1407" t="str">
        <f>'1.งานวิศวกรรมโครงสร้าง'!$C$1588</f>
        <v>รวมราคา งานโครงสร้างชั้น 7</v>
      </c>
      <c r="C22" s="745">
        <f>'1.งานวิศวกรรมโครงสร้าง'!$H$1588</f>
        <v>3444010.9721000013</v>
      </c>
      <c r="D22" s="745">
        <f>'1.งานวิศวกรรมโครงสร้าง'!$I$1588</f>
        <v>680896.9</v>
      </c>
      <c r="E22" s="745">
        <f t="shared" si="0"/>
        <v>4124907.8721000012</v>
      </c>
      <c r="F22" s="776"/>
    </row>
    <row r="23" spans="1:6" s="132" customFormat="1">
      <c r="A23" s="1408">
        <v>1.1000000000000001</v>
      </c>
      <c r="B23" s="1407" t="str">
        <f>'1.งานวิศวกรรมโครงสร้าง'!C1788</f>
        <v>รวมราคา งานโครงสร้างชั้น 8</v>
      </c>
      <c r="C23" s="745">
        <f>'1.งานวิศวกรรมโครงสร้าง'!H1788</f>
        <v>3556707.0799900014</v>
      </c>
      <c r="D23" s="745">
        <f>'1.งานวิศวกรรมโครงสร้าง'!I1788</f>
        <v>696794.26000000013</v>
      </c>
      <c r="E23" s="745">
        <f>'1.งานวิศวกรรมโครงสร้าง'!J1788</f>
        <v>4253501.3399900002</v>
      </c>
      <c r="F23" s="776"/>
    </row>
    <row r="24" spans="1:6" s="132" customFormat="1">
      <c r="A24" s="1406">
        <v>1.1100000000000001</v>
      </c>
      <c r="B24" s="1407" t="str">
        <f>'1.งานวิศวกรรมโครงสร้าง'!C1973</f>
        <v>รวมราคา งานโครงสร้างชั้น 9</v>
      </c>
      <c r="C24" s="745">
        <f>'1.งานวิศวกรรมโครงสร้าง'!H1973</f>
        <v>3744676.7936800015</v>
      </c>
      <c r="D24" s="745">
        <f>'1.งานวิศวกรรมโครงสร้าง'!I1973</f>
        <v>764832.33999999973</v>
      </c>
      <c r="E24" s="745">
        <f>'1.งานวิศวกรรมโครงสร้าง'!J1973</f>
        <v>4509509.133679999</v>
      </c>
      <c r="F24" s="776"/>
    </row>
    <row r="25" spans="1:6" s="132" customFormat="1">
      <c r="A25" s="1406">
        <v>1.1200000000000001</v>
      </c>
      <c r="B25" s="1407" t="str">
        <f>'1.งานวิศวกรรมโครงสร้าง'!$C$2105</f>
        <v>รวมราคา งานโครงสร้างชั้น ดาดฟ้า</v>
      </c>
      <c r="C25" s="745">
        <f>'1.งานวิศวกรรมโครงสร้าง'!$H$2105</f>
        <v>2746888.0174400005</v>
      </c>
      <c r="D25" s="745">
        <f>'1.งานวิศวกรรมโครงสร้าง'!$I$2105</f>
        <v>548505.93000000017</v>
      </c>
      <c r="E25" s="745">
        <f t="shared" si="0"/>
        <v>3295393.9474400007</v>
      </c>
      <c r="F25" s="776"/>
    </row>
    <row r="26" spans="1:6" s="132" customFormat="1">
      <c r="A26" s="1406">
        <v>1.1299999999999999</v>
      </c>
      <c r="B26" s="1407" t="str">
        <f>'1.งานวิศวกรรมโครงสร้าง'!$C$2209</f>
        <v>รวมราคา งานโครงสร้างชั้น หลังคาคลุมบันได</v>
      </c>
      <c r="C26" s="745">
        <f>'1.งานวิศวกรรมโครงสร้าง'!$H$2209</f>
        <v>1236176.19343</v>
      </c>
      <c r="D26" s="745">
        <f>'1.งานวิศวกรรมโครงสร้าง'!$I$2209</f>
        <v>296237.70999999996</v>
      </c>
      <c r="E26" s="745">
        <f t="shared" si="0"/>
        <v>1532413.9034299999</v>
      </c>
      <c r="F26" s="776"/>
    </row>
    <row r="27" spans="1:6" s="132" customFormat="1">
      <c r="A27" s="1406">
        <v>1.1399999999999999</v>
      </c>
      <c r="B27" s="1407" t="str">
        <f>'1.งานวิศวกรรมโครงสร้าง'!$C$2236</f>
        <v>รวมราคา งานติดตั้งชั้นหลังคาเหล็ก</v>
      </c>
      <c r="C27" s="745">
        <f>'1.งานวิศวกรรมโครงสร้าง'!$H$2236</f>
        <v>2121680.1150000002</v>
      </c>
      <c r="D27" s="745">
        <f>'1.งานวิศวกรรมโครงสร้าง'!$I$2236</f>
        <v>454624.7</v>
      </c>
      <c r="E27" s="745">
        <f>D27+C27</f>
        <v>2576304.8150000004</v>
      </c>
      <c r="F27" s="776"/>
    </row>
    <row r="28" spans="1:6" s="132" customFormat="1">
      <c r="A28" s="1409"/>
      <c r="B28" s="1410"/>
      <c r="C28" s="777"/>
      <c r="D28" s="777"/>
      <c r="E28" s="777"/>
      <c r="F28" s="778"/>
    </row>
    <row r="29" spans="1:6" s="754" customFormat="1" ht="24.75" thickBot="1">
      <c r="A29" s="750"/>
      <c r="B29" s="1411" t="str">
        <f>"รวมราคา "&amp;B13</f>
        <v>รวมราคา งานวิศวกรรมโครงสร้าง</v>
      </c>
      <c r="C29" s="779">
        <f>SUM(C14:C28)</f>
        <v>57454313.367958009</v>
      </c>
      <c r="D29" s="779">
        <f>SUM(D14:D28)</f>
        <v>13850691.767999999</v>
      </c>
      <c r="E29" s="1645">
        <f>SUM(E14:E28)</f>
        <v>71305005.135957986</v>
      </c>
      <c r="F29" s="780"/>
    </row>
    <row r="30" spans="1:6" s="754" customFormat="1" ht="24.75" thickTop="1">
      <c r="A30" s="827"/>
      <c r="B30" s="175" t="s">
        <v>133</v>
      </c>
      <c r="C30" s="205"/>
      <c r="D30" s="759"/>
      <c r="E30" s="1651"/>
      <c r="F30" s="1650"/>
    </row>
    <row r="31" spans="1:6" s="754" customFormat="1">
      <c r="A31" s="828"/>
      <c r="B31" s="1638" t="s">
        <v>1769</v>
      </c>
      <c r="C31" s="758"/>
      <c r="D31" s="1638" t="s">
        <v>134</v>
      </c>
      <c r="E31" s="759"/>
      <c r="F31" s="1650"/>
    </row>
    <row r="32" spans="1:6" s="754" customFormat="1">
      <c r="A32" s="755"/>
      <c r="B32" s="1639" t="s">
        <v>1970</v>
      </c>
      <c r="C32" s="758"/>
      <c r="D32" s="672" t="s">
        <v>1971</v>
      </c>
      <c r="E32" s="760"/>
      <c r="F32" s="1650"/>
    </row>
    <row r="33" spans="1:6" s="754" customFormat="1">
      <c r="A33" s="755"/>
      <c r="B33" s="1638" t="s">
        <v>2031</v>
      </c>
      <c r="C33" s="758"/>
      <c r="D33" s="1638" t="s">
        <v>2031</v>
      </c>
      <c r="E33" s="253"/>
      <c r="F33" s="1650"/>
    </row>
    <row r="34" spans="1:6" s="754" customFormat="1">
      <c r="A34" s="755"/>
      <c r="B34" s="174" t="s">
        <v>1984</v>
      </c>
      <c r="C34" s="758"/>
      <c r="D34" s="174" t="s">
        <v>1985</v>
      </c>
      <c r="E34" s="759"/>
      <c r="F34" s="1650"/>
    </row>
    <row r="35" spans="1:6" s="754" customFormat="1">
      <c r="A35" s="755"/>
      <c r="B35" s="1638" t="s">
        <v>670</v>
      </c>
      <c r="C35" s="1638"/>
      <c r="D35" s="760"/>
      <c r="E35" s="760"/>
      <c r="F35" s="1650"/>
    </row>
    <row r="36" spans="1:6" s="754" customFormat="1">
      <c r="A36" s="755"/>
      <c r="B36" s="174" t="s">
        <v>1972</v>
      </c>
      <c r="C36" s="174"/>
      <c r="D36" s="253"/>
      <c r="E36" s="253"/>
      <c r="F36" s="1650"/>
    </row>
    <row r="37" spans="1:6" s="1412" customFormat="1">
      <c r="A37" s="1403">
        <v>2</v>
      </c>
      <c r="B37" s="1404" t="s">
        <v>80</v>
      </c>
      <c r="C37" s="774"/>
      <c r="D37" s="774"/>
      <c r="E37" s="774"/>
      <c r="F37" s="775"/>
    </row>
    <row r="38" spans="1:6" s="132" customFormat="1">
      <c r="A38" s="1406">
        <v>2.1</v>
      </c>
      <c r="B38" s="1407" t="str">
        <f>'2.งานสถาปัตยกรรม '!C191</f>
        <v>รวมราคา งานสถาปัตยกรรม ชั้น 1</v>
      </c>
      <c r="C38" s="745">
        <f>'2.งานสถาปัตยกรรม '!H191</f>
        <v>6119255.0600000015</v>
      </c>
      <c r="D38" s="745">
        <f>'2.งานสถาปัตยกรรม '!I191</f>
        <v>1776537.3500000003</v>
      </c>
      <c r="E38" s="745">
        <f>'2.งานสถาปัตยกรรม '!J191</f>
        <v>7895792.4100000011</v>
      </c>
      <c r="F38" s="776"/>
    </row>
    <row r="39" spans="1:6" s="132" customFormat="1">
      <c r="A39" s="1406">
        <v>2.2000000000000002</v>
      </c>
      <c r="B39" s="1407" t="str">
        <f>'2.งานสถาปัตยกรรม '!C398</f>
        <v>รวมราคา งานสถาปัตยกรรม ชั้น 2</v>
      </c>
      <c r="C39" s="745">
        <f>'2.งานสถาปัตยกรรม '!H398</f>
        <v>5490433.870000001</v>
      </c>
      <c r="D39" s="745">
        <f>'2.งานสถาปัตยกรรม '!I398</f>
        <v>1619863.784</v>
      </c>
      <c r="E39" s="745">
        <f>'2.งานสถาปัตยกรรม '!J398</f>
        <v>7110297.6540000029</v>
      </c>
      <c r="F39" s="776"/>
    </row>
    <row r="40" spans="1:6" s="132" customFormat="1">
      <c r="A40" s="1406">
        <v>2.2999999999999998</v>
      </c>
      <c r="B40" s="1407" t="str">
        <f>'2.งานสถาปัตยกรรม '!C574</f>
        <v>รวมราคา งานสถาปัตยกรรม ชั้น 3</v>
      </c>
      <c r="C40" s="745">
        <f>'2.งานสถาปัตยกรรม '!H574</f>
        <v>5034452.129999999</v>
      </c>
      <c r="D40" s="745">
        <f>'2.งานสถาปัตยกรรม '!I574</f>
        <v>1430031.6940000001</v>
      </c>
      <c r="E40" s="745">
        <f>'2.งานสถาปัตยกรรม '!J574</f>
        <v>6464483.8239999991</v>
      </c>
      <c r="F40" s="776"/>
    </row>
    <row r="41" spans="1:6" s="132" customFormat="1">
      <c r="A41" s="1406">
        <v>2.4</v>
      </c>
      <c r="B41" s="1407" t="str">
        <f>'2.งานสถาปัตยกรรม '!C750</f>
        <v>รวมราคา งานสถาปัตยกรรม ชั้น 4</v>
      </c>
      <c r="C41" s="745">
        <f>'2.งานสถาปัตยกรรม '!H750</f>
        <v>4339143.5300000012</v>
      </c>
      <c r="D41" s="745">
        <f>'2.งานสถาปัตยกรรม '!I750</f>
        <v>1343953.5840000003</v>
      </c>
      <c r="E41" s="745">
        <f>'2.งานสถาปัตยกรรม '!J750</f>
        <v>5683097.1140000001</v>
      </c>
      <c r="F41" s="776"/>
    </row>
    <row r="42" spans="1:6" s="132" customFormat="1">
      <c r="A42" s="1406">
        <v>2.5</v>
      </c>
      <c r="B42" s="1407" t="str">
        <f>'2.งานสถาปัตยกรรม '!C934</f>
        <v>รวมราคา งานสถาปัตยกรรม ชั้น 5</v>
      </c>
      <c r="C42" s="745">
        <f>'2.งานสถาปัตยกรรม '!H934</f>
        <v>5033302.4199999981</v>
      </c>
      <c r="D42" s="745">
        <f>'2.งานสถาปัตยกรรม '!I934</f>
        <v>1477274.9440000001</v>
      </c>
      <c r="E42" s="745">
        <f>'2.งานสถาปัตยกรรม '!J934</f>
        <v>6510577.3640000001</v>
      </c>
      <c r="F42" s="776"/>
    </row>
    <row r="43" spans="1:6" s="132" customFormat="1">
      <c r="A43" s="1406">
        <v>2.6</v>
      </c>
      <c r="B43" s="1407" t="str">
        <f>'2.งานสถาปัตยกรรม '!C1118</f>
        <v>รวมราคา งานสถาปัตยกรรม ชั้น 6</v>
      </c>
      <c r="C43" s="745">
        <f>'2.งานสถาปัตยกรรม '!H1118</f>
        <v>4983272.25</v>
      </c>
      <c r="D43" s="745">
        <f>'2.งานสถาปัตยกรรม '!I1118</f>
        <v>1450105.5440000005</v>
      </c>
      <c r="E43" s="745">
        <f>'2.งานสถาปัตยกรรม '!J1118</f>
        <v>6433377.7939999998</v>
      </c>
      <c r="F43" s="776"/>
    </row>
    <row r="44" spans="1:6" s="132" customFormat="1">
      <c r="A44" s="1406">
        <v>2.7</v>
      </c>
      <c r="B44" s="1407" t="str">
        <f>'2.งานสถาปัตยกรรม '!C1299</f>
        <v>รวมราคา งานสถาปัตยกรรม ชั้น 7</v>
      </c>
      <c r="C44" s="745">
        <f>'2.งานสถาปัตยกรรม '!H1299</f>
        <v>4836664.82</v>
      </c>
      <c r="D44" s="745">
        <f>'2.งานสถาปัตยกรรม '!I1299</f>
        <v>1470382.5440000002</v>
      </c>
      <c r="E44" s="745">
        <f>'2.งานสถาปัตยกรรม '!J1299</f>
        <v>6307047.364000001</v>
      </c>
      <c r="F44" s="776"/>
    </row>
    <row r="45" spans="1:6" s="132" customFormat="1">
      <c r="A45" s="1406">
        <v>2.8</v>
      </c>
      <c r="B45" s="1407" t="str">
        <f>'2.งานสถาปัตยกรรม '!C1481</f>
        <v>รวมราคา งานสถาปัตยกรรม ชั้น 8</v>
      </c>
      <c r="C45" s="745">
        <f>'2.งานสถาปัตยกรรม '!H1481</f>
        <v>4929472.9010000005</v>
      </c>
      <c r="D45" s="745">
        <f>'2.งานสถาปัตยกรรม '!I1481</f>
        <v>1427383.2439999999</v>
      </c>
      <c r="E45" s="745">
        <f>'2.งานสถาปัตยกรรม '!J1481</f>
        <v>6356856.1450000005</v>
      </c>
      <c r="F45" s="776"/>
    </row>
    <row r="46" spans="1:6" s="132" customFormat="1">
      <c r="A46" s="1406">
        <v>2.9</v>
      </c>
      <c r="B46" s="1407" t="str">
        <f>'2.งานสถาปัตยกรรม '!C1657</f>
        <v>รวมราคา งานสถาปัตยกรรม ชั้น 9</v>
      </c>
      <c r="C46" s="745">
        <f>'2.งานสถาปัตยกรรม '!H1657</f>
        <v>3725247.8600000008</v>
      </c>
      <c r="D46" s="745">
        <f>'2.งานสถาปัตยกรรม '!I1657</f>
        <v>1184758.8799999999</v>
      </c>
      <c r="E46" s="745">
        <f>'2.งานสถาปัตยกรรม '!J1657</f>
        <v>4910006.7399999993</v>
      </c>
      <c r="F46" s="776"/>
    </row>
    <row r="47" spans="1:6" s="132" customFormat="1">
      <c r="A47" s="1408">
        <v>2.1</v>
      </c>
      <c r="B47" s="1407" t="str">
        <f>'2.งานสถาปัตยกรรม '!C1744</f>
        <v>รวมราคา งานสถาปัตยกรรม ชั้น (ดาดฟ้า)</v>
      </c>
      <c r="C47" s="745">
        <f>'2.งานสถาปัตยกรรม '!H1744</f>
        <v>1681125.62</v>
      </c>
      <c r="D47" s="745">
        <f>'2.งานสถาปัตยกรรม '!I1744</f>
        <v>715747.99400000006</v>
      </c>
      <c r="E47" s="745">
        <f>'2.งานสถาปัตยกรรม '!J1744</f>
        <v>2396873.6140000001</v>
      </c>
      <c r="F47" s="776"/>
    </row>
    <row r="48" spans="1:6" s="132" customFormat="1">
      <c r="A48" s="1406">
        <v>2.11</v>
      </c>
      <c r="B48" s="1407" t="str">
        <f>'2.งานสถาปัตยกรรม '!C1767</f>
        <v>รวมราคา งานสถาปัตยกรรม ชั้นหลังคา</v>
      </c>
      <c r="C48" s="745">
        <f>'2.งานสถาปัตยกรรม '!H1767</f>
        <v>792945.79999999993</v>
      </c>
      <c r="D48" s="745">
        <f>'2.งานสถาปัตยกรรม '!I1767</f>
        <v>202110.7</v>
      </c>
      <c r="E48" s="745">
        <f>'2.งานสถาปัตยกรรม '!J1767</f>
        <v>995056.5</v>
      </c>
      <c r="F48" s="776"/>
    </row>
    <row r="49" spans="1:6" s="132" customFormat="1">
      <c r="A49" s="1409"/>
      <c r="B49" s="1410"/>
      <c r="C49" s="777"/>
      <c r="D49" s="777"/>
      <c r="E49" s="777"/>
      <c r="F49" s="778"/>
    </row>
    <row r="50" spans="1:6" s="754" customFormat="1" ht="24.75" thickBot="1">
      <c r="A50" s="750"/>
      <c r="B50" s="750" t="str">
        <f>"รวมราคา "&amp;B37</f>
        <v>รวมราคา งานสถาปัตยกรรม</v>
      </c>
      <c r="C50" s="1413">
        <f>SUM(C38:C48)</f>
        <v>46965316.260999992</v>
      </c>
      <c r="D50" s="1413">
        <f>SUM(D38:D48)</f>
        <v>14098150.262</v>
      </c>
      <c r="E50" s="1413">
        <f>SUM(E38:E48)</f>
        <v>61063466.523000009</v>
      </c>
      <c r="F50" s="780"/>
    </row>
    <row r="51" spans="1:6" s="1405" customFormat="1" ht="24.75" thickTop="1">
      <c r="A51" s="1403">
        <v>3</v>
      </c>
      <c r="B51" s="1404" t="s">
        <v>1243</v>
      </c>
      <c r="C51" s="774"/>
      <c r="D51" s="774"/>
      <c r="E51" s="774"/>
      <c r="F51" s="775"/>
    </row>
    <row r="52" spans="1:6" s="1415" customFormat="1">
      <c r="A52" s="1406"/>
      <c r="B52" s="1414" t="s">
        <v>209</v>
      </c>
      <c r="C52" s="745"/>
      <c r="D52" s="745"/>
      <c r="E52" s="745"/>
      <c r="F52" s="776"/>
    </row>
    <row r="53" spans="1:6" s="133" customFormat="1">
      <c r="A53" s="1406">
        <v>3.1</v>
      </c>
      <c r="B53" s="1407" t="str">
        <f>'3.งานระบบสุขาภิบาลและดับเพลิง'!C102</f>
        <v>รวมราคา งานระบบน้ำดี</v>
      </c>
      <c r="C53" s="745">
        <f>'3.งานระบบสุขาภิบาลและดับเพลิง'!H102</f>
        <v>1454324.4</v>
      </c>
      <c r="D53" s="745">
        <f>'3.งานระบบสุขาภิบาลและดับเพลิง'!I102</f>
        <v>255559</v>
      </c>
      <c r="E53" s="745">
        <f>'3.งานระบบสุขาภิบาลและดับเพลิง'!J102</f>
        <v>1709883.4000000001</v>
      </c>
      <c r="F53" s="776"/>
    </row>
    <row r="54" spans="1:6" s="133" customFormat="1">
      <c r="A54" s="1406">
        <v>3.2</v>
      </c>
      <c r="B54" s="1407" t="str">
        <f>'3.งานระบบสุขาภิบาลและดับเพลิง'!C165</f>
        <v>รวมราคา งานระบบน้ำเสีย</v>
      </c>
      <c r="C54" s="745">
        <f>'3.งานระบบสุขาภิบาลและดับเพลิง'!H165</f>
        <v>1774720</v>
      </c>
      <c r="D54" s="745">
        <f>'3.งานระบบสุขาภิบาลและดับเพลิง'!I165</f>
        <v>470488</v>
      </c>
      <c r="E54" s="745">
        <f>'3.งานระบบสุขาภิบาลและดับเพลิง'!J165</f>
        <v>2245208</v>
      </c>
      <c r="F54" s="776"/>
    </row>
    <row r="55" spans="1:6" s="133" customFormat="1">
      <c r="A55" s="1416">
        <v>3.3</v>
      </c>
      <c r="B55" s="1417" t="str">
        <f>'3.งานระบบสุขาภิบาลและดับเพลิง'!C195</f>
        <v>รวมราคา งานระบบน้ำฝนในอาคาร</v>
      </c>
      <c r="C55" s="781">
        <f>'3.งานระบบสุขาภิบาลและดับเพลิง'!H195</f>
        <v>185231</v>
      </c>
      <c r="D55" s="781">
        <f>'3.งานระบบสุขาภิบาลและดับเพลิง'!I195</f>
        <v>86241</v>
      </c>
      <c r="E55" s="781">
        <f>'3.งานระบบสุขาภิบาลและดับเพลิง'!J195</f>
        <v>271472</v>
      </c>
      <c r="F55" s="782"/>
    </row>
    <row r="56" spans="1:6" s="133" customFormat="1">
      <c r="A56" s="1647"/>
      <c r="B56" s="1648"/>
      <c r="C56" s="1649"/>
      <c r="D56" s="1649"/>
      <c r="E56" s="1649"/>
      <c r="F56" s="1649"/>
    </row>
    <row r="57" spans="1:6" s="133" customFormat="1">
      <c r="A57" s="827"/>
      <c r="B57" s="175" t="s">
        <v>133</v>
      </c>
      <c r="C57" s="205"/>
      <c r="D57" s="759"/>
      <c r="E57" s="134"/>
    </row>
    <row r="58" spans="1:6" s="133" customFormat="1">
      <c r="A58" s="828"/>
      <c r="B58" s="1638" t="s">
        <v>1769</v>
      </c>
      <c r="C58" s="758"/>
      <c r="D58" s="1638" t="s">
        <v>134</v>
      </c>
      <c r="E58" s="759"/>
      <c r="F58" s="759"/>
    </row>
    <row r="59" spans="1:6" s="133" customFormat="1">
      <c r="A59" s="755"/>
      <c r="B59" s="1639" t="s">
        <v>1970</v>
      </c>
      <c r="C59" s="758"/>
      <c r="D59" s="672" t="s">
        <v>1971</v>
      </c>
      <c r="E59" s="760"/>
      <c r="F59" s="760"/>
    </row>
    <row r="60" spans="1:6" s="133" customFormat="1">
      <c r="A60" s="755"/>
      <c r="B60" s="1638" t="s">
        <v>2031</v>
      </c>
      <c r="C60" s="758"/>
      <c r="D60" s="1638" t="s">
        <v>2031</v>
      </c>
      <c r="E60" s="253"/>
      <c r="F60" s="253"/>
    </row>
    <row r="61" spans="1:6" s="133" customFormat="1">
      <c r="A61" s="755"/>
      <c r="B61" s="174" t="s">
        <v>1984</v>
      </c>
      <c r="C61" s="758"/>
      <c r="D61" s="174" t="s">
        <v>1985</v>
      </c>
      <c r="E61" s="759"/>
      <c r="F61" s="759"/>
    </row>
    <row r="62" spans="1:6" s="133" customFormat="1">
      <c r="A62" s="755"/>
      <c r="B62" s="1638" t="s">
        <v>670</v>
      </c>
      <c r="C62" s="1638"/>
      <c r="D62" s="760"/>
      <c r="E62" s="760"/>
      <c r="F62" s="760"/>
    </row>
    <row r="63" spans="1:6" s="133" customFormat="1">
      <c r="A63" s="755"/>
      <c r="B63" s="174" t="s">
        <v>1972</v>
      </c>
      <c r="C63" s="174"/>
      <c r="D63" s="253"/>
      <c r="E63" s="253"/>
      <c r="F63" s="253"/>
    </row>
    <row r="64" spans="1:6" s="1415" customFormat="1">
      <c r="A64" s="1418"/>
      <c r="B64" s="1402" t="s">
        <v>1270</v>
      </c>
      <c r="C64" s="783"/>
      <c r="D64" s="783"/>
      <c r="E64" s="783"/>
      <c r="F64" s="784"/>
    </row>
    <row r="65" spans="1:6" s="133" customFormat="1">
      <c r="A65" s="1419">
        <v>3.4</v>
      </c>
      <c r="B65" s="1420" t="str">
        <f>'3.งานระบบสุขาภิบาลและดับเพลิง'!C211</f>
        <v>รวมราคา งานปั๊มน้ำระบบป้องกันอัคคีภัย</v>
      </c>
      <c r="C65" s="785">
        <f>'3.งานระบบสุขาภิบาลและดับเพลิง'!H211</f>
        <v>2415000</v>
      </c>
      <c r="D65" s="785">
        <f>'3.งานระบบสุขาภิบาลและดับเพลิง'!I211</f>
        <v>1035000</v>
      </c>
      <c r="E65" s="785">
        <f>'3.งานระบบสุขาภิบาลและดับเพลิง'!J211</f>
        <v>3450000</v>
      </c>
      <c r="F65" s="786"/>
    </row>
    <row r="66" spans="1:6" s="133" customFormat="1">
      <c r="A66" s="1406">
        <v>3.5</v>
      </c>
      <c r="B66" s="1407" t="str">
        <f>'3.งานระบบสุขาภิบาลและดับเพลิง'!C235</f>
        <v>รวมราคา งานท่อน้ำระบบป้องกันอัคคีภัย</v>
      </c>
      <c r="C66" s="745">
        <f>'3.งานระบบสุขาภิบาลและดับเพลิง'!H235</f>
        <v>1242469.8</v>
      </c>
      <c r="D66" s="745">
        <f>'3.งานระบบสุขาภิบาลและดับเพลิง'!I235</f>
        <v>501017</v>
      </c>
      <c r="E66" s="745">
        <f>'3.งานระบบสุขาภิบาลและดับเพลิง'!J235</f>
        <v>1743486.8</v>
      </c>
      <c r="F66" s="776"/>
    </row>
    <row r="67" spans="1:6" s="133" customFormat="1">
      <c r="A67" s="1406">
        <v>3.6</v>
      </c>
      <c r="B67" s="1407" t="str">
        <f>'3.งานระบบสุขาภิบาลและดับเพลิง'!C274</f>
        <v>รวมราคา งานวาล์วระบบป้องกันอัคคีภัย</v>
      </c>
      <c r="C67" s="745">
        <f>'3.งานระบบสุขาภิบาลและดับเพลิง'!H274</f>
        <v>1012960</v>
      </c>
      <c r="D67" s="745">
        <f>'3.งานระบบสุขาภิบาลและดับเพลิง'!I274</f>
        <v>113950</v>
      </c>
      <c r="E67" s="745">
        <f>'3.งานระบบสุขาภิบาลและดับเพลิง'!J274</f>
        <v>1126910</v>
      </c>
      <c r="F67" s="776"/>
    </row>
    <row r="68" spans="1:6" s="133" customFormat="1">
      <c r="A68" s="1406">
        <v>3.7</v>
      </c>
      <c r="B68" s="1407" t="str">
        <f>'3.งานระบบสุขาภิบาลและดับเพลิง'!C297</f>
        <v>รวมราคา งานอุปกรณ์ระบบป้องกันอัคคีภัย</v>
      </c>
      <c r="C68" s="745">
        <f>'3.งานระบบสุขาภิบาลและดับเพลิง'!H297</f>
        <v>954064</v>
      </c>
      <c r="D68" s="745">
        <f>'3.งานระบบสุขาภิบาลและดับเพลิง'!I297</f>
        <v>132465</v>
      </c>
      <c r="E68" s="745">
        <f>'3.งานระบบสุขาภิบาลและดับเพลิง'!J297</f>
        <v>1086529</v>
      </c>
      <c r="F68" s="776"/>
    </row>
    <row r="69" spans="1:6" s="133" customFormat="1">
      <c r="A69" s="1406"/>
      <c r="B69" s="1407"/>
      <c r="C69" s="745"/>
      <c r="D69" s="745"/>
      <c r="E69" s="745"/>
      <c r="F69" s="776"/>
    </row>
    <row r="70" spans="1:6" s="754" customFormat="1" ht="24.75" thickBot="1">
      <c r="A70" s="750"/>
      <c r="B70" s="750" t="str">
        <f>"รวมราคา "&amp;B51</f>
        <v>รวมราคา งานระบบสุขาภิบาลและระบบป้องกันอัคคีภัย</v>
      </c>
      <c r="C70" s="1413">
        <f>SUM(C53:C68)</f>
        <v>9038769.1999999993</v>
      </c>
      <c r="D70" s="1413">
        <f>SUM(D53:D68)</f>
        <v>2594720</v>
      </c>
      <c r="E70" s="1413">
        <f>SUM(E53:E68)</f>
        <v>11633489.200000001</v>
      </c>
      <c r="F70" s="780"/>
    </row>
    <row r="71" spans="1:6" s="1405" customFormat="1" ht="24.75" thickTop="1">
      <c r="A71" s="1403">
        <v>4</v>
      </c>
      <c r="B71" s="1404" t="s">
        <v>316</v>
      </c>
      <c r="C71" s="774"/>
      <c r="D71" s="774"/>
      <c r="E71" s="774"/>
      <c r="F71" s="775"/>
    </row>
    <row r="72" spans="1:6" s="135" customFormat="1">
      <c r="A72" s="1406">
        <v>4.0999999999999996</v>
      </c>
      <c r="B72" s="1421" t="str">
        <f>'4.งานระบบไฟฟ้าและสื่อสาร'!C24</f>
        <v>รวมราคา งานหม้อแปลงไฟฟ้าและเครืองกำเนิดไฟฟ้าสำรอง</v>
      </c>
      <c r="C72" s="776">
        <f>'4.งานระบบไฟฟ้าและสื่อสาร'!H24</f>
        <v>2782110</v>
      </c>
      <c r="D72" s="776">
        <f>'4.งานระบบไฟฟ้าและสื่อสาร'!I24</f>
        <v>601300</v>
      </c>
      <c r="E72" s="776">
        <f>'4.งานระบบไฟฟ้าและสื่อสาร'!J24</f>
        <v>3383410</v>
      </c>
      <c r="F72" s="776"/>
    </row>
    <row r="73" spans="1:6" s="135" customFormat="1">
      <c r="A73" s="1406">
        <v>4.2</v>
      </c>
      <c r="B73" s="1421" t="str">
        <f>'4.งานระบบไฟฟ้าและสื่อสาร'!C90</f>
        <v>รวมราคา งานตู้เมนไฟฟ้า ( MAIN DISTRIBUTION BOARD )</v>
      </c>
      <c r="C73" s="776">
        <f>'4.งานระบบไฟฟ้าและสื่อสาร'!H90</f>
        <v>2275620</v>
      </c>
      <c r="D73" s="776">
        <f>'4.งานระบบไฟฟ้าและสื่อสาร'!I90</f>
        <v>87500</v>
      </c>
      <c r="E73" s="776">
        <f>'4.งานระบบไฟฟ้าและสื่อสาร'!J90</f>
        <v>2363120</v>
      </c>
      <c r="F73" s="776"/>
    </row>
    <row r="74" spans="1:6" s="135" customFormat="1">
      <c r="A74" s="1406">
        <v>4.3</v>
      </c>
      <c r="B74" s="1421" t="str">
        <f>'4.งานระบบไฟฟ้าและสื่อสาร'!C331</f>
        <v>รวมราคา งานตู้ควบคุมไฟฟ้า ( LOAD PANEL )</v>
      </c>
      <c r="C74" s="776">
        <f>'4.งานระบบไฟฟ้าและสื่อสาร'!H331</f>
        <v>845645</v>
      </c>
      <c r="D74" s="776">
        <f>'4.งานระบบไฟฟ้าและสื่อสาร'!I331</f>
        <v>66000</v>
      </c>
      <c r="E74" s="776">
        <f>'4.งานระบบไฟฟ้าและสื่อสาร'!J331</f>
        <v>911645</v>
      </c>
      <c r="F74" s="776"/>
    </row>
    <row r="75" spans="1:6" s="135" customFormat="1">
      <c r="A75" s="1406">
        <v>4.4000000000000004</v>
      </c>
      <c r="B75" s="1421" t="str">
        <f>'4.งานระบบไฟฟ้าและสื่อสาร'!C505</f>
        <v>รวมราคา งานท่อร้อยสายไฟ และสายไฟฟ้า</v>
      </c>
      <c r="C75" s="776">
        <f>'4.งานระบบไฟฟ้าและสื่อสาร'!H505</f>
        <v>5747588.0699999994</v>
      </c>
      <c r="D75" s="776">
        <f>'4.งานระบบไฟฟ้าและสื่อสาร'!I505</f>
        <v>1510669</v>
      </c>
      <c r="E75" s="776">
        <f>'4.งานระบบไฟฟ้าและสื่อสาร'!J505</f>
        <v>7258257.0699999994</v>
      </c>
      <c r="F75" s="776"/>
    </row>
    <row r="76" spans="1:6" s="135" customFormat="1">
      <c r="A76" s="1406">
        <v>4.5</v>
      </c>
      <c r="B76" s="1422" t="str">
        <f>'4.งานระบบไฟฟ้าและสื่อสาร'!C542</f>
        <v>รวมราคา งานโคมไฟส่องสว่าง</v>
      </c>
      <c r="C76" s="776">
        <f>'4.งานระบบไฟฟ้าและสื่อสาร'!H542</f>
        <v>3390490</v>
      </c>
      <c r="D76" s="776">
        <f>'4.งานระบบไฟฟ้าและสื่อสาร'!I542</f>
        <v>375230</v>
      </c>
      <c r="E76" s="776">
        <f>'4.งานระบบไฟฟ้าและสื่อสาร'!J542</f>
        <v>3765720</v>
      </c>
      <c r="F76" s="776"/>
    </row>
    <row r="77" spans="1:6" s="135" customFormat="1">
      <c r="A77" s="1406">
        <v>4.5999999999999996</v>
      </c>
      <c r="B77" s="1421" t="str">
        <f>'4.งานระบบไฟฟ้าและสื่อสาร'!C563</f>
        <v>รวมราคา งานสวิทช์และเต้ารับไฟฟ้า</v>
      </c>
      <c r="C77" s="776">
        <f>'4.งานระบบไฟฟ้าและสื่อสาร'!H563</f>
        <v>390830</v>
      </c>
      <c r="D77" s="776">
        <f>'4.งานระบบไฟฟ้าและสื่อสาร'!I563</f>
        <v>122120</v>
      </c>
      <c r="E77" s="776">
        <f>'4.งานระบบไฟฟ้าและสื่อสาร'!J563</f>
        <v>512950</v>
      </c>
      <c r="F77" s="776"/>
    </row>
    <row r="78" spans="1:6" s="135" customFormat="1">
      <c r="A78" s="1406">
        <v>4.7</v>
      </c>
      <c r="B78" s="1421" t="str">
        <f>'4.งานระบบไฟฟ้าและสื่อสาร'!C604</f>
        <v>รวมราคา งานระบบโทรศัพท์</v>
      </c>
      <c r="C78" s="776">
        <f>'4.งานระบบไฟฟ้าและสื่อสาร'!H604</f>
        <v>287212.88949999999</v>
      </c>
      <c r="D78" s="776">
        <f>'4.งานระบบไฟฟ้าและสื่อสาร'!I604</f>
        <v>92417</v>
      </c>
      <c r="E78" s="776">
        <f>'4.งานระบบไฟฟ้าและสื่อสาร'!J604</f>
        <v>379629.88949999999</v>
      </c>
      <c r="F78" s="776"/>
    </row>
    <row r="79" spans="1:6" s="135" customFormat="1">
      <c r="A79" s="1406">
        <v>4.8</v>
      </c>
      <c r="B79" s="1421" t="str">
        <f>'4.งานระบบไฟฟ้าและสื่อสาร'!C658</f>
        <v>รวมราคา งานระบบเครือข่ายอินเตอร์เนท</v>
      </c>
      <c r="C79" s="776">
        <f>'4.งานระบบไฟฟ้าและสื่อสาร'!H658</f>
        <v>9167844.25</v>
      </c>
      <c r="D79" s="776">
        <f>'4.งานระบบไฟฟ้าและสื่อสาร'!I658</f>
        <v>1092990</v>
      </c>
      <c r="E79" s="776">
        <f>'4.งานระบบไฟฟ้าและสื่อสาร'!J658</f>
        <v>10260834.25</v>
      </c>
      <c r="F79" s="776"/>
    </row>
    <row r="80" spans="1:6" s="135" customFormat="1">
      <c r="A80" s="1406">
        <v>4.9000000000000004</v>
      </c>
      <c r="B80" s="1421" t="str">
        <f>'4.งานระบบไฟฟ้าและสื่อสาร'!C677</f>
        <v>รวมราคา งานระบบป้องกันฟ้าผ่าและระบบสายดิน</v>
      </c>
      <c r="C80" s="776">
        <f>'4.งานระบบไฟฟ้าและสื่อสาร'!H677</f>
        <v>761388</v>
      </c>
      <c r="D80" s="776">
        <f>'4.งานระบบไฟฟ้าและสื่อสาร'!I677</f>
        <v>143300</v>
      </c>
      <c r="E80" s="776">
        <f>'4.งานระบบไฟฟ้าและสื่อสาร'!J677</f>
        <v>904688</v>
      </c>
      <c r="F80" s="776"/>
    </row>
    <row r="81" spans="1:6" s="135" customFormat="1">
      <c r="A81" s="1408">
        <v>4.0999999999999996</v>
      </c>
      <c r="B81" s="1421" t="str">
        <f>'4.งานระบบไฟฟ้าและสื่อสาร'!C734</f>
        <v>รวมราคา งานระบบแจ้งเหตุเพลิงไหม้</v>
      </c>
      <c r="C81" s="776">
        <f>'4.งานระบบไฟฟ้าและสื่อสาร'!H734</f>
        <v>1841926.2849999999</v>
      </c>
      <c r="D81" s="776">
        <f>'4.งานระบบไฟฟ้าและสื่อสาร'!I734</f>
        <v>350425</v>
      </c>
      <c r="E81" s="776">
        <f>'4.งานระบบไฟฟ้าและสื่อสาร'!J734</f>
        <v>2192351.2850000001</v>
      </c>
      <c r="F81" s="776"/>
    </row>
    <row r="82" spans="1:6" s="135" customFormat="1">
      <c r="A82" s="1423">
        <v>4.1100000000000003</v>
      </c>
      <c r="B82" s="1424" t="str">
        <f>'4.งานระบบไฟฟ้าและสื่อสาร'!C779</f>
        <v>รวมราคา งานระบบควบคุมทางเข้า-ออก (รักษาความปลอดภัย)</v>
      </c>
      <c r="C82" s="786">
        <f>'4.งานระบบไฟฟ้าและสื่อสาร'!H779</f>
        <v>1308050.3999999999</v>
      </c>
      <c r="D82" s="786">
        <f>'4.งานระบบไฟฟ้าและสื่อสาร'!I779</f>
        <v>70400</v>
      </c>
      <c r="E82" s="786">
        <f>'4.งานระบบไฟฟ้าและสื่อสาร'!J779</f>
        <v>1378450.4</v>
      </c>
      <c r="F82" s="786"/>
    </row>
    <row r="83" spans="1:6" s="135" customFormat="1">
      <c r="A83" s="1425">
        <v>4.12</v>
      </c>
      <c r="B83" s="1426" t="str">
        <f>'4.งานระบบไฟฟ้าและสื่อสาร'!C811</f>
        <v>รวมราคา งานระบบกล้องวงจรปิด (รักษาความปลอดภัย)</v>
      </c>
      <c r="C83" s="782">
        <f>'4.งานระบบไฟฟ้าและสื่อสาร'!H811</f>
        <v>2273605.3699999996</v>
      </c>
      <c r="D83" s="782">
        <f>'4.งานระบบไฟฟ้าและสื่อสาร'!I811</f>
        <v>167500</v>
      </c>
      <c r="E83" s="782">
        <f>'4.งานระบบไฟฟ้าและสื่อสาร'!J811</f>
        <v>2441105.3699999996</v>
      </c>
      <c r="F83" s="782"/>
    </row>
    <row r="84" spans="1:6" s="135" customFormat="1">
      <c r="A84" s="1647"/>
      <c r="B84" s="1648"/>
      <c r="C84" s="1649"/>
      <c r="D84" s="1649"/>
      <c r="E84" s="1649"/>
      <c r="F84" s="1649"/>
    </row>
    <row r="85" spans="1:6" s="135" customFormat="1">
      <c r="A85" s="827"/>
      <c r="B85" s="175" t="s">
        <v>133</v>
      </c>
      <c r="C85" s="205"/>
      <c r="D85" s="759"/>
      <c r="E85" s="134"/>
      <c r="F85" s="133"/>
    </row>
    <row r="86" spans="1:6" s="135" customFormat="1">
      <c r="A86" s="828"/>
      <c r="B86" s="1638" t="s">
        <v>1769</v>
      </c>
      <c r="C86" s="758"/>
      <c r="D86" s="1638" t="s">
        <v>134</v>
      </c>
      <c r="E86" s="759"/>
      <c r="F86" s="759"/>
    </row>
    <row r="87" spans="1:6" s="135" customFormat="1">
      <c r="A87" s="755"/>
      <c r="B87" s="1639" t="s">
        <v>1970</v>
      </c>
      <c r="C87" s="758"/>
      <c r="D87" s="672" t="s">
        <v>1971</v>
      </c>
      <c r="E87" s="760"/>
      <c r="F87" s="760"/>
    </row>
    <row r="88" spans="1:6" s="135" customFormat="1">
      <c r="A88" s="755"/>
      <c r="B88" s="1638" t="s">
        <v>2031</v>
      </c>
      <c r="C88" s="758"/>
      <c r="D88" s="1638" t="s">
        <v>2031</v>
      </c>
      <c r="E88" s="253"/>
      <c r="F88" s="253"/>
    </row>
    <row r="89" spans="1:6" s="135" customFormat="1">
      <c r="A89" s="755"/>
      <c r="B89" s="174" t="s">
        <v>1984</v>
      </c>
      <c r="C89" s="758"/>
      <c r="D89" s="174" t="s">
        <v>1985</v>
      </c>
      <c r="E89" s="759"/>
      <c r="F89" s="759"/>
    </row>
    <row r="90" spans="1:6" s="135" customFormat="1">
      <c r="A90" s="755"/>
      <c r="B90" s="1638" t="s">
        <v>670</v>
      </c>
      <c r="C90" s="1638"/>
      <c r="D90" s="760"/>
      <c r="E90" s="760"/>
      <c r="F90" s="760"/>
    </row>
    <row r="91" spans="1:6" s="135" customFormat="1">
      <c r="A91" s="755"/>
      <c r="B91" s="174" t="s">
        <v>1972</v>
      </c>
      <c r="C91" s="174"/>
      <c r="D91" s="253"/>
      <c r="E91" s="253"/>
      <c r="F91" s="253"/>
    </row>
    <row r="92" spans="1:6" s="135" customFormat="1">
      <c r="A92" s="1423">
        <v>4.13</v>
      </c>
      <c r="B92" s="1424" t="str">
        <f>'4.งานระบบไฟฟ้าและสื่อสาร'!C964</f>
        <v>รวมราคา งานระบบเสียงประกาศ และระบบภาพและเสียง</v>
      </c>
      <c r="C92" s="786">
        <f>'4.งานระบบไฟฟ้าและสื่อสาร'!H964</f>
        <v>2347620.2850000001</v>
      </c>
      <c r="D92" s="786">
        <f>'4.งานระบบไฟฟ้าและสื่อสาร'!I964</f>
        <v>416700</v>
      </c>
      <c r="E92" s="786">
        <f>'4.งานระบบไฟฟ้าและสื่อสาร'!J964</f>
        <v>2764320.2850000001</v>
      </c>
      <c r="F92" s="786"/>
    </row>
    <row r="93" spans="1:6" s="135" customFormat="1">
      <c r="A93" s="1408">
        <v>4.1399999999999997</v>
      </c>
      <c r="B93" s="1421" t="str">
        <f>'4.งานระบบไฟฟ้าและสื่อสาร'!C1002</f>
        <v>รวมราคา งานระบบควบคุมปิด-เปิดแสงสว่าง อัตโนมัติ</v>
      </c>
      <c r="C93" s="776">
        <f>'4.งานระบบไฟฟ้าและสื่อสาร'!H1002</f>
        <v>868127.28500000003</v>
      </c>
      <c r="D93" s="776">
        <f>'4.งานระบบไฟฟ้าและสื่อสาร'!I1002</f>
        <v>84260</v>
      </c>
      <c r="E93" s="776">
        <f>'4.งานระบบไฟฟ้าและสื่อสาร'!J1002</f>
        <v>952387.28500000003</v>
      </c>
      <c r="F93" s="776"/>
    </row>
    <row r="94" spans="1:6" s="135" customFormat="1">
      <c r="A94" s="1423">
        <v>4.1500000000000004</v>
      </c>
      <c r="B94" s="1424" t="str">
        <f>'4.งานระบบไฟฟ้าและสื่อสาร'!C1006</f>
        <v>รวมราคา งานกั้นผนังและพื้นทนควันไฟ (Fire Barrier)</v>
      </c>
      <c r="C94" s="786">
        <f>'4.งานระบบไฟฟ้าและสื่อสาร'!H1006</f>
        <v>540000</v>
      </c>
      <c r="D94" s="786">
        <f>'4.งานระบบไฟฟ้าและสื่อสาร'!I1006</f>
        <v>0</v>
      </c>
      <c r="E94" s="786">
        <f>'4.งานระบบไฟฟ้าและสื่อสาร'!J1006</f>
        <v>540000</v>
      </c>
      <c r="F94" s="786"/>
    </row>
    <row r="95" spans="1:6" s="135" customFormat="1">
      <c r="A95" s="1423"/>
      <c r="B95" s="1424"/>
      <c r="C95" s="786"/>
      <c r="D95" s="786"/>
      <c r="E95" s="786"/>
      <c r="F95" s="786"/>
    </row>
    <row r="96" spans="1:6" s="754" customFormat="1" ht="24.75" thickBot="1">
      <c r="A96" s="750"/>
      <c r="B96" s="750" t="str">
        <f>"รวมราคา "&amp;B71</f>
        <v xml:space="preserve">รวมราคา งานระบบไฟฟ้าและสื่อสาร </v>
      </c>
      <c r="C96" s="1413">
        <f>SUM(C72:C94)</f>
        <v>34828057.8345</v>
      </c>
      <c r="D96" s="1413">
        <f>SUM(D72:D94)</f>
        <v>5180811</v>
      </c>
      <c r="E96" s="1413">
        <f>SUM(E72:E94)</f>
        <v>40008868.8345</v>
      </c>
      <c r="F96" s="780"/>
    </row>
    <row r="97" spans="1:6" s="1405" customFormat="1" ht="24.75" thickTop="1">
      <c r="A97" s="1403">
        <v>5</v>
      </c>
      <c r="B97" s="1404" t="s">
        <v>584</v>
      </c>
      <c r="C97" s="774"/>
      <c r="D97" s="774"/>
      <c r="E97" s="774"/>
      <c r="F97" s="775"/>
    </row>
    <row r="98" spans="1:6" s="1529" customFormat="1">
      <c r="A98" s="1524">
        <v>5.0999999999999996</v>
      </c>
      <c r="B98" s="1525" t="str">
        <f>'5.งานระบบปรับอากาศและระบายอากาศ'!C57</f>
        <v>รวมราคา งานเครื่องปรับอากาศ แบบรวมศูนย์</v>
      </c>
      <c r="C98" s="1526">
        <f>'5.งานระบบปรับอากาศและระบายอากาศ'!H57</f>
        <v>1489400</v>
      </c>
      <c r="D98" s="1526">
        <f>'5.งานระบบปรับอากาศและระบายอากาศ'!I57</f>
        <v>894100</v>
      </c>
      <c r="E98" s="1527">
        <f>'5.งานระบบปรับอากาศและระบายอากาศ'!J57</f>
        <v>2383500</v>
      </c>
      <c r="F98" s="1528"/>
    </row>
    <row r="99" spans="1:6" s="1529" customFormat="1">
      <c r="A99" s="1524">
        <v>5.2</v>
      </c>
      <c r="B99" s="1525" t="str">
        <f>'5.งานระบบปรับอากาศและระบายอากาศ'!C75</f>
        <v>รวมราคา งานเครื่องปรับอากาศแบบแยกส่วน</v>
      </c>
      <c r="C99" s="1526">
        <f>'5.งานระบบปรับอากาศและระบายอากาศ'!H75</f>
        <v>10700</v>
      </c>
      <c r="D99" s="1526">
        <f>'5.งานระบบปรับอากาศและระบายอากาศ'!I75</f>
        <v>5500</v>
      </c>
      <c r="E99" s="1527">
        <f>'5.งานระบบปรับอากาศและระบายอากาศ'!J75</f>
        <v>16200</v>
      </c>
      <c r="F99" s="1528"/>
    </row>
    <row r="100" spans="1:6" s="703" customFormat="1">
      <c r="A100" s="1427">
        <v>5.3</v>
      </c>
      <c r="B100" s="1428" t="str">
        <f>'5.งานระบบปรับอากาศและระบายอากาศ'!C109</f>
        <v>รวมราคา งานพัดลมระบายอากาศ</v>
      </c>
      <c r="C100" s="787">
        <f>'5.งานระบบปรับอากาศและระบายอากาศ'!H109</f>
        <v>1035200</v>
      </c>
      <c r="D100" s="787">
        <f>'5.งานระบบปรับอากาศและระบายอากาศ'!I109</f>
        <v>154500</v>
      </c>
      <c r="E100" s="788">
        <f>'5.งานระบบปรับอากาศและระบายอากาศ'!J109</f>
        <v>1189700</v>
      </c>
      <c r="F100" s="789"/>
    </row>
    <row r="101" spans="1:6" s="703" customFormat="1">
      <c r="A101" s="1427">
        <v>5.4</v>
      </c>
      <c r="B101" s="1428" t="str">
        <f>'5.งานระบบปรับอากาศและระบายอากาศ'!C144</f>
        <v>รวมราคา งานท่อทองแดง และฉนวนหุ้มท่อ</v>
      </c>
      <c r="C101" s="787">
        <f>'5.งานระบบปรับอากาศและระบายอากาศ'!H144</f>
        <v>1524096</v>
      </c>
      <c r="D101" s="787">
        <f>'5.งานระบบปรับอากาศและระบายอากาศ'!I144</f>
        <v>463642.8</v>
      </c>
      <c r="E101" s="788">
        <f>'5.งานระบบปรับอากาศและระบายอากาศ'!J144</f>
        <v>1987738.8</v>
      </c>
      <c r="F101" s="789"/>
    </row>
    <row r="102" spans="1:6" s="703" customFormat="1">
      <c r="A102" s="1427">
        <v>5.5</v>
      </c>
      <c r="B102" s="1428" t="str">
        <f>'5.งานระบบปรับอากาศและระบายอากาศ'!C176</f>
        <v>รวมราคา งานท่อน้ำทิ้งระบบปรับอากาศ</v>
      </c>
      <c r="C102" s="787">
        <f>'5.งานระบบปรับอากาศและระบายอากาศ'!H176</f>
        <v>190773.5</v>
      </c>
      <c r="D102" s="787">
        <f>'5.งานระบบปรับอากาศและระบายอากาศ'!I176</f>
        <v>74829.05</v>
      </c>
      <c r="E102" s="788">
        <f>'5.งานระบบปรับอากาศและระบายอากาศ'!J176</f>
        <v>265602.55</v>
      </c>
      <c r="F102" s="789"/>
    </row>
    <row r="103" spans="1:6" s="703" customFormat="1">
      <c r="A103" s="1427">
        <v>5.6</v>
      </c>
      <c r="B103" s="1407" t="str">
        <f>'5.งานระบบปรับอากาศและระบายอากาศ'!C227</f>
        <v>รวมราคา งานท่อลม และ กริลระบายอากาศ</v>
      </c>
      <c r="C103" s="787">
        <f>'5.งานระบบปรับอากาศและระบายอากาศ'!H227</f>
        <v>932645</v>
      </c>
      <c r="D103" s="787">
        <f>'5.งานระบบปรับอากาศและระบายอากาศ'!I227</f>
        <v>436650.5</v>
      </c>
      <c r="E103" s="788">
        <f>'5.งานระบบปรับอากาศและระบายอากาศ'!J227</f>
        <v>1369295.5</v>
      </c>
      <c r="F103" s="789"/>
    </row>
    <row r="104" spans="1:6" s="703" customFormat="1">
      <c r="A104" s="1427">
        <v>5.7</v>
      </c>
      <c r="B104" s="1428" t="str">
        <f>'5.งานระบบปรับอากาศและระบายอากาศ'!C239</f>
        <v>รวมราคา งานท่อและสายควบคุมระบบปรับอากาศ</v>
      </c>
      <c r="C104" s="787">
        <f>'5.งานระบบปรับอากาศและระบายอากาศ'!H239</f>
        <v>179173.185</v>
      </c>
      <c r="D104" s="787">
        <f>'5.งานระบบปรับอากาศและระบายอากาศ'!I239</f>
        <v>74940</v>
      </c>
      <c r="E104" s="788">
        <f>'5.งานระบบปรับอากาศและระบายอากาศ'!J239</f>
        <v>254113.185</v>
      </c>
      <c r="F104" s="789"/>
    </row>
    <row r="105" spans="1:6" s="703" customFormat="1">
      <c r="A105" s="1427"/>
      <c r="B105" s="1428"/>
      <c r="C105" s="787"/>
      <c r="D105" s="787"/>
      <c r="E105" s="788"/>
      <c r="F105" s="789"/>
    </row>
    <row r="106" spans="1:6" s="754" customFormat="1" ht="24.75" thickBot="1">
      <c r="A106" s="750"/>
      <c r="B106" s="750" t="str">
        <f>"รวมราคา "&amp;B97</f>
        <v>รวมราคา งานระบบปรับอากาศและระบายอากาศ</v>
      </c>
      <c r="C106" s="1413">
        <f>SUM(C98:C104)</f>
        <v>5361987.6849999996</v>
      </c>
      <c r="D106" s="1413">
        <f>SUM(D98:D104)</f>
        <v>2104162.35</v>
      </c>
      <c r="E106" s="1413">
        <f>SUM(E98:E104)</f>
        <v>7466150.0349999992</v>
      </c>
      <c r="F106" s="780"/>
    </row>
    <row r="107" spans="1:6" s="1405" customFormat="1" ht="24.75" thickTop="1">
      <c r="A107" s="1403">
        <v>6</v>
      </c>
      <c r="B107" s="1404" t="s">
        <v>138</v>
      </c>
      <c r="C107" s="774"/>
      <c r="D107" s="774"/>
      <c r="E107" s="774"/>
      <c r="F107" s="775"/>
    </row>
    <row r="108" spans="1:6" s="1534" customFormat="1">
      <c r="A108" s="1530">
        <v>6.1</v>
      </c>
      <c r="B108" s="1531" t="str">
        <f>'6.งานระบบลิฟต์'!B22</f>
        <v>รวมราคา งานระบบลิฟต์</v>
      </c>
      <c r="C108" s="1532">
        <f>'6.งานระบบลิฟต์'!G22</f>
        <v>0</v>
      </c>
      <c r="D108" s="1532">
        <f>'6.งานระบบลิฟต์'!H22</f>
        <v>2610000</v>
      </c>
      <c r="E108" s="1532">
        <f>'6.งานระบบลิฟต์'!I22</f>
        <v>2610000</v>
      </c>
      <c r="F108" s="1533"/>
    </row>
    <row r="109" spans="1:6" s="133" customFormat="1">
      <c r="A109" s="1409"/>
      <c r="B109" s="1429"/>
      <c r="C109" s="777"/>
      <c r="D109" s="777"/>
      <c r="E109" s="777"/>
      <c r="F109" s="778"/>
    </row>
    <row r="110" spans="1:6" s="754" customFormat="1" ht="24.75" thickBot="1">
      <c r="A110" s="750"/>
      <c r="B110" s="750" t="str">
        <f>"รวมราคา "&amp;B107</f>
        <v>รวมราคา งานระบบลิฟต์</v>
      </c>
      <c r="C110" s="1413">
        <f>SUM(C108:C108)</f>
        <v>0</v>
      </c>
      <c r="D110" s="1413">
        <f>SUM(D108:D108)</f>
        <v>2610000</v>
      </c>
      <c r="E110" s="1413">
        <f>SUM(E108:E108)</f>
        <v>2610000</v>
      </c>
      <c r="F110" s="780"/>
    </row>
    <row r="111" spans="1:6" s="754" customFormat="1" ht="25.5" thickTop="1" thickBot="1">
      <c r="A111" s="1430"/>
      <c r="B111" s="1430" t="str">
        <f>"รวมราคา "&amp;B12</f>
        <v>รวมราคา กลุ่มงานที่ 1 งานปรับปรุงและก่อสร้าง</v>
      </c>
      <c r="C111" s="790">
        <f>C110+C106+C96+C70+C50+C29</f>
        <v>153648444.34845799</v>
      </c>
      <c r="D111" s="790">
        <f>D110+D106+D96+D70+D50+D29</f>
        <v>40438535.379999995</v>
      </c>
      <c r="E111" s="790">
        <f>E110+E106+E96+E70+E50+E29</f>
        <v>194086979.72845799</v>
      </c>
      <c r="F111" s="791"/>
    </row>
    <row r="112" spans="1:6" s="758" customFormat="1" ht="24.75" thickTop="1">
      <c r="A112" s="1431"/>
      <c r="B112" s="1432" t="str">
        <f>'7.กลุ่มงานที่ 2'!B11</f>
        <v>กลุ่มงานที่ 2 ครุภัณฑ์จัดจ้าง (สั่งทำ)</v>
      </c>
      <c r="C112" s="792"/>
      <c r="D112" s="792"/>
      <c r="E112" s="792"/>
      <c r="F112" s="793"/>
    </row>
    <row r="113" spans="1:6" s="758" customFormat="1">
      <c r="A113" s="1433">
        <v>7</v>
      </c>
      <c r="B113" s="1434" t="str">
        <f>งานครุภัณฑ์จัดจ้างหรือสั่งทำ!B12</f>
        <v>งานครุภัณฑ์จัดจ้างหรือสั่งทำ (เฟอร์นิเจอร์บิ้วอิน)</v>
      </c>
      <c r="C113" s="794"/>
      <c r="D113" s="794"/>
      <c r="E113" s="795"/>
      <c r="F113" s="796"/>
    </row>
    <row r="114" spans="1:6" s="133" customFormat="1">
      <c r="A114" s="797">
        <v>7.1</v>
      </c>
      <c r="B114" s="798" t="str">
        <f>งานครุภัณฑ์จัดจ้างหรือสั่งทำ!B80</f>
        <v>รวมราคา งานครุภัณฑ์จัดจ้างหรือสั่งทำ (เฟอร์นิเจอร์บิ้วอิน)</v>
      </c>
      <c r="C114" s="794">
        <f>งานครุภัณฑ์จัดจ้างหรือสั่งทำ!H80</f>
        <v>2793530</v>
      </c>
      <c r="D114" s="794">
        <f>งานครุภัณฑ์จัดจ้างหรือสั่งทำ!I80</f>
        <v>850059</v>
      </c>
      <c r="E114" s="795">
        <f>C114+D114</f>
        <v>3643589</v>
      </c>
      <c r="F114" s="796"/>
    </row>
    <row r="115" spans="1:6" s="133" customFormat="1">
      <c r="A115" s="797">
        <v>7.2</v>
      </c>
      <c r="B115" s="798" t="str">
        <f>งานครุภัณฑ์จัดจ้างหรือสั่งทำ!B280</f>
        <v>รวมราคา งานม่าน</v>
      </c>
      <c r="C115" s="794">
        <f>งานครุภัณฑ์จัดจ้างหรือสั่งทำ!H280</f>
        <v>1742300</v>
      </c>
      <c r="D115" s="794">
        <f>งานครุภัณฑ์จัดจ้างหรือสั่งทำ!I280</f>
        <v>159250</v>
      </c>
      <c r="E115" s="795">
        <f>C115+D115</f>
        <v>1901550</v>
      </c>
      <c r="F115" s="796"/>
    </row>
    <row r="116" spans="1:6" s="133" customFormat="1">
      <c r="A116" s="797">
        <v>7.3</v>
      </c>
      <c r="B116" s="798" t="str">
        <f>งานครุภัณฑ์จัดจ้างหรือสั่งทำ!B474</f>
        <v xml:space="preserve">รวมราคา งานป้ายอาคาร </v>
      </c>
      <c r="C116" s="794">
        <f>งานครุภัณฑ์จัดจ้างหรือสั่งทำ!H474</f>
        <v>1592320</v>
      </c>
      <c r="D116" s="794">
        <f>งานครุภัณฑ์จัดจ้างหรือสั่งทำ!I474</f>
        <v>477696</v>
      </c>
      <c r="E116" s="795">
        <f>C116+D116</f>
        <v>2070016</v>
      </c>
      <c r="F116" s="796"/>
    </row>
    <row r="117" spans="1:6" s="133" customFormat="1">
      <c r="A117" s="797"/>
      <c r="B117" s="798"/>
      <c r="C117" s="794"/>
      <c r="D117" s="794"/>
      <c r="E117" s="795"/>
      <c r="F117" s="796"/>
    </row>
    <row r="118" spans="1:6" s="133" customFormat="1" ht="24.75" thickBot="1">
      <c r="A118" s="799"/>
      <c r="B118" s="1435" t="str">
        <f>งานครุภัณฑ์จัดจ้างหรือสั่งทำ!B475</f>
        <v>รวมราคา งานครุภัณฑ์จัดจ้างหรือสั่งทำและงานตกแต่งภายในอาคาร</v>
      </c>
      <c r="C118" s="800">
        <f>SUM(C113:C117)</f>
        <v>6128150</v>
      </c>
      <c r="D118" s="800">
        <f>SUM(D113:D117)</f>
        <v>1487005</v>
      </c>
      <c r="E118" s="800">
        <f>SUM(E113:E117)</f>
        <v>7615155</v>
      </c>
      <c r="F118" s="801"/>
    </row>
    <row r="119" spans="1:6" s="133" customFormat="1" ht="24.75" thickTop="1">
      <c r="A119" s="827"/>
      <c r="B119" s="175" t="s">
        <v>133</v>
      </c>
      <c r="C119" s="205"/>
      <c r="D119" s="759"/>
      <c r="E119" s="134"/>
    </row>
    <row r="120" spans="1:6" s="133" customFormat="1">
      <c r="A120" s="828"/>
      <c r="B120" s="1638" t="s">
        <v>1769</v>
      </c>
      <c r="C120" s="758"/>
      <c r="D120" s="1638" t="s">
        <v>134</v>
      </c>
      <c r="E120" s="759"/>
      <c r="F120" s="759"/>
    </row>
    <row r="121" spans="1:6" s="133" customFormat="1">
      <c r="A121" s="755"/>
      <c r="B121" s="1639" t="s">
        <v>1970</v>
      </c>
      <c r="C121" s="758"/>
      <c r="D121" s="672" t="s">
        <v>1971</v>
      </c>
      <c r="E121" s="760"/>
      <c r="F121" s="760"/>
    </row>
    <row r="122" spans="1:6" s="133" customFormat="1">
      <c r="A122" s="755"/>
      <c r="B122" s="1638" t="s">
        <v>2031</v>
      </c>
      <c r="C122" s="758"/>
      <c r="D122" s="1638" t="s">
        <v>2031</v>
      </c>
      <c r="E122" s="253"/>
      <c r="F122" s="253"/>
    </row>
    <row r="123" spans="1:6" s="133" customFormat="1">
      <c r="A123" s="755"/>
      <c r="B123" s="174" t="s">
        <v>1984</v>
      </c>
      <c r="C123" s="758"/>
      <c r="D123" s="174" t="s">
        <v>1985</v>
      </c>
      <c r="E123" s="759"/>
      <c r="F123" s="759"/>
    </row>
    <row r="124" spans="1:6" s="133" customFormat="1">
      <c r="A124" s="755"/>
      <c r="B124" s="1638" t="s">
        <v>670</v>
      </c>
      <c r="C124" s="1638"/>
      <c r="D124" s="760"/>
      <c r="E124" s="760"/>
      <c r="F124" s="760"/>
    </row>
    <row r="125" spans="1:6" s="133" customFormat="1">
      <c r="A125" s="755"/>
      <c r="B125" s="174" t="s">
        <v>1972</v>
      </c>
      <c r="C125" s="174"/>
      <c r="D125" s="253"/>
      <c r="E125" s="253"/>
      <c r="F125" s="253"/>
    </row>
    <row r="126" spans="1:6" s="133" customFormat="1">
      <c r="A126" s="1436"/>
      <c r="B126" s="1437" t="str">
        <f>'8.กลุ่มงานที่ 3'!B11</f>
        <v>กลุ่มงานที่ 3 งานภูมิสถาปัตยกรรม</v>
      </c>
      <c r="C126" s="802"/>
      <c r="D126" s="802"/>
      <c r="E126" s="802"/>
      <c r="F126" s="803"/>
    </row>
    <row r="127" spans="1:6" s="133" customFormat="1">
      <c r="A127" s="1433">
        <v>8</v>
      </c>
      <c r="B127" s="1434" t="s">
        <v>1977</v>
      </c>
      <c r="C127" s="804"/>
      <c r="D127" s="804"/>
      <c r="E127" s="805"/>
      <c r="F127" s="806"/>
    </row>
    <row r="128" spans="1:6" s="758" customFormat="1">
      <c r="A128" s="797">
        <v>8.1</v>
      </c>
      <c r="B128" s="798" t="str">
        <f>งานภูมิทัศน์!C91</f>
        <v>รวมราคา งานปลูกต้นไม้, ปูหญ้า และปรับแต่งสวน</v>
      </c>
      <c r="C128" s="794">
        <f>งานภูมิทัศน์!H91</f>
        <v>247008</v>
      </c>
      <c r="D128" s="794">
        <f>งานภูมิทัศน์!I91</f>
        <v>74102.400000000009</v>
      </c>
      <c r="E128" s="795">
        <f>C128+D128</f>
        <v>321110.40000000002</v>
      </c>
      <c r="F128" s="796"/>
    </row>
    <row r="129" spans="1:10" s="758" customFormat="1">
      <c r="A129" s="797">
        <v>8.1999999999999993</v>
      </c>
      <c r="B129" s="798" t="str">
        <f>งานภูมิทัศน์!C117</f>
        <v>รวมราคา งานถนน</v>
      </c>
      <c r="C129" s="794">
        <f>งานภูมิทัศน์!H117</f>
        <v>4229022.0730899991</v>
      </c>
      <c r="D129" s="794">
        <f>งานภูมิทัศน์!I117</f>
        <v>319682.20999999996</v>
      </c>
      <c r="E129" s="795">
        <f>C129+D129</f>
        <v>4548704.2830899991</v>
      </c>
      <c r="F129" s="796"/>
    </row>
    <row r="130" spans="1:10" s="758" customFormat="1">
      <c r="A130" s="797">
        <v>8.3000000000000007</v>
      </c>
      <c r="B130" s="798" t="str">
        <f>งานภูมิทัศน์!C143</f>
        <v>รวมราคา งานรางระบายน้ำ</v>
      </c>
      <c r="C130" s="794">
        <f>งานภูมิทัศน์!H143</f>
        <v>615617.7121</v>
      </c>
      <c r="D130" s="794">
        <f>งานภูมิทัศน์!I143</f>
        <v>69098.600000000006</v>
      </c>
      <c r="E130" s="795">
        <f>C130+D130</f>
        <v>684716.31209999998</v>
      </c>
      <c r="F130" s="796"/>
    </row>
    <row r="131" spans="1:10" s="758" customFormat="1">
      <c r="A131" s="797">
        <v>8.4</v>
      </c>
      <c r="B131" s="798" t="str">
        <f>งานภูมิทัศน์!C183</f>
        <v>รวมราคา งานบ่อพัก และ ท่อระบายน้ำทิ้ง</v>
      </c>
      <c r="C131" s="794">
        <f>งานภูมิทัศน์!H183</f>
        <v>676249.44369999995</v>
      </c>
      <c r="D131" s="794">
        <f>งานภูมิทัศน์!I183</f>
        <v>114379.7</v>
      </c>
      <c r="E131" s="795">
        <f>C131+D131</f>
        <v>790629.1436999999</v>
      </c>
      <c r="F131" s="796"/>
    </row>
    <row r="132" spans="1:10">
      <c r="A132" s="797"/>
      <c r="B132" s="798"/>
      <c r="C132" s="794"/>
      <c r="D132" s="794"/>
      <c r="E132" s="795"/>
      <c r="F132" s="796"/>
    </row>
    <row r="133" spans="1:10" ht="24.75" thickBot="1">
      <c r="A133" s="799"/>
      <c r="B133" s="807" t="str">
        <f>งานภูมิทัศน์!C184</f>
        <v>รวมราคา กลุ่มงานที่ 3 งานภูมิสถาปัตยกรรม</v>
      </c>
      <c r="C133" s="800">
        <f>SUM(C128:C132)</f>
        <v>5767897.228889999</v>
      </c>
      <c r="D133" s="800">
        <f>SUM(D128:D132)</f>
        <v>577262.90999999992</v>
      </c>
      <c r="E133" s="800">
        <f>SUM(E128:E132)</f>
        <v>6345160.1388899991</v>
      </c>
      <c r="F133" s="801"/>
    </row>
    <row r="134" spans="1:10" s="758" customFormat="1" ht="25.5" thickTop="1" thickBot="1">
      <c r="A134" s="808"/>
      <c r="B134" s="808" t="str">
        <f>"รวมราคา "&amp;B11</f>
        <v>รวมราคา ส่วนงานที่ 1 ค่างานต้นทุน (คำนวณในราคาทุน)</v>
      </c>
      <c r="C134" s="809">
        <f>SUM(C111,C118,C133)</f>
        <v>165544491.57734799</v>
      </c>
      <c r="D134" s="809">
        <f>SUM(D111,D118,D133)</f>
        <v>42502803.289999992</v>
      </c>
      <c r="E134" s="1646">
        <f>SUM(E111,E118,E133)</f>
        <v>208047294.86734799</v>
      </c>
      <c r="F134" s="810"/>
    </row>
    <row r="135" spans="1:10" s="818" customFormat="1" ht="24.75" thickTop="1">
      <c r="A135" s="811" t="s">
        <v>58</v>
      </c>
      <c r="B135" s="812"/>
      <c r="C135" s="812"/>
      <c r="D135" s="813"/>
      <c r="E135" s="813"/>
      <c r="F135" s="813"/>
      <c r="G135" s="814"/>
      <c r="H135" s="815"/>
      <c r="I135" s="816"/>
      <c r="J135" s="817"/>
    </row>
    <row r="136" spans="1:10" s="818" customFormat="1">
      <c r="A136" s="811"/>
      <c r="B136" s="812" t="s">
        <v>1945</v>
      </c>
      <c r="C136" s="812"/>
      <c r="D136" s="2360" t="s">
        <v>1946</v>
      </c>
      <c r="E136" s="2360"/>
      <c r="F136" s="2360"/>
      <c r="G136" s="819"/>
      <c r="H136" s="820"/>
      <c r="I136" s="816"/>
      <c r="J136" s="817"/>
    </row>
    <row r="137" spans="1:10" s="818" customFormat="1">
      <c r="A137" s="821">
        <v>1</v>
      </c>
      <c r="B137" s="2356" t="s">
        <v>1973</v>
      </c>
      <c r="C137" s="2356"/>
      <c r="D137" s="2357" t="s">
        <v>1947</v>
      </c>
      <c r="E137" s="2357"/>
      <c r="F137" s="2357"/>
      <c r="G137" s="823"/>
      <c r="H137" s="823"/>
      <c r="I137" s="824"/>
      <c r="J137" s="825"/>
    </row>
    <row r="138" spans="1:10" s="818" customFormat="1">
      <c r="A138" s="821">
        <v>2</v>
      </c>
      <c r="B138" s="2356" t="s">
        <v>1974</v>
      </c>
      <c r="C138" s="2356"/>
      <c r="D138" s="2357" t="s">
        <v>1963</v>
      </c>
      <c r="E138" s="2357"/>
      <c r="F138" s="2357"/>
      <c r="G138" s="823"/>
      <c r="H138" s="822"/>
      <c r="I138" s="824"/>
      <c r="J138" s="825"/>
    </row>
    <row r="139" spans="1:10" s="818" customFormat="1">
      <c r="A139" s="821"/>
      <c r="B139" s="2358" t="s">
        <v>1948</v>
      </c>
      <c r="C139" s="2358"/>
      <c r="D139" s="2357" t="s">
        <v>1949</v>
      </c>
      <c r="E139" s="2357"/>
      <c r="F139" s="2357"/>
      <c r="G139" s="819"/>
      <c r="H139" s="826"/>
      <c r="I139" s="824"/>
      <c r="J139" s="825"/>
    </row>
    <row r="140" spans="1:10" s="818" customFormat="1">
      <c r="A140" s="821">
        <v>3</v>
      </c>
      <c r="B140" s="2359" t="s">
        <v>1950</v>
      </c>
      <c r="C140" s="2359"/>
      <c r="D140" s="2357" t="s">
        <v>1951</v>
      </c>
      <c r="E140" s="2357"/>
      <c r="F140" s="2357"/>
      <c r="G140" s="819"/>
      <c r="H140" s="826"/>
      <c r="I140" s="824"/>
      <c r="J140" s="825"/>
    </row>
    <row r="141" spans="1:10" s="818" customFormat="1">
      <c r="A141" s="811"/>
      <c r="B141" s="2359" t="s">
        <v>1952</v>
      </c>
      <c r="C141" s="2359"/>
      <c r="D141" s="2357" t="s">
        <v>1964</v>
      </c>
      <c r="E141" s="2357"/>
      <c r="F141" s="2357"/>
      <c r="G141" s="819"/>
      <c r="H141" s="826"/>
      <c r="I141" s="824"/>
      <c r="J141" s="825"/>
    </row>
    <row r="142" spans="1:10" s="818" customFormat="1">
      <c r="A142" s="821">
        <v>4</v>
      </c>
      <c r="B142" s="2356" t="s">
        <v>1953</v>
      </c>
      <c r="C142" s="2356"/>
      <c r="D142" s="826"/>
      <c r="E142" s="826"/>
      <c r="F142" s="826"/>
      <c r="G142" s="826"/>
      <c r="H142" s="826"/>
      <c r="I142" s="824"/>
      <c r="J142" s="825"/>
    </row>
    <row r="143" spans="1:10" s="818" customFormat="1">
      <c r="A143" s="821"/>
      <c r="B143" s="2356" t="s">
        <v>1965</v>
      </c>
      <c r="C143" s="2356"/>
      <c r="D143" s="826"/>
      <c r="E143" s="826"/>
      <c r="F143" s="826"/>
      <c r="G143" s="826"/>
      <c r="H143" s="826"/>
      <c r="I143" s="824"/>
      <c r="J143" s="825"/>
    </row>
    <row r="144" spans="1:10" s="758" customFormat="1">
      <c r="A144" s="827"/>
      <c r="B144" s="827"/>
      <c r="C144" s="827"/>
      <c r="D144" s="827"/>
      <c r="E144" s="827"/>
      <c r="F144" s="132"/>
    </row>
    <row r="145" spans="1:6" s="758" customFormat="1">
      <c r="A145" s="827"/>
      <c r="B145" s="175" t="s">
        <v>133</v>
      </c>
      <c r="C145" s="205"/>
      <c r="D145" s="759"/>
      <c r="E145" s="134"/>
      <c r="F145" s="133"/>
    </row>
    <row r="146" spans="1:6" s="758" customFormat="1">
      <c r="A146" s="828"/>
      <c r="B146" s="176" t="s">
        <v>1769</v>
      </c>
      <c r="D146" s="176" t="s">
        <v>134</v>
      </c>
      <c r="E146" s="759"/>
      <c r="F146" s="759"/>
    </row>
    <row r="147" spans="1:6" s="758" customFormat="1">
      <c r="A147" s="755"/>
      <c r="B147" s="262" t="s">
        <v>1970</v>
      </c>
      <c r="D147" s="672" t="s">
        <v>1971</v>
      </c>
      <c r="E147" s="760"/>
      <c r="F147" s="760"/>
    </row>
    <row r="148" spans="1:6" s="758" customFormat="1">
      <c r="A148" s="755"/>
      <c r="B148" s="176" t="s">
        <v>2031</v>
      </c>
      <c r="D148" s="176" t="s">
        <v>2031</v>
      </c>
      <c r="E148" s="253"/>
      <c r="F148" s="253"/>
    </row>
    <row r="149" spans="1:6" s="758" customFormat="1">
      <c r="A149" s="755"/>
      <c r="B149" s="174" t="s">
        <v>1984</v>
      </c>
      <c r="D149" s="174" t="s">
        <v>1985</v>
      </c>
      <c r="E149" s="759"/>
      <c r="F149" s="759"/>
    </row>
    <row r="150" spans="1:6" s="758" customFormat="1">
      <c r="A150" s="755"/>
      <c r="B150" s="176" t="s">
        <v>670</v>
      </c>
      <c r="C150" s="176"/>
      <c r="D150" s="760"/>
      <c r="E150" s="760"/>
      <c r="F150" s="760"/>
    </row>
    <row r="151" spans="1:6" s="758" customFormat="1">
      <c r="A151" s="755"/>
      <c r="B151" s="174" t="s">
        <v>1972</v>
      </c>
      <c r="C151" s="174"/>
      <c r="D151" s="253"/>
      <c r="E151" s="253"/>
      <c r="F151" s="253"/>
    </row>
    <row r="248" spans="3:3">
      <c r="C248" s="758" t="e">
        <f>'ส่วนงานที่1 '!#REF!</f>
        <v>#REF!</v>
      </c>
    </row>
  </sheetData>
  <mergeCells count="20">
    <mergeCell ref="D136:F136"/>
    <mergeCell ref="D138:F138"/>
    <mergeCell ref="A1:F1"/>
    <mergeCell ref="A2:A8"/>
    <mergeCell ref="A9:A10"/>
    <mergeCell ref="B9:B10"/>
    <mergeCell ref="F9:F10"/>
    <mergeCell ref="C9:D9"/>
    <mergeCell ref="E9:E10"/>
    <mergeCell ref="B142:C142"/>
    <mergeCell ref="B143:C143"/>
    <mergeCell ref="D137:F137"/>
    <mergeCell ref="B137:C137"/>
    <mergeCell ref="B138:C138"/>
    <mergeCell ref="B139:C139"/>
    <mergeCell ref="B140:C140"/>
    <mergeCell ref="B141:C141"/>
    <mergeCell ref="D139:F139"/>
    <mergeCell ref="D140:F140"/>
    <mergeCell ref="D141:F141"/>
  </mergeCells>
  <phoneticPr fontId="0" type="noConversion"/>
  <printOptions horizontalCentered="1"/>
  <pageMargins left="0.62992125984252001" right="0.43307086614173201" top="0.70866141732283505" bottom="0.27500000000000002" header="0.511811023622047" footer="0"/>
  <pageSetup paperSize="9" scale="50" fitToHeight="0" orientation="landscape" r:id="rId1"/>
  <headerFooter alignWithMargins="0">
    <oddHeader>&amp;R&amp;"TH Sarabun New,ตัวหนา"&amp;16แบบ ปร.4 หน้าที่ &amp;P จาก &amp;N</oddHeader>
  </headerFooter>
  <rowBreaks count="4" manualBreakCount="4">
    <brk id="36" max="5" man="1"/>
    <brk id="63" max="5" man="1"/>
    <brk id="91" max="5" man="1"/>
    <brk id="125" max="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V2245"/>
  <sheetViews>
    <sheetView showGridLines="0" view="pageBreakPreview" topLeftCell="A2212" zoomScale="70" zoomScaleNormal="70" zoomScaleSheetLayoutView="70" workbookViewId="0">
      <selection activeCell="A2230" sqref="A2230:XFD2232"/>
    </sheetView>
  </sheetViews>
  <sheetFormatPr defaultColWidth="9.42578125" defaultRowHeight="24" customHeight="1"/>
  <cols>
    <col min="1" max="1" width="10" style="1685" customWidth="1"/>
    <col min="2" max="2" width="9.5703125" style="1685" customWidth="1"/>
    <col min="3" max="3" width="60.5703125" style="1685" customWidth="1"/>
    <col min="4" max="4" width="12" style="1686" customWidth="1"/>
    <col min="5" max="5" width="9.7109375" style="1824" customWidth="1"/>
    <col min="6" max="6" width="17.140625" style="1685" customWidth="1"/>
    <col min="7" max="10" width="17.140625" style="1834" customWidth="1"/>
    <col min="11" max="11" width="15.28515625" style="1762" customWidth="1"/>
    <col min="12" max="12" width="30.42578125" style="1762" customWidth="1"/>
    <col min="13" max="13" width="55.140625" style="1685" customWidth="1"/>
    <col min="14" max="14" width="8.42578125" style="1688" customWidth="1"/>
    <col min="15" max="19" width="9.42578125" style="1711"/>
    <col min="20" max="20" width="15.28515625" style="1711" customWidth="1"/>
    <col min="21" max="21" width="9.42578125" style="1711"/>
    <col min="22" max="22" width="9.42578125" style="1686"/>
    <col min="23" max="16384" width="9.42578125" style="1711"/>
  </cols>
  <sheetData>
    <row r="1" spans="1:22" s="1683" customFormat="1" ht="24" customHeight="1">
      <c r="A1" s="2376" t="str">
        <f>'ส่วนงานที่1 '!A1:F1</f>
        <v xml:space="preserve">แบบแสดงรายการ ปริมาณงาน และราคา  </v>
      </c>
      <c r="B1" s="2376"/>
      <c r="C1" s="2376"/>
      <c r="D1" s="2376"/>
      <c r="E1" s="2376"/>
      <c r="F1" s="2376"/>
      <c r="G1" s="2376"/>
      <c r="H1" s="2376"/>
      <c r="I1" s="2376"/>
      <c r="J1" s="2376"/>
      <c r="K1" s="2376"/>
      <c r="L1" s="1680"/>
      <c r="M1" s="1681"/>
      <c r="N1" s="1682"/>
      <c r="V1" s="1684"/>
    </row>
    <row r="2" spans="1:22" s="1685" customFormat="1" ht="24" customHeight="1">
      <c r="A2" s="2377"/>
      <c r="C2" s="1685" t="str">
        <f>ปร6!B2</f>
        <v>ชื่อโครงการ/งานก่อสร้าง  โครงการก่อสร้างอาคารเรียนและปฏิบัติการคณะสถาปัตยกรรมศาสตร์และการออกแบบ ศูนย์พระนครเหนือ แขวงวงศ์สว่าง เขตบางซื่อ กรุงเทพมหานคร 1 หลัง</v>
      </c>
      <c r="D2" s="1686"/>
      <c r="G2" s="1686"/>
      <c r="H2" s="1686"/>
      <c r="I2" s="1686"/>
      <c r="J2" s="1686"/>
      <c r="K2" s="1687"/>
      <c r="L2" s="1687"/>
      <c r="N2" s="1688"/>
    </row>
    <row r="3" spans="1:22" s="1685" customFormat="1" ht="24" customHeight="1">
      <c r="A3" s="2377"/>
      <c r="C3" s="1685" t="str">
        <f>ปร6!B3</f>
        <v>หน่วยงานเจ้าของโครงการ/งานก่อสร้าง    มหาวิทยาลัยเทคโนโลยีราชมงคลพระนคร ศูนย์พระนครเหนือ</v>
      </c>
      <c r="D3" s="1686"/>
      <c r="G3" s="1686"/>
      <c r="H3" s="1686"/>
      <c r="I3" s="1686"/>
      <c r="J3" s="1686"/>
      <c r="N3" s="1688"/>
    </row>
    <row r="4" spans="1:22" s="1685" customFormat="1" ht="24" customHeight="1">
      <c r="A4" s="2377"/>
      <c r="C4" s="1685" t="str">
        <f>ปร6!B4</f>
        <v>สถานที่ก่อสร้าง : มหาวิทยาลัยเทคโนโลยีราชมงคลพระนคร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4" s="1686"/>
      <c r="G4" s="1686"/>
      <c r="H4" s="1686"/>
      <c r="I4" s="1686"/>
      <c r="J4" s="1686"/>
      <c r="N4" s="1688"/>
    </row>
    <row r="5" spans="1:22" s="1685" customFormat="1" ht="24" customHeight="1">
      <c r="A5" s="2377"/>
      <c r="C5" s="1685" t="str">
        <f>ปร6!B5</f>
        <v>แบบเลขที่  RMUTP-DOA-63-4-PL001.</v>
      </c>
      <c r="D5" s="1686"/>
      <c r="G5" s="1686"/>
      <c r="H5" s="1686"/>
      <c r="I5" s="1686"/>
      <c r="J5" s="1686"/>
      <c r="N5" s="1688"/>
    </row>
    <row r="6" spans="1:22" s="1685" customFormat="1" ht="24" customHeight="1">
      <c r="A6" s="2377"/>
      <c r="C6" s="1685" t="str">
        <f>ปร6!B6</f>
        <v>ประมาณราคาค่าก่อสร้าง : คณะสถาปัตยกรรมศาสตร์และการออกแบบ ศูนย์พระนครเหนือ แขวงวงศ์สว่าง  เขตบางซื่อ กรุงเทพมหานคร</v>
      </c>
      <c r="D6" s="1686"/>
      <c r="G6" s="1686"/>
      <c r="H6" s="1686"/>
      <c r="I6" s="1686"/>
      <c r="J6" s="1686"/>
      <c r="N6" s="1688"/>
    </row>
    <row r="7" spans="1:22" s="1685" customFormat="1" ht="24" customHeight="1">
      <c r="A7" s="2377"/>
      <c r="C7" s="1685" t="str">
        <f>ปร6!B7</f>
        <v>คำนวณราคากลาง   เมื่อวันที่ 16  เดือน สิงหาคม พ.ศ. 2567</v>
      </c>
      <c r="D7" s="1686"/>
      <c r="G7" s="1686"/>
      <c r="H7" s="1686"/>
      <c r="I7" s="1686"/>
      <c r="J7" s="1686"/>
      <c r="K7" s="1687" t="s">
        <v>146</v>
      </c>
      <c r="L7" s="1687"/>
      <c r="N7" s="1688"/>
    </row>
    <row r="8" spans="1:22" s="1689" customFormat="1" ht="24" customHeight="1">
      <c r="A8" s="2377"/>
      <c r="B8" s="1685"/>
      <c r="C8" s="1685"/>
      <c r="D8" s="1686"/>
      <c r="E8" s="1685"/>
      <c r="F8" s="1685"/>
      <c r="G8" s="1686"/>
      <c r="H8" s="1686"/>
      <c r="I8" s="1686"/>
      <c r="J8" s="1686"/>
      <c r="K8" s="1685"/>
      <c r="L8" s="1685"/>
      <c r="N8" s="1688"/>
    </row>
    <row r="9" spans="1:22" s="1683" customFormat="1" ht="24" customHeight="1">
      <c r="A9" s="2378" t="s">
        <v>52</v>
      </c>
      <c r="B9" s="2378" t="s">
        <v>53</v>
      </c>
      <c r="C9" s="2378"/>
      <c r="D9" s="2379" t="s">
        <v>54</v>
      </c>
      <c r="E9" s="2378" t="s">
        <v>55</v>
      </c>
      <c r="F9" s="2380" t="s">
        <v>1772</v>
      </c>
      <c r="G9" s="2380"/>
      <c r="H9" s="2380" t="s">
        <v>1772</v>
      </c>
      <c r="I9" s="2380"/>
      <c r="J9" s="1690"/>
      <c r="K9" s="2378" t="s">
        <v>58</v>
      </c>
      <c r="L9" s="1691"/>
    </row>
    <row r="10" spans="1:22" s="1683" customFormat="1" ht="24" customHeight="1">
      <c r="A10" s="2378"/>
      <c r="B10" s="2378"/>
      <c r="C10" s="2378"/>
      <c r="D10" s="2379"/>
      <c r="E10" s="2378"/>
      <c r="F10" s="1692" t="s">
        <v>59</v>
      </c>
      <c r="G10" s="1692" t="s">
        <v>60</v>
      </c>
      <c r="H10" s="1692" t="s">
        <v>62</v>
      </c>
      <c r="I10" s="1692" t="s">
        <v>63</v>
      </c>
      <c r="J10" s="1690" t="s">
        <v>64</v>
      </c>
      <c r="K10" s="2378"/>
      <c r="L10" s="1691"/>
    </row>
    <row r="11" spans="1:22" s="1683" customFormat="1" ht="24" customHeight="1">
      <c r="A11" s="1693"/>
      <c r="B11" s="1694" t="s">
        <v>135</v>
      </c>
      <c r="C11" s="1695"/>
      <c r="D11" s="1696"/>
      <c r="E11" s="1693"/>
      <c r="F11" s="1692"/>
      <c r="G11" s="1692"/>
      <c r="H11" s="1692"/>
      <c r="I11" s="1692"/>
      <c r="J11" s="1690"/>
      <c r="K11" s="1693"/>
      <c r="L11" s="1691"/>
    </row>
    <row r="12" spans="1:22" s="1683" customFormat="1" ht="24" customHeight="1">
      <c r="A12" s="1693"/>
      <c r="B12" s="1694" t="s">
        <v>1873</v>
      </c>
      <c r="C12" s="1695"/>
      <c r="D12" s="1696"/>
      <c r="E12" s="1693"/>
      <c r="F12" s="1692"/>
      <c r="G12" s="1692"/>
      <c r="H12" s="1692"/>
      <c r="I12" s="1692"/>
      <c r="J12" s="1690"/>
      <c r="K12" s="1693"/>
      <c r="L12" s="1691"/>
    </row>
    <row r="13" spans="1:22" s="1701" customFormat="1" ht="24" customHeight="1">
      <c r="A13" s="1697">
        <v>1</v>
      </c>
      <c r="B13" s="2381" t="s">
        <v>262</v>
      </c>
      <c r="C13" s="2381"/>
      <c r="D13" s="1698"/>
      <c r="E13" s="1699"/>
      <c r="F13" s="1699"/>
      <c r="G13" s="1699"/>
      <c r="H13" s="1699"/>
      <c r="I13" s="1699"/>
      <c r="J13" s="1699"/>
      <c r="K13" s="1700"/>
    </row>
    <row r="14" spans="1:22" s="1701" customFormat="1" ht="24" customHeight="1">
      <c r="A14" s="1697">
        <v>1.1000000000000001</v>
      </c>
      <c r="B14" s="2381" t="s">
        <v>399</v>
      </c>
      <c r="C14" s="2381"/>
      <c r="D14" s="1698"/>
      <c r="E14" s="1699"/>
      <c r="F14" s="1699"/>
      <c r="G14" s="1699"/>
      <c r="H14" s="1699"/>
      <c r="I14" s="1699"/>
      <c r="J14" s="1699"/>
      <c r="K14" s="1700"/>
    </row>
    <row r="15" spans="1:22" ht="24" customHeight="1">
      <c r="A15" s="1702"/>
      <c r="B15" s="1703" t="s">
        <v>139</v>
      </c>
      <c r="C15" s="1704" t="s">
        <v>1049</v>
      </c>
      <c r="D15" s="1705">
        <v>50</v>
      </c>
      <c r="E15" s="1706" t="s">
        <v>83</v>
      </c>
      <c r="F15" s="1707">
        <v>96800</v>
      </c>
      <c r="G15" s="1707">
        <v>51000</v>
      </c>
      <c r="H15" s="1707">
        <f t="shared" ref="H15:H21" si="0">F15*D15</f>
        <v>4840000</v>
      </c>
      <c r="I15" s="1707">
        <f t="shared" ref="I15:I21" si="1">G15*D15</f>
        <v>2550000</v>
      </c>
      <c r="J15" s="1707">
        <f t="shared" ref="J15:J21" si="2">SUM(H15:I15)</f>
        <v>7390000</v>
      </c>
      <c r="K15" s="1708"/>
      <c r="L15" s="1709" t="s">
        <v>1890</v>
      </c>
      <c r="M15" s="1710" t="s">
        <v>643</v>
      </c>
      <c r="N15" s="1711" t="s">
        <v>656</v>
      </c>
      <c r="V15" s="1711"/>
    </row>
    <row r="16" spans="1:22" ht="24" customHeight="1">
      <c r="A16" s="1712"/>
      <c r="B16" s="1673" t="s">
        <v>139</v>
      </c>
      <c r="C16" s="1713" t="s">
        <v>396</v>
      </c>
      <c r="D16" s="1675">
        <v>50</v>
      </c>
      <c r="E16" s="1676" t="s">
        <v>83</v>
      </c>
      <c r="F16" s="1669">
        <v>0</v>
      </c>
      <c r="G16" s="1669">
        <v>800</v>
      </c>
      <c r="H16" s="1669">
        <f t="shared" si="0"/>
        <v>0</v>
      </c>
      <c r="I16" s="1669">
        <f t="shared" si="1"/>
        <v>40000</v>
      </c>
      <c r="J16" s="1669">
        <f t="shared" si="2"/>
        <v>40000</v>
      </c>
      <c r="K16" s="1708"/>
      <c r="L16" s="1709" t="s">
        <v>1890</v>
      </c>
      <c r="M16" s="1710" t="s">
        <v>1930</v>
      </c>
      <c r="N16" s="1711" t="s">
        <v>656</v>
      </c>
      <c r="V16" s="1711"/>
    </row>
    <row r="17" spans="1:14" ht="24" customHeight="1">
      <c r="A17" s="1712"/>
      <c r="B17" s="1673" t="s">
        <v>139</v>
      </c>
      <c r="C17" s="1713" t="s">
        <v>1050</v>
      </c>
      <c r="D17" s="1675">
        <v>10</v>
      </c>
      <c r="E17" s="1676" t="s">
        <v>83</v>
      </c>
      <c r="F17" s="1669">
        <v>136500</v>
      </c>
      <c r="G17" s="1669">
        <v>63000</v>
      </c>
      <c r="H17" s="1669">
        <f t="shared" si="0"/>
        <v>1365000</v>
      </c>
      <c r="I17" s="1669">
        <f t="shared" si="1"/>
        <v>630000</v>
      </c>
      <c r="J17" s="1669">
        <f t="shared" si="2"/>
        <v>1995000</v>
      </c>
      <c r="K17" s="1708"/>
      <c r="L17" s="1709" t="s">
        <v>1890</v>
      </c>
      <c r="M17" s="1710" t="s">
        <v>643</v>
      </c>
      <c r="N17" s="1711" t="s">
        <v>656</v>
      </c>
    </row>
    <row r="18" spans="1:14" ht="24" customHeight="1">
      <c r="A18" s="1712"/>
      <c r="B18" s="1673" t="s">
        <v>139</v>
      </c>
      <c r="C18" s="1713" t="s">
        <v>397</v>
      </c>
      <c r="D18" s="1675">
        <f>D17</f>
        <v>10</v>
      </c>
      <c r="E18" s="1676" t="s">
        <v>83</v>
      </c>
      <c r="F18" s="1669">
        <v>0</v>
      </c>
      <c r="G18" s="1669">
        <v>1100</v>
      </c>
      <c r="H18" s="1669">
        <f t="shared" si="0"/>
        <v>0</v>
      </c>
      <c r="I18" s="1669">
        <f t="shared" si="1"/>
        <v>11000</v>
      </c>
      <c r="J18" s="1669">
        <f t="shared" si="2"/>
        <v>11000</v>
      </c>
      <c r="K18" s="1708"/>
      <c r="L18" s="1709" t="s">
        <v>1890</v>
      </c>
      <c r="M18" s="1710" t="s">
        <v>1930</v>
      </c>
      <c r="N18" s="1711" t="s">
        <v>656</v>
      </c>
    </row>
    <row r="19" spans="1:14" ht="24" customHeight="1">
      <c r="A19" s="1712"/>
      <c r="B19" s="1673" t="s">
        <v>139</v>
      </c>
      <c r="C19" s="1674" t="s">
        <v>657</v>
      </c>
      <c r="D19" s="1675">
        <v>1</v>
      </c>
      <c r="E19" s="1676" t="s">
        <v>113</v>
      </c>
      <c r="F19" s="1669">
        <v>0</v>
      </c>
      <c r="G19" s="1669">
        <v>50000</v>
      </c>
      <c r="H19" s="1669">
        <f t="shared" si="0"/>
        <v>0</v>
      </c>
      <c r="I19" s="1669">
        <f t="shared" si="1"/>
        <v>50000</v>
      </c>
      <c r="J19" s="1669">
        <f t="shared" si="2"/>
        <v>50000</v>
      </c>
      <c r="K19" s="1708"/>
      <c r="L19" s="1714" t="s">
        <v>1989</v>
      </c>
      <c r="M19" s="1710" t="s">
        <v>643</v>
      </c>
      <c r="N19" s="1711" t="s">
        <v>658</v>
      </c>
    </row>
    <row r="20" spans="1:14" ht="24" customHeight="1">
      <c r="A20" s="1712"/>
      <c r="B20" s="1673" t="s">
        <v>139</v>
      </c>
      <c r="C20" s="1674" t="s">
        <v>398</v>
      </c>
      <c r="D20" s="1675">
        <v>2</v>
      </c>
      <c r="E20" s="1676" t="s">
        <v>83</v>
      </c>
      <c r="F20" s="1669">
        <v>0</v>
      </c>
      <c r="G20" s="1669">
        <v>28500</v>
      </c>
      <c r="H20" s="1669">
        <f t="shared" si="0"/>
        <v>0</v>
      </c>
      <c r="I20" s="1669">
        <f t="shared" si="1"/>
        <v>57000</v>
      </c>
      <c r="J20" s="1669">
        <f t="shared" si="2"/>
        <v>57000</v>
      </c>
      <c r="K20" s="1708"/>
      <c r="L20" s="1708"/>
      <c r="M20" s="1710" t="s">
        <v>1990</v>
      </c>
      <c r="N20" s="1711" t="s">
        <v>658</v>
      </c>
    </row>
    <row r="21" spans="1:14" ht="24" customHeight="1">
      <c r="A21" s="1712"/>
      <c r="B21" s="1673" t="s">
        <v>139</v>
      </c>
      <c r="C21" s="1674" t="s">
        <v>147</v>
      </c>
      <c r="D21" s="1675">
        <f>D15+D17</f>
        <v>60</v>
      </c>
      <c r="E21" s="1676" t="s">
        <v>83</v>
      </c>
      <c r="F21" s="1669">
        <v>0</v>
      </c>
      <c r="G21" s="1669">
        <v>300</v>
      </c>
      <c r="H21" s="1669">
        <f t="shared" si="0"/>
        <v>0</v>
      </c>
      <c r="I21" s="1669">
        <f t="shared" si="1"/>
        <v>18000</v>
      </c>
      <c r="J21" s="1669">
        <f t="shared" si="2"/>
        <v>18000</v>
      </c>
      <c r="K21" s="1708"/>
      <c r="L21" s="1708"/>
      <c r="M21" s="1710" t="s">
        <v>1990</v>
      </c>
      <c r="N21" s="1711" t="s">
        <v>658</v>
      </c>
    </row>
    <row r="22" spans="1:14" ht="24" customHeight="1">
      <c r="A22" s="1715"/>
      <c r="B22" s="1716"/>
      <c r="C22" s="1717"/>
      <c r="D22" s="1718"/>
      <c r="E22" s="1719"/>
      <c r="F22" s="1720"/>
      <c r="G22" s="1720"/>
      <c r="H22" s="1720"/>
      <c r="I22" s="1720"/>
      <c r="J22" s="1720"/>
      <c r="K22" s="1708"/>
      <c r="L22" s="1721"/>
      <c r="M22" s="1710"/>
      <c r="N22" s="1711"/>
    </row>
    <row r="23" spans="1:14" s="1701" customFormat="1" ht="24" customHeight="1" thickBot="1">
      <c r="A23" s="1722"/>
      <c r="B23" s="1723"/>
      <c r="C23" s="1724" t="str">
        <f>"รวมราคา "&amp;B14</f>
        <v>รวมราคา งานดิน-เสาเข็ม</v>
      </c>
      <c r="D23" s="1725"/>
      <c r="E23" s="1726"/>
      <c r="F23" s="1727"/>
      <c r="G23" s="1727"/>
      <c r="H23" s="1727">
        <f t="shared" ref="H23:I23" si="3">SUM(H15:H22)</f>
        <v>6205000</v>
      </c>
      <c r="I23" s="1727">
        <f t="shared" si="3"/>
        <v>3356000</v>
      </c>
      <c r="J23" s="1727">
        <f>SUM(J15:J22)</f>
        <v>9561000</v>
      </c>
      <c r="K23" s="1728"/>
      <c r="L23" s="1729"/>
    </row>
    <row r="24" spans="1:14" s="1735" customFormat="1" ht="24" customHeight="1" thickTop="1">
      <c r="A24" s="1730">
        <v>1.2</v>
      </c>
      <c r="B24" s="2374" t="s">
        <v>404</v>
      </c>
      <c r="C24" s="2374"/>
      <c r="D24" s="1731"/>
      <c r="E24" s="1732"/>
      <c r="F24" s="1733"/>
      <c r="G24" s="1733"/>
      <c r="H24" s="1733"/>
      <c r="I24" s="1733"/>
      <c r="J24" s="1733"/>
      <c r="K24" s="1734"/>
      <c r="L24" s="1729"/>
    </row>
    <row r="25" spans="1:14" s="1685" customFormat="1" ht="24" customHeight="1">
      <c r="A25" s="1702"/>
      <c r="B25" s="2369" t="s">
        <v>1162</v>
      </c>
      <c r="C25" s="2369"/>
      <c r="D25" s="1705"/>
      <c r="E25" s="1706"/>
      <c r="F25" s="1707"/>
      <c r="G25" s="1707"/>
      <c r="H25" s="1707"/>
      <c r="I25" s="1707"/>
      <c r="J25" s="1707"/>
      <c r="K25" s="1709"/>
      <c r="L25" s="1721"/>
    </row>
    <row r="26" spans="1:14" s="1685" customFormat="1" ht="24" customHeight="1">
      <c r="A26" s="1712"/>
      <c r="B26" s="1673" t="s">
        <v>139</v>
      </c>
      <c r="C26" s="1674" t="s">
        <v>400</v>
      </c>
      <c r="D26" s="1675">
        <v>508.2</v>
      </c>
      <c r="E26" s="1676" t="s">
        <v>85</v>
      </c>
      <c r="F26" s="1736">
        <v>0</v>
      </c>
      <c r="G26" s="1736">
        <v>168</v>
      </c>
      <c r="H26" s="1669">
        <f t="shared" ref="H26:H31" si="4">F26*D26</f>
        <v>0</v>
      </c>
      <c r="I26" s="1669">
        <f t="shared" ref="I26:I31" si="5">G26*D26</f>
        <v>85377.599999999991</v>
      </c>
      <c r="J26" s="1669">
        <f t="shared" ref="J26:J31" si="6">SUM(H26:I26)</f>
        <v>85377.599999999991</v>
      </c>
      <c r="K26" s="1708"/>
      <c r="L26" s="1721"/>
      <c r="M26" s="1710" t="s">
        <v>1015</v>
      </c>
      <c r="N26" s="1711" t="s">
        <v>659</v>
      </c>
    </row>
    <row r="27" spans="1:14" s="1685" customFormat="1" ht="24" customHeight="1">
      <c r="A27" s="1712"/>
      <c r="B27" s="1673" t="s">
        <v>107</v>
      </c>
      <c r="C27" s="1674" t="s">
        <v>402</v>
      </c>
      <c r="D27" s="1675">
        <v>20.3</v>
      </c>
      <c r="E27" s="1676" t="s">
        <v>85</v>
      </c>
      <c r="F27" s="1736">
        <v>2460</v>
      </c>
      <c r="G27" s="1736">
        <v>426</v>
      </c>
      <c r="H27" s="1669">
        <f t="shared" si="4"/>
        <v>49938</v>
      </c>
      <c r="I27" s="1669">
        <f t="shared" si="5"/>
        <v>8647.8000000000011</v>
      </c>
      <c r="J27" s="1669">
        <f t="shared" si="6"/>
        <v>58585.8</v>
      </c>
      <c r="K27" s="1708"/>
      <c r="L27" s="1721"/>
      <c r="M27" s="1710" t="s">
        <v>1016</v>
      </c>
      <c r="N27" s="1711" t="s">
        <v>659</v>
      </c>
    </row>
    <row r="28" spans="1:14" s="1685" customFormat="1" ht="24" customHeight="1">
      <c r="A28" s="1712"/>
      <c r="B28" s="1673" t="s">
        <v>107</v>
      </c>
      <c r="C28" s="1674" t="s">
        <v>403</v>
      </c>
      <c r="D28" s="1675">
        <f>D27*2</f>
        <v>40.6</v>
      </c>
      <c r="E28" s="1676" t="s">
        <v>85</v>
      </c>
      <c r="F28" s="1736">
        <v>513.33000000000004</v>
      </c>
      <c r="G28" s="1736">
        <v>112</v>
      </c>
      <c r="H28" s="1669">
        <f t="shared" si="4"/>
        <v>20841.198000000004</v>
      </c>
      <c r="I28" s="1669">
        <f t="shared" si="5"/>
        <v>4547.2</v>
      </c>
      <c r="J28" s="1669">
        <f t="shared" si="6"/>
        <v>25388.398000000005</v>
      </c>
      <c r="K28" s="1708"/>
      <c r="L28" s="1721"/>
      <c r="M28" s="1710" t="s">
        <v>1016</v>
      </c>
      <c r="N28" s="1711" t="s">
        <v>659</v>
      </c>
    </row>
    <row r="29" spans="1:14" s="1663" customFormat="1" ht="48">
      <c r="A29" s="1652"/>
      <c r="B29" s="1653" t="s">
        <v>107</v>
      </c>
      <c r="C29" s="1654" t="s">
        <v>1987</v>
      </c>
      <c r="D29" s="1655">
        <v>1</v>
      </c>
      <c r="E29" s="1656" t="s">
        <v>105</v>
      </c>
      <c r="F29" s="1657">
        <v>4650000</v>
      </c>
      <c r="G29" s="1657">
        <v>0</v>
      </c>
      <c r="H29" s="1658">
        <f t="shared" si="4"/>
        <v>4650000</v>
      </c>
      <c r="I29" s="1658">
        <f t="shared" si="5"/>
        <v>0</v>
      </c>
      <c r="J29" s="1658">
        <f t="shared" si="6"/>
        <v>4650000</v>
      </c>
      <c r="K29" s="1659"/>
      <c r="L29" s="1660" t="s">
        <v>1988</v>
      </c>
      <c r="M29" s="1661" t="s">
        <v>1991</v>
      </c>
      <c r="N29" s="1662"/>
    </row>
    <row r="30" spans="1:14" ht="24" customHeight="1">
      <c r="A30" s="1737"/>
      <c r="B30" s="2368" t="s">
        <v>1163</v>
      </c>
      <c r="C30" s="2368"/>
      <c r="D30" s="1738"/>
      <c r="E30" s="1739"/>
      <c r="F30" s="1740"/>
      <c r="G30" s="1740"/>
      <c r="H30" s="1740"/>
      <c r="I30" s="1740"/>
      <c r="J30" s="1740"/>
      <c r="K30" s="1741"/>
      <c r="L30" s="1729"/>
      <c r="M30" s="1735"/>
      <c r="N30" s="1735"/>
    </row>
    <row r="31" spans="1:14" ht="24" customHeight="1">
      <c r="A31" s="1712"/>
      <c r="B31" s="1673" t="s">
        <v>139</v>
      </c>
      <c r="C31" s="1674" t="s">
        <v>1233</v>
      </c>
      <c r="D31" s="1675">
        <v>37.4</v>
      </c>
      <c r="E31" s="1676" t="s">
        <v>85</v>
      </c>
      <c r="F31" s="1736">
        <v>2679.9</v>
      </c>
      <c r="G31" s="1736">
        <v>519</v>
      </c>
      <c r="H31" s="1669">
        <f t="shared" si="4"/>
        <v>100228.26</v>
      </c>
      <c r="I31" s="1669">
        <f t="shared" si="5"/>
        <v>19410.599999999999</v>
      </c>
      <c r="J31" s="1669">
        <f t="shared" si="6"/>
        <v>119638.85999999999</v>
      </c>
      <c r="K31" s="1708"/>
      <c r="L31" s="1721"/>
      <c r="M31" s="1710" t="s">
        <v>1016</v>
      </c>
      <c r="N31" s="1711" t="s">
        <v>659</v>
      </c>
    </row>
    <row r="32" spans="1:14" ht="24" customHeight="1">
      <c r="A32" s="1712"/>
      <c r="B32" s="2368" t="s">
        <v>1164</v>
      </c>
      <c r="C32" s="2368"/>
      <c r="D32" s="1675">
        <v>18.100000000000001</v>
      </c>
      <c r="E32" s="1676"/>
      <c r="F32" s="1736"/>
      <c r="G32" s="1736"/>
      <c r="H32" s="1669"/>
      <c r="I32" s="1669"/>
      <c r="J32" s="1669"/>
      <c r="K32" s="1708"/>
      <c r="L32" s="1721"/>
      <c r="M32" s="1711"/>
      <c r="N32" s="1711"/>
    </row>
    <row r="33" spans="1:14" ht="24" customHeight="1">
      <c r="A33" s="1712"/>
      <c r="B33" s="1673" t="s">
        <v>139</v>
      </c>
      <c r="C33" s="1674" t="s">
        <v>1784</v>
      </c>
      <c r="D33" s="1675">
        <f>D32</f>
        <v>18.100000000000001</v>
      </c>
      <c r="E33" s="1676" t="s">
        <v>86</v>
      </c>
      <c r="F33" s="1736">
        <v>0</v>
      </c>
      <c r="G33" s="1669">
        <v>121</v>
      </c>
      <c r="H33" s="1669">
        <f>F33*D33</f>
        <v>0</v>
      </c>
      <c r="I33" s="1669">
        <f>G33*D33</f>
        <v>2190.1000000000004</v>
      </c>
      <c r="J33" s="1669">
        <f>SUM(H33:I33)</f>
        <v>2190.1000000000004</v>
      </c>
      <c r="K33" s="1708"/>
      <c r="L33" s="1721"/>
      <c r="M33" s="1710" t="s">
        <v>1017</v>
      </c>
      <c r="N33" s="1711" t="s">
        <v>659</v>
      </c>
    </row>
    <row r="34" spans="1:14" ht="24" customHeight="1">
      <c r="A34" s="1780"/>
      <c r="B34" s="1780"/>
      <c r="C34" s="1827" t="s">
        <v>133</v>
      </c>
      <c r="D34" s="2365"/>
      <c r="E34" s="2365"/>
      <c r="F34" s="2365"/>
      <c r="G34" s="2365"/>
      <c r="H34" s="2365"/>
      <c r="I34" s="2365"/>
      <c r="J34" s="2365"/>
      <c r="K34" s="2365"/>
      <c r="L34" s="1721"/>
      <c r="M34" s="1710"/>
      <c r="N34" s="1711"/>
    </row>
    <row r="35" spans="1:14" ht="24" customHeight="1">
      <c r="A35" s="1780"/>
      <c r="B35" s="2366" t="s">
        <v>1769</v>
      </c>
      <c r="C35" s="2366"/>
      <c r="D35" s="1828"/>
      <c r="E35" s="1769"/>
      <c r="F35" s="1828"/>
      <c r="G35" s="1828" t="s">
        <v>134</v>
      </c>
      <c r="H35" s="1828"/>
      <c r="I35" s="1828"/>
      <c r="J35" s="1828"/>
      <c r="K35" s="1828"/>
      <c r="L35" s="1721"/>
      <c r="M35" s="1710"/>
      <c r="N35" s="1711"/>
    </row>
    <row r="36" spans="1:14" ht="24" customHeight="1">
      <c r="A36" s="1780"/>
      <c r="B36" s="2367" t="s">
        <v>1970</v>
      </c>
      <c r="C36" s="2367"/>
      <c r="D36" s="1831"/>
      <c r="E36" s="1832"/>
      <c r="F36" s="1833"/>
      <c r="G36" s="1833" t="s">
        <v>1971</v>
      </c>
      <c r="H36" s="1833"/>
      <c r="I36" s="1833"/>
      <c r="J36" s="1833"/>
      <c r="K36" s="1833"/>
      <c r="L36" s="1721"/>
      <c r="M36" s="1710"/>
      <c r="N36" s="1711"/>
    </row>
    <row r="37" spans="1:14" ht="24" customHeight="1">
      <c r="A37" s="1830"/>
      <c r="B37" s="1828" t="s">
        <v>2031</v>
      </c>
      <c r="C37" s="1830"/>
      <c r="D37" s="1830"/>
      <c r="E37" s="1830"/>
      <c r="F37" s="1830"/>
      <c r="G37" s="1828" t="s">
        <v>2031</v>
      </c>
      <c r="H37" s="1830"/>
      <c r="I37" s="1830"/>
      <c r="J37" s="1830"/>
      <c r="K37" s="1830"/>
      <c r="L37" s="1721"/>
      <c r="M37" s="1710"/>
      <c r="N37" s="1711"/>
    </row>
    <row r="38" spans="1:14" ht="24" customHeight="1">
      <c r="B38" s="1721" t="s">
        <v>1984</v>
      </c>
      <c r="C38" s="1830"/>
      <c r="D38" s="1685"/>
      <c r="E38" s="1685"/>
      <c r="G38" s="1721" t="s">
        <v>1985</v>
      </c>
      <c r="H38" s="1685"/>
      <c r="I38" s="1685"/>
      <c r="J38" s="1685"/>
      <c r="K38" s="1685"/>
      <c r="L38" s="1721"/>
      <c r="M38" s="1710"/>
      <c r="N38" s="1711"/>
    </row>
    <row r="39" spans="1:14" ht="24" customHeight="1">
      <c r="B39" s="1828" t="s">
        <v>670</v>
      </c>
      <c r="L39" s="1721"/>
      <c r="M39" s="1710"/>
      <c r="N39" s="1711"/>
    </row>
    <row r="40" spans="1:14" ht="24" customHeight="1">
      <c r="B40" s="1721" t="s">
        <v>1972</v>
      </c>
      <c r="L40" s="1721"/>
      <c r="M40" s="1710"/>
      <c r="N40" s="1711"/>
    </row>
    <row r="41" spans="1:14" s="1685" customFormat="1" ht="24" customHeight="1">
      <c r="A41" s="1712"/>
      <c r="B41" s="1673" t="s">
        <v>139</v>
      </c>
      <c r="C41" s="1674" t="s">
        <v>198</v>
      </c>
      <c r="D41" s="1675">
        <f>D32*0.5</f>
        <v>9.0500000000000007</v>
      </c>
      <c r="E41" s="1676" t="s">
        <v>164</v>
      </c>
      <c r="F41" s="1736">
        <v>400</v>
      </c>
      <c r="G41" s="1736">
        <v>0</v>
      </c>
      <c r="H41" s="1669">
        <f>F41*D41</f>
        <v>3620.0000000000005</v>
      </c>
      <c r="I41" s="1669">
        <f>G41*D41</f>
        <v>0</v>
      </c>
      <c r="J41" s="1669">
        <f>SUM(H41:I41)</f>
        <v>3620.0000000000005</v>
      </c>
      <c r="K41" s="1708"/>
      <c r="L41" s="1721"/>
      <c r="M41" s="1710" t="s">
        <v>1018</v>
      </c>
      <c r="N41" s="1711"/>
    </row>
    <row r="42" spans="1:14" s="1685" customFormat="1" ht="24" customHeight="1">
      <c r="A42" s="1712"/>
      <c r="B42" s="1673" t="s">
        <v>139</v>
      </c>
      <c r="C42" s="1674" t="s">
        <v>1782</v>
      </c>
      <c r="D42" s="1675">
        <f>D41*0.3</f>
        <v>2.7150000000000003</v>
      </c>
      <c r="E42" s="1676" t="s">
        <v>164</v>
      </c>
      <c r="F42" s="1736">
        <v>400</v>
      </c>
      <c r="G42" s="1736">
        <v>0</v>
      </c>
      <c r="H42" s="1669">
        <f>F42*D42</f>
        <v>1086.0000000000002</v>
      </c>
      <c r="I42" s="1669">
        <f>G42*D42</f>
        <v>0</v>
      </c>
      <c r="J42" s="1669">
        <f>SUM(H42:I42)</f>
        <v>1086.0000000000002</v>
      </c>
      <c r="K42" s="1708"/>
      <c r="L42" s="1721"/>
      <c r="M42" s="1710" t="s">
        <v>1018</v>
      </c>
      <c r="N42" s="1711"/>
    </row>
    <row r="43" spans="1:14" s="1685" customFormat="1" ht="24" customHeight="1">
      <c r="A43" s="1712"/>
      <c r="B43" s="1673" t="s">
        <v>139</v>
      </c>
      <c r="C43" s="1674" t="s">
        <v>1781</v>
      </c>
      <c r="D43" s="1675">
        <f>D32*0.25</f>
        <v>4.5250000000000004</v>
      </c>
      <c r="E43" s="1676" t="s">
        <v>87</v>
      </c>
      <c r="F43" s="1736">
        <v>23.89</v>
      </c>
      <c r="G43" s="1736">
        <v>0</v>
      </c>
      <c r="H43" s="1669">
        <f>F43*D43</f>
        <v>108.10225000000001</v>
      </c>
      <c r="I43" s="1669">
        <f>G43*D43</f>
        <v>0</v>
      </c>
      <c r="J43" s="1669">
        <f>SUM(H43:I43)</f>
        <v>108.10225000000001</v>
      </c>
      <c r="K43" s="1708"/>
      <c r="L43" s="1721"/>
      <c r="M43" s="1710" t="s">
        <v>660</v>
      </c>
    </row>
    <row r="44" spans="1:14" ht="23.45" customHeight="1">
      <c r="A44" s="1737"/>
      <c r="B44" s="2368" t="s">
        <v>1165</v>
      </c>
      <c r="C44" s="2368"/>
      <c r="D44" s="1738"/>
      <c r="E44" s="1739"/>
      <c r="F44" s="1740"/>
      <c r="G44" s="1740"/>
      <c r="H44" s="1740"/>
      <c r="I44" s="1740"/>
      <c r="J44" s="1740"/>
      <c r="K44" s="1741"/>
      <c r="L44" s="1729"/>
      <c r="M44" s="1735"/>
      <c r="N44" s="1735"/>
    </row>
    <row r="45" spans="1:14" ht="24" customHeight="1">
      <c r="A45" s="1712"/>
      <c r="B45" s="1673" t="s">
        <v>139</v>
      </c>
      <c r="C45" s="1674" t="s">
        <v>89</v>
      </c>
      <c r="D45" s="1675">
        <v>1799.5</v>
      </c>
      <c r="E45" s="1676" t="s">
        <v>87</v>
      </c>
      <c r="F45" s="1736">
        <v>21.4</v>
      </c>
      <c r="G45" s="1736">
        <v>3.6</v>
      </c>
      <c r="H45" s="1669">
        <f>F45*D45</f>
        <v>38509.299999999996</v>
      </c>
      <c r="I45" s="1669">
        <f>G45*D45</f>
        <v>6478.2</v>
      </c>
      <c r="J45" s="1669">
        <f>SUM(H45:I45)</f>
        <v>44987.499999999993</v>
      </c>
      <c r="K45" s="1708"/>
      <c r="L45" s="1721"/>
      <c r="M45" s="1710" t="s">
        <v>1016</v>
      </c>
      <c r="N45" s="1711" t="s">
        <v>659</v>
      </c>
    </row>
    <row r="46" spans="1:14" ht="24" customHeight="1">
      <c r="A46" s="1712"/>
      <c r="B46" s="1673" t="s">
        <v>139</v>
      </c>
      <c r="C46" s="1674" t="s">
        <v>200</v>
      </c>
      <c r="D46" s="1675">
        <f>SUM(D45:D45)*0.03</f>
        <v>53.984999999999999</v>
      </c>
      <c r="E46" s="1676" t="s">
        <v>87</v>
      </c>
      <c r="F46" s="1677">
        <v>25.83</v>
      </c>
      <c r="G46" s="1677">
        <v>0</v>
      </c>
      <c r="H46" s="1669">
        <f>F46*D46</f>
        <v>1394.43255</v>
      </c>
      <c r="I46" s="1669">
        <f>G46*D46</f>
        <v>0</v>
      </c>
      <c r="J46" s="1669">
        <f>SUM(H46:I46)</f>
        <v>1394.43255</v>
      </c>
      <c r="K46" s="1708"/>
      <c r="L46" s="1721"/>
      <c r="M46" s="1710" t="s">
        <v>1019</v>
      </c>
      <c r="N46" s="1711"/>
    </row>
    <row r="47" spans="1:14" ht="24" customHeight="1">
      <c r="A47" s="1702"/>
      <c r="B47" s="2369" t="s">
        <v>1159</v>
      </c>
      <c r="C47" s="2369"/>
      <c r="D47" s="1705"/>
      <c r="E47" s="1706"/>
      <c r="F47" s="1742"/>
      <c r="G47" s="1742"/>
      <c r="H47" s="1707"/>
      <c r="I47" s="1707"/>
      <c r="J47" s="1707"/>
      <c r="K47" s="1709"/>
      <c r="L47" s="1721"/>
      <c r="M47" s="1711"/>
      <c r="N47" s="1711"/>
    </row>
    <row r="48" spans="1:14" ht="24" customHeight="1">
      <c r="A48" s="1712"/>
      <c r="B48" s="1673" t="s">
        <v>139</v>
      </c>
      <c r="C48" s="1674" t="s">
        <v>228</v>
      </c>
      <c r="D48" s="1675">
        <v>110.8</v>
      </c>
      <c r="E48" s="1676" t="s">
        <v>85</v>
      </c>
      <c r="F48" s="1736">
        <v>2679.9</v>
      </c>
      <c r="G48" s="1736">
        <v>519</v>
      </c>
      <c r="H48" s="1669">
        <f>F48*D48</f>
        <v>296932.92</v>
      </c>
      <c r="I48" s="1669">
        <f>G48*D48</f>
        <v>57505.2</v>
      </c>
      <c r="J48" s="1669">
        <f>SUM(H48:I48)</f>
        <v>354438.12</v>
      </c>
      <c r="K48" s="1708"/>
      <c r="L48" s="1721"/>
      <c r="M48" s="1710" t="s">
        <v>1016</v>
      </c>
      <c r="N48" s="1711" t="s">
        <v>659</v>
      </c>
    </row>
    <row r="49" spans="1:14" ht="24" customHeight="1">
      <c r="A49" s="1712"/>
      <c r="B49" s="2368" t="s">
        <v>1160</v>
      </c>
      <c r="C49" s="2368"/>
      <c r="D49" s="1675">
        <v>266.10000000000002</v>
      </c>
      <c r="E49" s="1676" t="s">
        <v>86</v>
      </c>
      <c r="F49" s="1736"/>
      <c r="G49" s="1736"/>
      <c r="H49" s="1669"/>
      <c r="I49" s="1669"/>
      <c r="J49" s="1669"/>
      <c r="K49" s="1708"/>
      <c r="L49" s="1721"/>
      <c r="M49" s="1711"/>
      <c r="N49" s="1711"/>
    </row>
    <row r="50" spans="1:14" s="1685" customFormat="1" ht="24" customHeight="1">
      <c r="A50" s="1712"/>
      <c r="B50" s="1673" t="s">
        <v>139</v>
      </c>
      <c r="C50" s="1674" t="s">
        <v>1784</v>
      </c>
      <c r="D50" s="1675">
        <f>D49</f>
        <v>266.10000000000002</v>
      </c>
      <c r="E50" s="1676" t="s">
        <v>86</v>
      </c>
      <c r="F50" s="1736">
        <v>0</v>
      </c>
      <c r="G50" s="1669">
        <v>121</v>
      </c>
      <c r="H50" s="1669">
        <f>F50*D50</f>
        <v>0</v>
      </c>
      <c r="I50" s="1669">
        <f>G50*D50</f>
        <v>32198.100000000002</v>
      </c>
      <c r="J50" s="1669">
        <f>SUM(H50:I50)</f>
        <v>32198.100000000002</v>
      </c>
      <c r="K50" s="1708"/>
      <c r="L50" s="1721"/>
      <c r="M50" s="1710" t="s">
        <v>1017</v>
      </c>
      <c r="N50" s="1711" t="s">
        <v>659</v>
      </c>
    </row>
    <row r="51" spans="1:14" s="1685" customFormat="1" ht="24" customHeight="1">
      <c r="A51" s="1712"/>
      <c r="B51" s="1673" t="s">
        <v>139</v>
      </c>
      <c r="C51" s="1674" t="s">
        <v>198</v>
      </c>
      <c r="D51" s="1675">
        <f>D49*0.5</f>
        <v>133.05000000000001</v>
      </c>
      <c r="E51" s="1676" t="s">
        <v>164</v>
      </c>
      <c r="F51" s="1736">
        <v>400</v>
      </c>
      <c r="G51" s="1736">
        <v>0</v>
      </c>
      <c r="H51" s="1669">
        <f>F51*D51</f>
        <v>53220.000000000007</v>
      </c>
      <c r="I51" s="1669">
        <f>G51*D51</f>
        <v>0</v>
      </c>
      <c r="J51" s="1669">
        <f>SUM(H51:I51)</f>
        <v>53220.000000000007</v>
      </c>
      <c r="K51" s="1708"/>
      <c r="L51" s="1721"/>
      <c r="M51" s="1710" t="s">
        <v>1018</v>
      </c>
    </row>
    <row r="52" spans="1:14" s="1685" customFormat="1" ht="24" customHeight="1">
      <c r="A52" s="1702"/>
      <c r="B52" s="1703" t="s">
        <v>139</v>
      </c>
      <c r="C52" s="1743" t="s">
        <v>166</v>
      </c>
      <c r="D52" s="1705">
        <f>D51*0.3</f>
        <v>39.914999999999999</v>
      </c>
      <c r="E52" s="1706" t="s">
        <v>164</v>
      </c>
      <c r="F52" s="1742">
        <v>400</v>
      </c>
      <c r="G52" s="1742">
        <v>0</v>
      </c>
      <c r="H52" s="1707">
        <f>F52*D52</f>
        <v>15966</v>
      </c>
      <c r="I52" s="1707">
        <f>G52*D52</f>
        <v>0</v>
      </c>
      <c r="J52" s="1707">
        <f>SUM(H52:I52)</f>
        <v>15966</v>
      </c>
      <c r="K52" s="1709"/>
      <c r="L52" s="1721"/>
      <c r="M52" s="1710" t="s">
        <v>1018</v>
      </c>
    </row>
    <row r="53" spans="1:14" s="1685" customFormat="1" ht="24" customHeight="1">
      <c r="A53" s="1712"/>
      <c r="B53" s="1673" t="s">
        <v>139</v>
      </c>
      <c r="C53" s="1674" t="s">
        <v>163</v>
      </c>
      <c r="D53" s="1675">
        <f>D49</f>
        <v>266.10000000000002</v>
      </c>
      <c r="E53" s="1676" t="s">
        <v>83</v>
      </c>
      <c r="F53" s="1736">
        <v>28</v>
      </c>
      <c r="G53" s="1736">
        <v>0</v>
      </c>
      <c r="H53" s="1669">
        <f>F53*D53</f>
        <v>7450.8000000000011</v>
      </c>
      <c r="I53" s="1669">
        <f>G53*D53</f>
        <v>0</v>
      </c>
      <c r="J53" s="1669">
        <f>SUM(H53:I53)</f>
        <v>7450.8000000000011</v>
      </c>
      <c r="K53" s="1708"/>
      <c r="L53" s="1721"/>
      <c r="M53" s="1710" t="s">
        <v>1018</v>
      </c>
    </row>
    <row r="54" spans="1:14" s="1685" customFormat="1" ht="24" customHeight="1">
      <c r="A54" s="1712"/>
      <c r="B54" s="1673" t="s">
        <v>139</v>
      </c>
      <c r="C54" s="1674" t="s">
        <v>1781</v>
      </c>
      <c r="D54" s="1675">
        <f>D49*0.25</f>
        <v>66.525000000000006</v>
      </c>
      <c r="E54" s="1676" t="s">
        <v>87</v>
      </c>
      <c r="F54" s="1736">
        <v>23.89</v>
      </c>
      <c r="G54" s="1736">
        <v>0</v>
      </c>
      <c r="H54" s="1669">
        <f>F54*D54</f>
        <v>1589.2822500000002</v>
      </c>
      <c r="I54" s="1669">
        <f>G54*D54</f>
        <v>0</v>
      </c>
      <c r="J54" s="1669">
        <f>SUM(H54:I54)</f>
        <v>1589.2822500000002</v>
      </c>
      <c r="K54" s="1708"/>
      <c r="L54" s="1721"/>
      <c r="M54" s="1710" t="s">
        <v>660</v>
      </c>
    </row>
    <row r="55" spans="1:14" s="1685" customFormat="1" ht="24" customHeight="1">
      <c r="A55" s="1712"/>
      <c r="B55" s="2368" t="s">
        <v>1161</v>
      </c>
      <c r="C55" s="2368"/>
      <c r="D55" s="1675"/>
      <c r="E55" s="1676"/>
      <c r="F55" s="1736"/>
      <c r="G55" s="1736"/>
      <c r="H55" s="1669"/>
      <c r="I55" s="1669"/>
      <c r="J55" s="1669"/>
      <c r="K55" s="1708"/>
      <c r="L55" s="1721"/>
    </row>
    <row r="56" spans="1:14" ht="24" customHeight="1">
      <c r="A56" s="1712"/>
      <c r="B56" s="1673" t="s">
        <v>139</v>
      </c>
      <c r="C56" s="1674" t="s">
        <v>88</v>
      </c>
      <c r="D56" s="1675">
        <v>834</v>
      </c>
      <c r="E56" s="1676" t="s">
        <v>87</v>
      </c>
      <c r="F56" s="1677">
        <v>21.4</v>
      </c>
      <c r="G56" s="1677">
        <v>4.4000000000000004</v>
      </c>
      <c r="H56" s="1669">
        <f t="shared" ref="H56:H62" si="7">F56*D56</f>
        <v>17847.599999999999</v>
      </c>
      <c r="I56" s="1669">
        <f t="shared" ref="I56:I62" si="8">G56*D56</f>
        <v>3669.6000000000004</v>
      </c>
      <c r="J56" s="1669">
        <f t="shared" ref="J56:J62" si="9">SUM(H56:I56)</f>
        <v>21517.199999999997</v>
      </c>
      <c r="K56" s="1708"/>
      <c r="L56" s="1721"/>
      <c r="M56" s="1710" t="s">
        <v>1016</v>
      </c>
      <c r="N56" s="1711" t="s">
        <v>659</v>
      </c>
    </row>
    <row r="57" spans="1:14" ht="24" customHeight="1">
      <c r="A57" s="1712"/>
      <c r="B57" s="1673" t="s">
        <v>139</v>
      </c>
      <c r="C57" s="1674" t="s">
        <v>89</v>
      </c>
      <c r="D57" s="1675">
        <v>1259.0999999999999</v>
      </c>
      <c r="E57" s="1676" t="s">
        <v>87</v>
      </c>
      <c r="F57" s="1677">
        <v>21.4</v>
      </c>
      <c r="G57" s="1677">
        <v>3.6</v>
      </c>
      <c r="H57" s="1669">
        <f t="shared" si="7"/>
        <v>26944.739999999998</v>
      </c>
      <c r="I57" s="1669">
        <f t="shared" si="8"/>
        <v>4532.76</v>
      </c>
      <c r="J57" s="1669">
        <f t="shared" si="9"/>
        <v>31477.5</v>
      </c>
      <c r="K57" s="1708"/>
      <c r="L57" s="1721"/>
      <c r="M57" s="1710" t="s">
        <v>1016</v>
      </c>
      <c r="N57" s="1711" t="s">
        <v>659</v>
      </c>
    </row>
    <row r="58" spans="1:14" ht="24" customHeight="1">
      <c r="A58" s="1712"/>
      <c r="B58" s="1673" t="s">
        <v>139</v>
      </c>
      <c r="C58" s="1674" t="s">
        <v>90</v>
      </c>
      <c r="D58" s="1675">
        <v>4579</v>
      </c>
      <c r="E58" s="1676" t="s">
        <v>87</v>
      </c>
      <c r="F58" s="1677">
        <v>21.2</v>
      </c>
      <c r="G58" s="1677">
        <v>3.6</v>
      </c>
      <c r="H58" s="1669">
        <f t="shared" si="7"/>
        <v>97074.8</v>
      </c>
      <c r="I58" s="1669">
        <f t="shared" si="8"/>
        <v>16484.400000000001</v>
      </c>
      <c r="J58" s="1669">
        <f t="shared" si="9"/>
        <v>113559.20000000001</v>
      </c>
      <c r="K58" s="1708"/>
      <c r="L58" s="1721"/>
      <c r="M58" s="1710" t="s">
        <v>1016</v>
      </c>
      <c r="N58" s="1711" t="s">
        <v>659</v>
      </c>
    </row>
    <row r="59" spans="1:14" ht="24" customHeight="1">
      <c r="A59" s="1712"/>
      <c r="B59" s="1665" t="s">
        <v>139</v>
      </c>
      <c r="C59" s="1666" t="s">
        <v>1014</v>
      </c>
      <c r="D59" s="1667">
        <v>761.9</v>
      </c>
      <c r="E59" s="1668" t="s">
        <v>87</v>
      </c>
      <c r="F59" s="1744">
        <v>21.2</v>
      </c>
      <c r="G59" s="1744">
        <v>3.1</v>
      </c>
      <c r="H59" s="1669">
        <f t="shared" si="7"/>
        <v>16152.279999999999</v>
      </c>
      <c r="I59" s="1669">
        <f t="shared" si="8"/>
        <v>2361.89</v>
      </c>
      <c r="J59" s="1669">
        <f t="shared" si="9"/>
        <v>18514.169999999998</v>
      </c>
      <c r="K59" s="1708"/>
      <c r="L59" s="1721"/>
      <c r="M59" s="1710" t="s">
        <v>1016</v>
      </c>
      <c r="N59" s="1711" t="s">
        <v>659</v>
      </c>
    </row>
    <row r="60" spans="1:14" ht="24" customHeight="1">
      <c r="A60" s="1672"/>
      <c r="B60" s="1673" t="s">
        <v>139</v>
      </c>
      <c r="C60" s="1674" t="s">
        <v>200</v>
      </c>
      <c r="D60" s="1675">
        <f>SUM(D56:D59)*0.03</f>
        <v>223.01999999999998</v>
      </c>
      <c r="E60" s="1676" t="s">
        <v>87</v>
      </c>
      <c r="F60" s="1677">
        <v>25.83</v>
      </c>
      <c r="G60" s="1677">
        <v>0</v>
      </c>
      <c r="H60" s="1678">
        <f t="shared" si="7"/>
        <v>5760.6065999999992</v>
      </c>
      <c r="I60" s="1669">
        <f t="shared" si="8"/>
        <v>0</v>
      </c>
      <c r="J60" s="1669">
        <f t="shared" si="9"/>
        <v>5760.6065999999992</v>
      </c>
      <c r="K60" s="1708"/>
      <c r="L60" s="1721"/>
      <c r="M60" s="1710" t="s">
        <v>1019</v>
      </c>
      <c r="N60" s="1711"/>
    </row>
    <row r="61" spans="1:14" ht="24" customHeight="1">
      <c r="A61" s="1672"/>
      <c r="B61" s="1673" t="s">
        <v>107</v>
      </c>
      <c r="C61" s="1674" t="s">
        <v>1157</v>
      </c>
      <c r="D61" s="1675">
        <v>40.299999999999997</v>
      </c>
      <c r="E61" s="1676" t="s">
        <v>84</v>
      </c>
      <c r="F61" s="1669">
        <v>360</v>
      </c>
      <c r="G61" s="1669">
        <v>100</v>
      </c>
      <c r="H61" s="1678">
        <f t="shared" si="7"/>
        <v>14507.999999999998</v>
      </c>
      <c r="I61" s="1669">
        <f t="shared" si="8"/>
        <v>4029.9999999999995</v>
      </c>
      <c r="J61" s="1669">
        <f t="shared" si="9"/>
        <v>18537.999999999996</v>
      </c>
      <c r="K61" s="1708"/>
      <c r="L61" s="1708" t="s">
        <v>1918</v>
      </c>
      <c r="M61" s="1710" t="s">
        <v>661</v>
      </c>
      <c r="N61" s="1711" t="s">
        <v>662</v>
      </c>
    </row>
    <row r="62" spans="1:14" ht="24" customHeight="1">
      <c r="A62" s="1672"/>
      <c r="B62" s="1673" t="s">
        <v>107</v>
      </c>
      <c r="C62" s="1674" t="s">
        <v>1158</v>
      </c>
      <c r="D62" s="1675">
        <v>142.69999999999999</v>
      </c>
      <c r="E62" s="1676" t="s">
        <v>86</v>
      </c>
      <c r="F62" s="1669">
        <v>550</v>
      </c>
      <c r="G62" s="1669">
        <v>100</v>
      </c>
      <c r="H62" s="1678">
        <f t="shared" si="7"/>
        <v>78485</v>
      </c>
      <c r="I62" s="1669">
        <f t="shared" si="8"/>
        <v>14269.999999999998</v>
      </c>
      <c r="J62" s="1669">
        <f t="shared" si="9"/>
        <v>92755</v>
      </c>
      <c r="K62" s="1708"/>
      <c r="L62" s="1708" t="s">
        <v>1918</v>
      </c>
      <c r="M62" s="1710" t="s">
        <v>1924</v>
      </c>
      <c r="N62" s="1711" t="s">
        <v>662</v>
      </c>
    </row>
    <row r="63" spans="1:14" ht="24" customHeight="1">
      <c r="A63" s="1672"/>
      <c r="B63" s="2368" t="s">
        <v>405</v>
      </c>
      <c r="C63" s="2368"/>
      <c r="D63" s="1675"/>
      <c r="E63" s="1676"/>
      <c r="F63" s="1736"/>
      <c r="G63" s="1736"/>
      <c r="H63" s="1678"/>
      <c r="I63" s="1669"/>
      <c r="J63" s="1669"/>
      <c r="K63" s="1708"/>
      <c r="L63" s="1721"/>
      <c r="M63" s="1711"/>
      <c r="N63" s="1711"/>
    </row>
    <row r="64" spans="1:14" ht="24" customHeight="1">
      <c r="A64" s="1672"/>
      <c r="B64" s="1673" t="s">
        <v>139</v>
      </c>
      <c r="C64" s="1674" t="s">
        <v>400</v>
      </c>
      <c r="D64" s="1675">
        <v>1787.8</v>
      </c>
      <c r="E64" s="1676" t="s">
        <v>85</v>
      </c>
      <c r="F64" s="1736">
        <v>0</v>
      </c>
      <c r="G64" s="1736">
        <v>168</v>
      </c>
      <c r="H64" s="1678">
        <f t="shared" ref="H64:H88" si="10">F64*D64</f>
        <v>0</v>
      </c>
      <c r="I64" s="1669">
        <f t="shared" ref="I64:I88" si="11">G64*D64</f>
        <v>300350.39999999997</v>
      </c>
      <c r="J64" s="1669">
        <f t="shared" ref="J64:J82" si="12">SUM(H64:I64)</f>
        <v>300350.39999999997</v>
      </c>
      <c r="K64" s="1708"/>
      <c r="L64" s="1721"/>
      <c r="M64" s="1710" t="s">
        <v>1015</v>
      </c>
      <c r="N64" s="1711" t="s">
        <v>659</v>
      </c>
    </row>
    <row r="65" spans="1:14" ht="24" customHeight="1">
      <c r="A65" s="1780"/>
      <c r="B65" s="1780"/>
      <c r="C65" s="1827" t="s">
        <v>133</v>
      </c>
      <c r="D65" s="2365"/>
      <c r="E65" s="2365"/>
      <c r="F65" s="2365"/>
      <c r="G65" s="2365"/>
      <c r="H65" s="2365"/>
      <c r="I65" s="2365"/>
      <c r="J65" s="2365"/>
      <c r="K65" s="2365"/>
      <c r="L65" s="1721"/>
      <c r="M65" s="1710"/>
      <c r="N65" s="1711"/>
    </row>
    <row r="66" spans="1:14" ht="24" customHeight="1">
      <c r="A66" s="1780"/>
      <c r="B66" s="2366" t="s">
        <v>1769</v>
      </c>
      <c r="C66" s="2366"/>
      <c r="D66" s="1828"/>
      <c r="E66" s="1769"/>
      <c r="F66" s="1828"/>
      <c r="G66" s="1828" t="s">
        <v>134</v>
      </c>
      <c r="H66" s="1828"/>
      <c r="I66" s="1828"/>
      <c r="J66" s="1828"/>
      <c r="K66" s="1828"/>
      <c r="L66" s="1721"/>
      <c r="M66" s="1710"/>
      <c r="N66" s="1711"/>
    </row>
    <row r="67" spans="1:14" ht="24" customHeight="1">
      <c r="A67" s="1780"/>
      <c r="B67" s="2367" t="s">
        <v>1970</v>
      </c>
      <c r="C67" s="2367"/>
      <c r="D67" s="1831"/>
      <c r="E67" s="1832"/>
      <c r="F67" s="1833"/>
      <c r="G67" s="1833" t="s">
        <v>1971</v>
      </c>
      <c r="H67" s="1833"/>
      <c r="I67" s="1833"/>
      <c r="J67" s="1833"/>
      <c r="K67" s="1833"/>
      <c r="L67" s="1721"/>
      <c r="M67" s="1710"/>
      <c r="N67" s="1711"/>
    </row>
    <row r="68" spans="1:14" ht="24" customHeight="1">
      <c r="A68" s="1830"/>
      <c r="B68" s="1828" t="s">
        <v>2031</v>
      </c>
      <c r="C68" s="1830"/>
      <c r="D68" s="1830"/>
      <c r="E68" s="1830"/>
      <c r="F68" s="1830"/>
      <c r="G68" s="1828" t="s">
        <v>2031</v>
      </c>
      <c r="H68" s="1830"/>
      <c r="I68" s="1830"/>
      <c r="J68" s="1830"/>
      <c r="K68" s="1830"/>
      <c r="L68" s="1721"/>
      <c r="M68" s="1710"/>
      <c r="N68" s="1711"/>
    </row>
    <row r="69" spans="1:14" ht="24" customHeight="1">
      <c r="B69" s="1721" t="s">
        <v>1984</v>
      </c>
      <c r="C69" s="1830"/>
      <c r="D69" s="1685"/>
      <c r="E69" s="1685"/>
      <c r="G69" s="1721" t="s">
        <v>1985</v>
      </c>
      <c r="H69" s="1685"/>
      <c r="I69" s="1685"/>
      <c r="J69" s="1685"/>
      <c r="K69" s="1685"/>
      <c r="L69" s="1721"/>
      <c r="M69" s="1710"/>
      <c r="N69" s="1711"/>
    </row>
    <row r="70" spans="1:14" ht="24" customHeight="1">
      <c r="B70" s="1828" t="s">
        <v>670</v>
      </c>
      <c r="L70" s="1721"/>
      <c r="M70" s="1710"/>
      <c r="N70" s="1711"/>
    </row>
    <row r="71" spans="1:14" ht="24" customHeight="1">
      <c r="B71" s="1721" t="s">
        <v>1972</v>
      </c>
      <c r="L71" s="1721"/>
      <c r="M71" s="1710"/>
      <c r="N71" s="1711"/>
    </row>
    <row r="72" spans="1:14" ht="24" customHeight="1">
      <c r="A72" s="1672"/>
      <c r="B72" s="1673" t="s">
        <v>107</v>
      </c>
      <c r="C72" s="1674" t="s">
        <v>401</v>
      </c>
      <c r="D72" s="1675">
        <f>D64-(D76+D91)</f>
        <v>1273</v>
      </c>
      <c r="E72" s="1676" t="s">
        <v>85</v>
      </c>
      <c r="F72" s="1669">
        <v>0</v>
      </c>
      <c r="G72" s="1669">
        <v>112</v>
      </c>
      <c r="H72" s="1678">
        <f t="shared" si="10"/>
        <v>0</v>
      </c>
      <c r="I72" s="1669">
        <f t="shared" si="11"/>
        <v>142576</v>
      </c>
      <c r="J72" s="1669">
        <f t="shared" si="12"/>
        <v>142576</v>
      </c>
      <c r="K72" s="1708"/>
      <c r="L72" s="1708"/>
      <c r="M72" s="1710" t="s">
        <v>1016</v>
      </c>
      <c r="N72" s="1711" t="s">
        <v>659</v>
      </c>
    </row>
    <row r="73" spans="1:14" ht="24" customHeight="1">
      <c r="A73" s="1672"/>
      <c r="B73" s="1673" t="s">
        <v>107</v>
      </c>
      <c r="C73" s="1674" t="s">
        <v>402</v>
      </c>
      <c r="D73" s="1675">
        <v>27.7</v>
      </c>
      <c r="E73" s="1676" t="s">
        <v>85</v>
      </c>
      <c r="F73" s="1669">
        <v>2460</v>
      </c>
      <c r="G73" s="1669">
        <v>426</v>
      </c>
      <c r="H73" s="1678">
        <f t="shared" si="10"/>
        <v>68142</v>
      </c>
      <c r="I73" s="1669">
        <f t="shared" si="11"/>
        <v>11800.199999999999</v>
      </c>
      <c r="J73" s="1669">
        <f t="shared" si="12"/>
        <v>79942.2</v>
      </c>
      <c r="K73" s="1708"/>
      <c r="L73" s="1708"/>
      <c r="M73" s="1710" t="s">
        <v>1016</v>
      </c>
      <c r="N73" s="1711" t="s">
        <v>659</v>
      </c>
    </row>
    <row r="74" spans="1:14" ht="24" customHeight="1">
      <c r="A74" s="1712"/>
      <c r="B74" s="1673" t="s">
        <v>107</v>
      </c>
      <c r="C74" s="1674" t="s">
        <v>403</v>
      </c>
      <c r="D74" s="1675">
        <f>D73*2</f>
        <v>55.4</v>
      </c>
      <c r="E74" s="1676" t="s">
        <v>85</v>
      </c>
      <c r="F74" s="1736">
        <v>513.33000000000004</v>
      </c>
      <c r="G74" s="1736">
        <v>91</v>
      </c>
      <c r="H74" s="1669">
        <f t="shared" si="10"/>
        <v>28438.482</v>
      </c>
      <c r="I74" s="1669">
        <f t="shared" si="11"/>
        <v>5041.3999999999996</v>
      </c>
      <c r="J74" s="1669">
        <f t="shared" si="12"/>
        <v>33479.881999999998</v>
      </c>
      <c r="K74" s="1708"/>
      <c r="L74" s="1721"/>
      <c r="M74" s="1710" t="s">
        <v>1016</v>
      </c>
      <c r="N74" s="1711" t="s">
        <v>659</v>
      </c>
    </row>
    <row r="75" spans="1:14" ht="24" customHeight="1">
      <c r="A75" s="1712"/>
      <c r="B75" s="2368" t="s">
        <v>409</v>
      </c>
      <c r="C75" s="2368"/>
      <c r="D75" s="1675"/>
      <c r="E75" s="1676"/>
      <c r="F75" s="1736"/>
      <c r="G75" s="1736"/>
      <c r="H75" s="1669">
        <f t="shared" si="10"/>
        <v>0</v>
      </c>
      <c r="I75" s="1669">
        <f t="shared" si="11"/>
        <v>0</v>
      </c>
      <c r="J75" s="1669">
        <f t="shared" si="12"/>
        <v>0</v>
      </c>
      <c r="K75" s="1708"/>
      <c r="L75" s="1721"/>
      <c r="M75" s="1711"/>
      <c r="N75" s="1711"/>
    </row>
    <row r="76" spans="1:14" ht="24" customHeight="1">
      <c r="A76" s="1712"/>
      <c r="B76" s="1673" t="s">
        <v>139</v>
      </c>
      <c r="C76" s="1674" t="s">
        <v>228</v>
      </c>
      <c r="D76" s="1675">
        <v>470.3</v>
      </c>
      <c r="E76" s="1676" t="s">
        <v>85</v>
      </c>
      <c r="F76" s="1736">
        <v>2679.9</v>
      </c>
      <c r="G76" s="1736">
        <v>519</v>
      </c>
      <c r="H76" s="1669">
        <f t="shared" si="10"/>
        <v>1260356.97</v>
      </c>
      <c r="I76" s="1669">
        <f t="shared" si="11"/>
        <v>244085.7</v>
      </c>
      <c r="J76" s="1669">
        <f t="shared" si="12"/>
        <v>1504442.67</v>
      </c>
      <c r="K76" s="1708"/>
      <c r="L76" s="1721"/>
      <c r="M76" s="1710" t="s">
        <v>1016</v>
      </c>
      <c r="N76" s="1711" t="s">
        <v>659</v>
      </c>
    </row>
    <row r="77" spans="1:14" ht="24" customHeight="1">
      <c r="A77" s="1664"/>
      <c r="B77" s="2371" t="s">
        <v>410</v>
      </c>
      <c r="C77" s="2371"/>
      <c r="D77" s="1667">
        <v>541.70000000000005</v>
      </c>
      <c r="E77" s="1668"/>
      <c r="F77" s="1745"/>
      <c r="G77" s="1745"/>
      <c r="H77" s="1670"/>
      <c r="I77" s="1670"/>
      <c r="J77" s="1670"/>
      <c r="K77" s="1746"/>
      <c r="L77" s="1721"/>
      <c r="M77" s="1711"/>
      <c r="N77" s="1711"/>
    </row>
    <row r="78" spans="1:14" ht="24" customHeight="1">
      <c r="A78" s="1712"/>
      <c r="B78" s="1673" t="s">
        <v>139</v>
      </c>
      <c r="C78" s="1674" t="s">
        <v>1784</v>
      </c>
      <c r="D78" s="1675">
        <f>D77</f>
        <v>541.70000000000005</v>
      </c>
      <c r="E78" s="1676" t="s">
        <v>86</v>
      </c>
      <c r="F78" s="1736">
        <v>0</v>
      </c>
      <c r="G78" s="1669">
        <v>121</v>
      </c>
      <c r="H78" s="1669">
        <f t="shared" si="10"/>
        <v>0</v>
      </c>
      <c r="I78" s="1669">
        <f t="shared" si="11"/>
        <v>65545.700000000012</v>
      </c>
      <c r="J78" s="1669">
        <f t="shared" si="12"/>
        <v>65545.700000000012</v>
      </c>
      <c r="K78" s="1708"/>
      <c r="L78" s="1721"/>
      <c r="M78" s="1710" t="s">
        <v>1017</v>
      </c>
      <c r="N78" s="1711" t="s">
        <v>659</v>
      </c>
    </row>
    <row r="79" spans="1:14" ht="24" customHeight="1">
      <c r="A79" s="1712"/>
      <c r="B79" s="1673" t="s">
        <v>139</v>
      </c>
      <c r="C79" s="1674" t="s">
        <v>198</v>
      </c>
      <c r="D79" s="1675">
        <f>D77*0.5</f>
        <v>270.85000000000002</v>
      </c>
      <c r="E79" s="1676" t="s">
        <v>164</v>
      </c>
      <c r="F79" s="1736">
        <v>400</v>
      </c>
      <c r="G79" s="1736">
        <v>0</v>
      </c>
      <c r="H79" s="1669">
        <f t="shared" si="10"/>
        <v>108340.00000000001</v>
      </c>
      <c r="I79" s="1669">
        <f t="shared" si="11"/>
        <v>0</v>
      </c>
      <c r="J79" s="1669">
        <f t="shared" si="12"/>
        <v>108340.00000000001</v>
      </c>
      <c r="K79" s="1708"/>
      <c r="L79" s="1721"/>
      <c r="M79" s="1710" t="s">
        <v>1018</v>
      </c>
      <c r="N79" s="1711"/>
    </row>
    <row r="80" spans="1:14" s="1685" customFormat="1" ht="24" customHeight="1">
      <c r="A80" s="1712"/>
      <c r="B80" s="1673" t="s">
        <v>139</v>
      </c>
      <c r="C80" s="1674" t="s">
        <v>1782</v>
      </c>
      <c r="D80" s="1675">
        <f>D79*0.3</f>
        <v>81.25500000000001</v>
      </c>
      <c r="E80" s="1676" t="s">
        <v>164</v>
      </c>
      <c r="F80" s="1736">
        <v>400</v>
      </c>
      <c r="G80" s="1736">
        <v>0</v>
      </c>
      <c r="H80" s="1669">
        <f t="shared" si="10"/>
        <v>32502.000000000004</v>
      </c>
      <c r="I80" s="1669">
        <f t="shared" si="11"/>
        <v>0</v>
      </c>
      <c r="J80" s="1669">
        <f t="shared" si="12"/>
        <v>32502.000000000004</v>
      </c>
      <c r="K80" s="1708"/>
      <c r="L80" s="1721"/>
      <c r="M80" s="1710" t="s">
        <v>1018</v>
      </c>
    </row>
    <row r="81" spans="1:14" s="1685" customFormat="1" ht="24" customHeight="1">
      <c r="A81" s="1712"/>
      <c r="B81" s="1673" t="s">
        <v>139</v>
      </c>
      <c r="C81" s="1674" t="s">
        <v>163</v>
      </c>
      <c r="D81" s="1675">
        <f>D77</f>
        <v>541.70000000000005</v>
      </c>
      <c r="E81" s="1676" t="s">
        <v>83</v>
      </c>
      <c r="F81" s="1736">
        <v>28</v>
      </c>
      <c r="G81" s="1736">
        <v>0</v>
      </c>
      <c r="H81" s="1669">
        <f t="shared" si="10"/>
        <v>15167.600000000002</v>
      </c>
      <c r="I81" s="1669">
        <f t="shared" si="11"/>
        <v>0</v>
      </c>
      <c r="J81" s="1669">
        <f t="shared" si="12"/>
        <v>15167.600000000002</v>
      </c>
      <c r="K81" s="1708"/>
      <c r="L81" s="1721"/>
      <c r="M81" s="1710" t="s">
        <v>1018</v>
      </c>
    </row>
    <row r="82" spans="1:14" s="1685" customFormat="1" ht="24" customHeight="1">
      <c r="A82" s="1712"/>
      <c r="B82" s="1673" t="s">
        <v>139</v>
      </c>
      <c r="C82" s="1674" t="s">
        <v>1781</v>
      </c>
      <c r="D82" s="1675">
        <f>D77*0.25</f>
        <v>135.42500000000001</v>
      </c>
      <c r="E82" s="1676" t="s">
        <v>87</v>
      </c>
      <c r="F82" s="1736">
        <v>23.89</v>
      </c>
      <c r="G82" s="1736">
        <v>0</v>
      </c>
      <c r="H82" s="1669">
        <f t="shared" si="10"/>
        <v>3235.3032500000004</v>
      </c>
      <c r="I82" s="1669">
        <f t="shared" si="11"/>
        <v>0</v>
      </c>
      <c r="J82" s="1669">
        <f t="shared" si="12"/>
        <v>3235.3032500000004</v>
      </c>
      <c r="K82" s="1708"/>
      <c r="L82" s="1721"/>
      <c r="M82" s="1710" t="s">
        <v>660</v>
      </c>
    </row>
    <row r="83" spans="1:14" ht="24" customHeight="1">
      <c r="A83" s="1702"/>
      <c r="B83" s="2369" t="s">
        <v>411</v>
      </c>
      <c r="C83" s="2369"/>
      <c r="D83" s="1705"/>
      <c r="E83" s="1706"/>
      <c r="F83" s="1742"/>
      <c r="G83" s="1742"/>
      <c r="H83" s="1707"/>
      <c r="I83" s="1707"/>
      <c r="J83" s="1707"/>
      <c r="K83" s="1709"/>
      <c r="L83" s="1721"/>
      <c r="M83" s="1711"/>
      <c r="N83" s="1711"/>
    </row>
    <row r="84" spans="1:14" ht="24" customHeight="1">
      <c r="A84" s="1712"/>
      <c r="B84" s="1673" t="s">
        <v>139</v>
      </c>
      <c r="C84" s="1674" t="s">
        <v>91</v>
      </c>
      <c r="D84" s="1675">
        <v>8516.2000000000007</v>
      </c>
      <c r="E84" s="1676" t="s">
        <v>87</v>
      </c>
      <c r="F84" s="1677">
        <v>21.2</v>
      </c>
      <c r="G84" s="1677">
        <v>3.1</v>
      </c>
      <c r="H84" s="1669">
        <f t="shared" si="10"/>
        <v>180543.44</v>
      </c>
      <c r="I84" s="1669">
        <f t="shared" si="11"/>
        <v>26400.220000000005</v>
      </c>
      <c r="J84" s="1669">
        <f>SUM(H84:I84)</f>
        <v>206943.66</v>
      </c>
      <c r="K84" s="1708"/>
      <c r="L84" s="1721"/>
      <c r="M84" s="1710" t="s">
        <v>1016</v>
      </c>
      <c r="N84" s="1711" t="s">
        <v>659</v>
      </c>
    </row>
    <row r="85" spans="1:14" ht="24" customHeight="1">
      <c r="A85" s="1702"/>
      <c r="B85" s="1703" t="s">
        <v>139</v>
      </c>
      <c r="C85" s="1743" t="s">
        <v>1014</v>
      </c>
      <c r="D85" s="1705">
        <v>63928.6</v>
      </c>
      <c r="E85" s="1706" t="s">
        <v>87</v>
      </c>
      <c r="F85" s="1747">
        <v>21.2</v>
      </c>
      <c r="G85" s="1747">
        <v>3.1</v>
      </c>
      <c r="H85" s="1707">
        <f t="shared" si="10"/>
        <v>1355286.3199999998</v>
      </c>
      <c r="I85" s="1707">
        <f t="shared" si="11"/>
        <v>198178.66</v>
      </c>
      <c r="J85" s="1707">
        <f>SUM(H85:I85)</f>
        <v>1553464.9799999997</v>
      </c>
      <c r="K85" s="1709"/>
      <c r="L85" s="1721"/>
      <c r="M85" s="1710" t="s">
        <v>1016</v>
      </c>
      <c r="N85" s="1711" t="s">
        <v>659</v>
      </c>
    </row>
    <row r="86" spans="1:14" ht="24" customHeight="1">
      <c r="A86" s="1664"/>
      <c r="B86" s="1665" t="s">
        <v>139</v>
      </c>
      <c r="C86" s="1666" t="s">
        <v>1023</v>
      </c>
      <c r="D86" s="1667">
        <v>7358.8</v>
      </c>
      <c r="E86" s="1668" t="s">
        <v>87</v>
      </c>
      <c r="F86" s="1744">
        <v>21.3</v>
      </c>
      <c r="G86" s="1744">
        <v>3.1</v>
      </c>
      <c r="H86" s="1670">
        <f t="shared" si="10"/>
        <v>156742.44</v>
      </c>
      <c r="I86" s="1670">
        <f t="shared" si="11"/>
        <v>22812.280000000002</v>
      </c>
      <c r="J86" s="1670">
        <f>SUM(H86:I86)</f>
        <v>179554.72</v>
      </c>
      <c r="K86" s="1746"/>
      <c r="L86" s="1721"/>
      <c r="M86" s="1710" t="s">
        <v>1016</v>
      </c>
      <c r="N86" s="1711" t="s">
        <v>659</v>
      </c>
    </row>
    <row r="87" spans="1:14" ht="24" customHeight="1">
      <c r="A87" s="1712"/>
      <c r="B87" s="1673" t="s">
        <v>139</v>
      </c>
      <c r="C87" s="1674" t="s">
        <v>1024</v>
      </c>
      <c r="D87" s="1675">
        <v>2191.1999999999998</v>
      </c>
      <c r="E87" s="1676" t="s">
        <v>87</v>
      </c>
      <c r="F87" s="1677">
        <v>21.3</v>
      </c>
      <c r="G87" s="1677">
        <v>3.1</v>
      </c>
      <c r="H87" s="1669">
        <f t="shared" si="10"/>
        <v>46672.56</v>
      </c>
      <c r="I87" s="1669">
        <f t="shared" si="11"/>
        <v>6792.7199999999993</v>
      </c>
      <c r="J87" s="1669">
        <f>SUM(H87:I87)</f>
        <v>53465.279999999999</v>
      </c>
      <c r="K87" s="1708"/>
      <c r="L87" s="1721"/>
      <c r="M87" s="1710" t="s">
        <v>1016</v>
      </c>
      <c r="N87" s="1711" t="s">
        <v>659</v>
      </c>
    </row>
    <row r="88" spans="1:14" ht="24" customHeight="1">
      <c r="A88" s="1712"/>
      <c r="B88" s="1673" t="s">
        <v>139</v>
      </c>
      <c r="C88" s="1674" t="s">
        <v>200</v>
      </c>
      <c r="D88" s="1675">
        <f>SUM(D84:D87)*0.03</f>
        <v>2459.8440000000001</v>
      </c>
      <c r="E88" s="1676" t="s">
        <v>87</v>
      </c>
      <c r="F88" s="1677">
        <v>25.83</v>
      </c>
      <c r="G88" s="1677">
        <v>0</v>
      </c>
      <c r="H88" s="1669">
        <f t="shared" si="10"/>
        <v>63537.770519999998</v>
      </c>
      <c r="I88" s="1669">
        <f t="shared" si="11"/>
        <v>0</v>
      </c>
      <c r="J88" s="1669">
        <f>SUM(H88:I88)</f>
        <v>63537.770519999998</v>
      </c>
      <c r="K88" s="1708"/>
      <c r="L88" s="1721"/>
      <c r="M88" s="1710" t="s">
        <v>1019</v>
      </c>
      <c r="N88" s="1711"/>
    </row>
    <row r="89" spans="1:14" ht="24" customHeight="1">
      <c r="A89" s="1712"/>
      <c r="B89" s="2368" t="s">
        <v>406</v>
      </c>
      <c r="C89" s="2368"/>
      <c r="D89" s="1675"/>
      <c r="E89" s="1676"/>
      <c r="F89" s="1736"/>
      <c r="G89" s="1736"/>
      <c r="H89" s="1669"/>
      <c r="I89" s="1669"/>
      <c r="J89" s="1669"/>
      <c r="K89" s="1708"/>
      <c r="L89" s="1721"/>
      <c r="M89" s="1711"/>
      <c r="N89" s="1711"/>
    </row>
    <row r="90" spans="1:14" ht="24" customHeight="1">
      <c r="A90" s="1712"/>
      <c r="B90" s="2368" t="s">
        <v>413</v>
      </c>
      <c r="C90" s="2368"/>
      <c r="D90" s="1675"/>
      <c r="E90" s="1676"/>
      <c r="F90" s="1736"/>
      <c r="G90" s="1736"/>
      <c r="H90" s="1669"/>
      <c r="I90" s="1669"/>
      <c r="J90" s="1669"/>
      <c r="K90" s="1708"/>
      <c r="L90" s="1721"/>
      <c r="M90" s="1711"/>
      <c r="N90" s="1711"/>
    </row>
    <row r="91" spans="1:14" ht="24" customHeight="1">
      <c r="A91" s="1702"/>
      <c r="B91" s="1703" t="s">
        <v>139</v>
      </c>
      <c r="C91" s="1743" t="s">
        <v>228</v>
      </c>
      <c r="D91" s="1705">
        <v>44.5</v>
      </c>
      <c r="E91" s="1706" t="s">
        <v>85</v>
      </c>
      <c r="F91" s="1742">
        <v>2679.9</v>
      </c>
      <c r="G91" s="1742">
        <v>519</v>
      </c>
      <c r="H91" s="1707">
        <f t="shared" ref="H91:H104" si="13">F91*D91</f>
        <v>119255.55</v>
      </c>
      <c r="I91" s="1707">
        <f t="shared" ref="I91:I104" si="14">G91*D91</f>
        <v>23095.5</v>
      </c>
      <c r="J91" s="1707">
        <f t="shared" ref="J91:J104" si="15">SUM(H91:I91)</f>
        <v>142351.04999999999</v>
      </c>
      <c r="K91" s="1709"/>
      <c r="L91" s="1721"/>
      <c r="M91" s="1710" t="s">
        <v>1016</v>
      </c>
      <c r="N91" s="1711" t="s">
        <v>659</v>
      </c>
    </row>
    <row r="92" spans="1:14" ht="24" customHeight="1">
      <c r="A92" s="1712"/>
      <c r="B92" s="2368" t="s">
        <v>412</v>
      </c>
      <c r="C92" s="2368"/>
      <c r="D92" s="1675">
        <v>243.1</v>
      </c>
      <c r="E92" s="1676"/>
      <c r="F92" s="1736"/>
      <c r="G92" s="1736"/>
      <c r="H92" s="1669"/>
      <c r="I92" s="1669"/>
      <c r="J92" s="1669"/>
      <c r="K92" s="1708"/>
      <c r="L92" s="1721"/>
      <c r="M92" s="1711"/>
      <c r="N92" s="1711"/>
    </row>
    <row r="93" spans="1:14" ht="24" customHeight="1">
      <c r="A93" s="1712"/>
      <c r="B93" s="1673" t="s">
        <v>139</v>
      </c>
      <c r="C93" s="1674" t="s">
        <v>1784</v>
      </c>
      <c r="D93" s="1675">
        <f>D92</f>
        <v>243.1</v>
      </c>
      <c r="E93" s="1676" t="s">
        <v>86</v>
      </c>
      <c r="F93" s="1736">
        <v>0</v>
      </c>
      <c r="G93" s="1669">
        <v>121</v>
      </c>
      <c r="H93" s="1669">
        <f t="shared" si="13"/>
        <v>0</v>
      </c>
      <c r="I93" s="1669">
        <f t="shared" si="14"/>
        <v>29415.1</v>
      </c>
      <c r="J93" s="1669">
        <f t="shared" si="15"/>
        <v>29415.1</v>
      </c>
      <c r="K93" s="1708"/>
      <c r="L93" s="1721"/>
      <c r="M93" s="1710" t="s">
        <v>1017</v>
      </c>
      <c r="N93" s="1711" t="s">
        <v>659</v>
      </c>
    </row>
    <row r="94" spans="1:14" ht="24" customHeight="1">
      <c r="A94" s="1712"/>
      <c r="B94" s="1673" t="s">
        <v>139</v>
      </c>
      <c r="C94" s="1674" t="s">
        <v>198</v>
      </c>
      <c r="D94" s="1675">
        <f>D92*0.5</f>
        <v>121.55</v>
      </c>
      <c r="E94" s="1676" t="s">
        <v>164</v>
      </c>
      <c r="F94" s="1736">
        <v>400</v>
      </c>
      <c r="G94" s="1736">
        <v>0</v>
      </c>
      <c r="H94" s="1669">
        <f t="shared" si="13"/>
        <v>48620</v>
      </c>
      <c r="I94" s="1669">
        <f t="shared" si="14"/>
        <v>0</v>
      </c>
      <c r="J94" s="1669">
        <f t="shared" si="15"/>
        <v>48620</v>
      </c>
      <c r="K94" s="1708"/>
      <c r="L94" s="1721"/>
      <c r="M94" s="1710" t="s">
        <v>1018</v>
      </c>
      <c r="N94" s="1711"/>
    </row>
    <row r="95" spans="1:14" ht="24" customHeight="1">
      <c r="A95" s="1712"/>
      <c r="B95" s="1673" t="s">
        <v>139</v>
      </c>
      <c r="C95" s="1674" t="s">
        <v>1782</v>
      </c>
      <c r="D95" s="1675">
        <f>D94*0.3</f>
        <v>36.464999999999996</v>
      </c>
      <c r="E95" s="1676" t="s">
        <v>164</v>
      </c>
      <c r="F95" s="1736">
        <v>400</v>
      </c>
      <c r="G95" s="1736">
        <v>0</v>
      </c>
      <c r="H95" s="1669">
        <f t="shared" si="13"/>
        <v>14585.999999999998</v>
      </c>
      <c r="I95" s="1669">
        <f t="shared" si="14"/>
        <v>0</v>
      </c>
      <c r="J95" s="1669">
        <f t="shared" si="15"/>
        <v>14585.999999999998</v>
      </c>
      <c r="K95" s="1708"/>
      <c r="L95" s="1721"/>
      <c r="M95" s="1710" t="s">
        <v>1018</v>
      </c>
      <c r="N95" s="1685"/>
    </row>
    <row r="96" spans="1:14" ht="24" customHeight="1">
      <c r="A96" s="1780"/>
      <c r="B96" s="1780"/>
      <c r="C96" s="1827" t="s">
        <v>133</v>
      </c>
      <c r="D96" s="2365"/>
      <c r="E96" s="2365"/>
      <c r="F96" s="2365"/>
      <c r="G96" s="2365"/>
      <c r="H96" s="2365"/>
      <c r="I96" s="2365"/>
      <c r="J96" s="2365"/>
      <c r="K96" s="2365"/>
      <c r="L96" s="1721"/>
      <c r="M96" s="1710"/>
      <c r="N96" s="1685"/>
    </row>
    <row r="97" spans="1:14" ht="24" customHeight="1">
      <c r="A97" s="1780"/>
      <c r="B97" s="2366" t="s">
        <v>1769</v>
      </c>
      <c r="C97" s="2366"/>
      <c r="D97" s="1828"/>
      <c r="E97" s="1769"/>
      <c r="F97" s="1828"/>
      <c r="G97" s="1828" t="s">
        <v>134</v>
      </c>
      <c r="H97" s="1828"/>
      <c r="I97" s="1828"/>
      <c r="J97" s="1828"/>
      <c r="K97" s="1828"/>
      <c r="L97" s="1721"/>
      <c r="M97" s="1710"/>
      <c r="N97" s="1685"/>
    </row>
    <row r="98" spans="1:14" ht="24" customHeight="1">
      <c r="A98" s="1780"/>
      <c r="B98" s="2367" t="s">
        <v>1970</v>
      </c>
      <c r="C98" s="2367"/>
      <c r="D98" s="1831"/>
      <c r="E98" s="1832"/>
      <c r="F98" s="1833"/>
      <c r="G98" s="1833" t="s">
        <v>1971</v>
      </c>
      <c r="H98" s="1833"/>
      <c r="I98" s="1833"/>
      <c r="J98" s="1833"/>
      <c r="K98" s="1833"/>
      <c r="L98" s="1721"/>
      <c r="M98" s="1710"/>
      <c r="N98" s="1685"/>
    </row>
    <row r="99" spans="1:14" ht="24" customHeight="1">
      <c r="A99" s="1830"/>
      <c r="B99" s="1828" t="s">
        <v>2031</v>
      </c>
      <c r="C99" s="1830"/>
      <c r="D99" s="1830"/>
      <c r="E99" s="1830"/>
      <c r="F99" s="1830"/>
      <c r="G99" s="1828" t="s">
        <v>2031</v>
      </c>
      <c r="H99" s="1830"/>
      <c r="I99" s="1830"/>
      <c r="J99" s="1830"/>
      <c r="K99" s="1830"/>
      <c r="L99" s="1721"/>
      <c r="M99" s="1710"/>
      <c r="N99" s="1685"/>
    </row>
    <row r="100" spans="1:14" ht="24" customHeight="1">
      <c r="B100" s="1721" t="s">
        <v>1984</v>
      </c>
      <c r="C100" s="1830"/>
      <c r="D100" s="1685"/>
      <c r="E100" s="1685"/>
      <c r="G100" s="1721" t="s">
        <v>1985</v>
      </c>
      <c r="H100" s="1685"/>
      <c r="I100" s="1685"/>
      <c r="J100" s="1685"/>
      <c r="K100" s="1685"/>
      <c r="L100" s="1721"/>
      <c r="M100" s="1710"/>
      <c r="N100" s="1685"/>
    </row>
    <row r="101" spans="1:14" ht="24" customHeight="1">
      <c r="B101" s="1828" t="s">
        <v>670</v>
      </c>
      <c r="L101" s="1721"/>
      <c r="M101" s="1710"/>
      <c r="N101" s="1685"/>
    </row>
    <row r="102" spans="1:14" ht="24" customHeight="1">
      <c r="B102" s="1721" t="s">
        <v>1972</v>
      </c>
      <c r="L102" s="1721"/>
      <c r="M102" s="1710"/>
      <c r="N102" s="1685"/>
    </row>
    <row r="103" spans="1:14" ht="24" customHeight="1">
      <c r="A103" s="1712"/>
      <c r="B103" s="1673" t="s">
        <v>139</v>
      </c>
      <c r="C103" s="1674" t="s">
        <v>163</v>
      </c>
      <c r="D103" s="1675">
        <f>D92</f>
        <v>243.1</v>
      </c>
      <c r="E103" s="1676" t="s">
        <v>83</v>
      </c>
      <c r="F103" s="1736">
        <v>28</v>
      </c>
      <c r="G103" s="1736">
        <v>0</v>
      </c>
      <c r="H103" s="1669">
        <f t="shared" si="13"/>
        <v>6806.8</v>
      </c>
      <c r="I103" s="1669">
        <f t="shared" si="14"/>
        <v>0</v>
      </c>
      <c r="J103" s="1669">
        <f t="shared" si="15"/>
        <v>6806.8</v>
      </c>
      <c r="K103" s="1708"/>
      <c r="L103" s="1721"/>
      <c r="M103" s="1710" t="s">
        <v>1018</v>
      </c>
      <c r="N103" s="1711"/>
    </row>
    <row r="104" spans="1:14" ht="24" customHeight="1">
      <c r="A104" s="1712"/>
      <c r="B104" s="1673" t="s">
        <v>139</v>
      </c>
      <c r="C104" s="1674" t="s">
        <v>1781</v>
      </c>
      <c r="D104" s="1675">
        <f>D92*0.25</f>
        <v>60.774999999999999</v>
      </c>
      <c r="E104" s="1676" t="s">
        <v>87</v>
      </c>
      <c r="F104" s="1736">
        <v>23.89</v>
      </c>
      <c r="G104" s="1736">
        <v>0</v>
      </c>
      <c r="H104" s="1669">
        <f t="shared" si="13"/>
        <v>1451.9147499999999</v>
      </c>
      <c r="I104" s="1669">
        <f t="shared" si="14"/>
        <v>0</v>
      </c>
      <c r="J104" s="1669">
        <f t="shared" si="15"/>
        <v>1451.9147499999999</v>
      </c>
      <c r="K104" s="1708"/>
      <c r="L104" s="1721"/>
      <c r="M104" s="1710" t="s">
        <v>660</v>
      </c>
      <c r="N104" s="1711"/>
    </row>
    <row r="105" spans="1:14" ht="24" customHeight="1">
      <c r="A105" s="1712"/>
      <c r="B105" s="2368" t="s">
        <v>414</v>
      </c>
      <c r="C105" s="2368"/>
      <c r="D105" s="1675"/>
      <c r="E105" s="1676"/>
      <c r="F105" s="1736"/>
      <c r="G105" s="1736"/>
      <c r="H105" s="1669"/>
      <c r="I105" s="1669"/>
      <c r="J105" s="1669"/>
      <c r="K105" s="1708"/>
      <c r="L105" s="1721"/>
      <c r="M105" s="1711"/>
      <c r="N105" s="1711"/>
    </row>
    <row r="106" spans="1:14" ht="24" customHeight="1">
      <c r="A106" s="1712"/>
      <c r="B106" s="1673" t="s">
        <v>139</v>
      </c>
      <c r="C106" s="1674" t="s">
        <v>88</v>
      </c>
      <c r="D106" s="1675">
        <v>914.7</v>
      </c>
      <c r="E106" s="1676" t="s">
        <v>87</v>
      </c>
      <c r="F106" s="1677">
        <v>21.4</v>
      </c>
      <c r="G106" s="1677">
        <v>4.4000000000000004</v>
      </c>
      <c r="H106" s="1669">
        <f>F106*D106</f>
        <v>19574.579999999998</v>
      </c>
      <c r="I106" s="1669">
        <f>G106*D106</f>
        <v>4024.6800000000007</v>
      </c>
      <c r="J106" s="1669">
        <f>SUM(H106:I106)</f>
        <v>23599.26</v>
      </c>
      <c r="K106" s="1708"/>
      <c r="L106" s="1721"/>
      <c r="M106" s="1710" t="s">
        <v>1016</v>
      </c>
      <c r="N106" s="1711" t="s">
        <v>659</v>
      </c>
    </row>
    <row r="107" spans="1:14" ht="24" customHeight="1">
      <c r="A107" s="1664"/>
      <c r="B107" s="1665" t="s">
        <v>139</v>
      </c>
      <c r="C107" s="1666" t="s">
        <v>1014</v>
      </c>
      <c r="D107" s="1667">
        <v>8946.6</v>
      </c>
      <c r="E107" s="1668" t="s">
        <v>87</v>
      </c>
      <c r="F107" s="1744">
        <v>21.2</v>
      </c>
      <c r="G107" s="1744">
        <v>3.1</v>
      </c>
      <c r="H107" s="1670">
        <f>F107*D107</f>
        <v>189667.92</v>
      </c>
      <c r="I107" s="1670">
        <f>G107*D107</f>
        <v>27734.460000000003</v>
      </c>
      <c r="J107" s="1670">
        <f>SUM(H107:I107)</f>
        <v>217402.38</v>
      </c>
      <c r="K107" s="1746"/>
      <c r="L107" s="1721"/>
      <c r="M107" s="1710" t="s">
        <v>1016</v>
      </c>
      <c r="N107" s="1711" t="s">
        <v>659</v>
      </c>
    </row>
    <row r="108" spans="1:14" ht="24" customHeight="1">
      <c r="A108" s="1712"/>
      <c r="B108" s="1673" t="s">
        <v>139</v>
      </c>
      <c r="C108" s="1674" t="s">
        <v>200</v>
      </c>
      <c r="D108" s="1675">
        <f>SUM(D106:D107)*0.03</f>
        <v>295.839</v>
      </c>
      <c r="E108" s="1676" t="s">
        <v>87</v>
      </c>
      <c r="F108" s="1677">
        <v>25.83</v>
      </c>
      <c r="G108" s="1677">
        <v>0</v>
      </c>
      <c r="H108" s="1669">
        <f>F108*D108</f>
        <v>7641.5213699999995</v>
      </c>
      <c r="I108" s="1669">
        <f>G108*D108</f>
        <v>0</v>
      </c>
      <c r="J108" s="1669">
        <f>SUM(H108:I108)</f>
        <v>7641.5213699999995</v>
      </c>
      <c r="K108" s="1708"/>
      <c r="L108" s="1721"/>
      <c r="M108" s="1710" t="s">
        <v>1019</v>
      </c>
      <c r="N108" s="1711"/>
    </row>
    <row r="109" spans="1:14" ht="24" customHeight="1">
      <c r="A109" s="1712"/>
      <c r="B109" s="2368" t="s">
        <v>1030</v>
      </c>
      <c r="C109" s="2368"/>
      <c r="D109" s="1675"/>
      <c r="E109" s="1676"/>
      <c r="F109" s="1669"/>
      <c r="G109" s="1669"/>
      <c r="H109" s="1669"/>
      <c r="I109" s="1669"/>
      <c r="J109" s="1669"/>
      <c r="K109" s="1708"/>
      <c r="L109" s="1721"/>
      <c r="M109" s="1711"/>
      <c r="N109" s="1711"/>
    </row>
    <row r="110" spans="1:14" s="1735" customFormat="1" ht="24" customHeight="1">
      <c r="A110" s="1712"/>
      <c r="B110" s="2368" t="s">
        <v>1031</v>
      </c>
      <c r="C110" s="2368"/>
      <c r="D110" s="1675"/>
      <c r="E110" s="1676"/>
      <c r="F110" s="1669"/>
      <c r="G110" s="1669"/>
      <c r="H110" s="1669"/>
      <c r="I110" s="1669"/>
      <c r="J110" s="1669"/>
      <c r="K110" s="1708"/>
      <c r="L110" s="1721"/>
      <c r="M110" s="1711"/>
      <c r="N110" s="1711"/>
    </row>
    <row r="111" spans="1:14" ht="24" customHeight="1">
      <c r="A111" s="1712"/>
      <c r="B111" s="1673" t="s">
        <v>139</v>
      </c>
      <c r="C111" s="1674" t="s">
        <v>228</v>
      </c>
      <c r="D111" s="1675">
        <v>21.1</v>
      </c>
      <c r="E111" s="1676" t="s">
        <v>85</v>
      </c>
      <c r="F111" s="1736">
        <v>2679.9</v>
      </c>
      <c r="G111" s="1736">
        <v>519</v>
      </c>
      <c r="H111" s="1669">
        <f t="shared" ref="H111:H124" si="16">F111*D111</f>
        <v>56545.890000000007</v>
      </c>
      <c r="I111" s="1669">
        <f t="shared" ref="I111:I124" si="17">G111*D111</f>
        <v>10950.900000000001</v>
      </c>
      <c r="J111" s="1669">
        <f t="shared" ref="J111:J117" si="18">SUM(H111:I111)</f>
        <v>67496.790000000008</v>
      </c>
      <c r="K111" s="1708"/>
      <c r="L111" s="1721"/>
      <c r="M111" s="1710" t="s">
        <v>1016</v>
      </c>
      <c r="N111" s="1711" t="s">
        <v>659</v>
      </c>
    </row>
    <row r="112" spans="1:14" s="1735" customFormat="1" ht="24" customHeight="1">
      <c r="A112" s="1712"/>
      <c r="B112" s="2368" t="s">
        <v>1033</v>
      </c>
      <c r="C112" s="2368"/>
      <c r="D112" s="1675">
        <v>87</v>
      </c>
      <c r="E112" s="1676"/>
      <c r="F112" s="1669"/>
      <c r="G112" s="1669"/>
      <c r="H112" s="1669"/>
      <c r="I112" s="1669"/>
      <c r="J112" s="1669"/>
      <c r="K112" s="1708"/>
      <c r="L112" s="1721"/>
      <c r="M112" s="1711"/>
      <c r="N112" s="1711"/>
    </row>
    <row r="113" spans="1:14" ht="24" customHeight="1">
      <c r="A113" s="1702"/>
      <c r="B113" s="1703" t="s">
        <v>139</v>
      </c>
      <c r="C113" s="1743" t="s">
        <v>1784</v>
      </c>
      <c r="D113" s="1705">
        <f>D112</f>
        <v>87</v>
      </c>
      <c r="E113" s="1706" t="s">
        <v>86</v>
      </c>
      <c r="F113" s="1742">
        <v>0</v>
      </c>
      <c r="G113" s="1707">
        <v>121</v>
      </c>
      <c r="H113" s="1707">
        <f t="shared" si="16"/>
        <v>0</v>
      </c>
      <c r="I113" s="1707">
        <f t="shared" si="17"/>
        <v>10527</v>
      </c>
      <c r="J113" s="1707">
        <f t="shared" si="18"/>
        <v>10527</v>
      </c>
      <c r="K113" s="1709"/>
      <c r="L113" s="1721"/>
      <c r="M113" s="1710" t="s">
        <v>1017</v>
      </c>
      <c r="N113" s="1711" t="s">
        <v>659</v>
      </c>
    </row>
    <row r="114" spans="1:14" ht="24" customHeight="1">
      <c r="A114" s="1712"/>
      <c r="B114" s="1673" t="s">
        <v>139</v>
      </c>
      <c r="C114" s="1674" t="s">
        <v>198</v>
      </c>
      <c r="D114" s="1675">
        <f>D112*0.5</f>
        <v>43.5</v>
      </c>
      <c r="E114" s="1676" t="s">
        <v>164</v>
      </c>
      <c r="F114" s="1736">
        <v>400</v>
      </c>
      <c r="G114" s="1736">
        <v>0</v>
      </c>
      <c r="H114" s="1669">
        <f t="shared" si="16"/>
        <v>17400</v>
      </c>
      <c r="I114" s="1669">
        <f t="shared" si="17"/>
        <v>0</v>
      </c>
      <c r="J114" s="1669">
        <f t="shared" si="18"/>
        <v>17400</v>
      </c>
      <c r="K114" s="1708"/>
      <c r="L114" s="1721"/>
      <c r="M114" s="1710" t="s">
        <v>1018</v>
      </c>
      <c r="N114" s="1711"/>
    </row>
    <row r="115" spans="1:14" ht="24" customHeight="1">
      <c r="A115" s="1712"/>
      <c r="B115" s="1673" t="s">
        <v>139</v>
      </c>
      <c r="C115" s="1674" t="s">
        <v>1782</v>
      </c>
      <c r="D115" s="1675">
        <f>D114*0.3</f>
        <v>13.049999999999999</v>
      </c>
      <c r="E115" s="1676" t="s">
        <v>164</v>
      </c>
      <c r="F115" s="1736">
        <v>400</v>
      </c>
      <c r="G115" s="1736">
        <v>0</v>
      </c>
      <c r="H115" s="1669">
        <f t="shared" si="16"/>
        <v>5220</v>
      </c>
      <c r="I115" s="1669">
        <f t="shared" si="17"/>
        <v>0</v>
      </c>
      <c r="J115" s="1669">
        <f t="shared" si="18"/>
        <v>5220</v>
      </c>
      <c r="K115" s="1708"/>
      <c r="L115" s="1721"/>
      <c r="M115" s="1710" t="s">
        <v>1018</v>
      </c>
      <c r="N115" s="1685"/>
    </row>
    <row r="116" spans="1:14" ht="24" customHeight="1">
      <c r="A116" s="1712"/>
      <c r="B116" s="1673" t="s">
        <v>139</v>
      </c>
      <c r="C116" s="1674" t="s">
        <v>163</v>
      </c>
      <c r="D116" s="1675">
        <f>D112</f>
        <v>87</v>
      </c>
      <c r="E116" s="1676" t="s">
        <v>83</v>
      </c>
      <c r="F116" s="1736">
        <v>28</v>
      </c>
      <c r="G116" s="1736">
        <v>0</v>
      </c>
      <c r="H116" s="1669">
        <f t="shared" si="16"/>
        <v>2436</v>
      </c>
      <c r="I116" s="1669">
        <f t="shared" si="17"/>
        <v>0</v>
      </c>
      <c r="J116" s="1669">
        <f t="shared" si="18"/>
        <v>2436</v>
      </c>
      <c r="K116" s="1708"/>
      <c r="L116" s="1721"/>
      <c r="M116" s="1710" t="s">
        <v>1018</v>
      </c>
      <c r="N116" s="1685"/>
    </row>
    <row r="117" spans="1:14" ht="24" customHeight="1">
      <c r="A117" s="1712"/>
      <c r="B117" s="1673" t="s">
        <v>139</v>
      </c>
      <c r="C117" s="1674" t="s">
        <v>1781</v>
      </c>
      <c r="D117" s="1675">
        <f>D112*0.25</f>
        <v>21.75</v>
      </c>
      <c r="E117" s="1676" t="s">
        <v>87</v>
      </c>
      <c r="F117" s="1736">
        <v>23.89</v>
      </c>
      <c r="G117" s="1736">
        <v>0</v>
      </c>
      <c r="H117" s="1669">
        <f t="shared" si="16"/>
        <v>519.60749999999996</v>
      </c>
      <c r="I117" s="1669">
        <f t="shared" si="17"/>
        <v>0</v>
      </c>
      <c r="J117" s="1669">
        <f t="shared" si="18"/>
        <v>519.60749999999996</v>
      </c>
      <c r="K117" s="1708"/>
      <c r="L117" s="1721"/>
      <c r="M117" s="1710" t="s">
        <v>660</v>
      </c>
      <c r="N117" s="1685"/>
    </row>
    <row r="118" spans="1:14" ht="24" customHeight="1">
      <c r="A118" s="1702"/>
      <c r="B118" s="2369" t="s">
        <v>1032</v>
      </c>
      <c r="C118" s="2369"/>
      <c r="D118" s="1705"/>
      <c r="E118" s="1706"/>
      <c r="F118" s="1707"/>
      <c r="G118" s="1707"/>
      <c r="H118" s="1707"/>
      <c r="I118" s="1707"/>
      <c r="J118" s="1707"/>
      <c r="K118" s="1709"/>
      <c r="L118" s="1721"/>
      <c r="M118" s="1711"/>
      <c r="N118" s="1711"/>
    </row>
    <row r="119" spans="1:14" ht="24" customHeight="1">
      <c r="A119" s="1712"/>
      <c r="B119" s="1673" t="s">
        <v>139</v>
      </c>
      <c r="C119" s="1674" t="s">
        <v>88</v>
      </c>
      <c r="D119" s="1675">
        <v>359.2</v>
      </c>
      <c r="E119" s="1676" t="s">
        <v>87</v>
      </c>
      <c r="F119" s="1677">
        <v>21.4</v>
      </c>
      <c r="G119" s="1677">
        <v>4.4000000000000004</v>
      </c>
      <c r="H119" s="1669">
        <f t="shared" si="16"/>
        <v>7686.8799999999992</v>
      </c>
      <c r="I119" s="1669">
        <f t="shared" si="17"/>
        <v>1580.48</v>
      </c>
      <c r="J119" s="1669">
        <f t="shared" ref="J119:J124" si="19">SUM(H119:I119)</f>
        <v>9267.3599999999988</v>
      </c>
      <c r="K119" s="1708"/>
      <c r="L119" s="1721"/>
      <c r="M119" s="1710" t="s">
        <v>1016</v>
      </c>
      <c r="N119" s="1711" t="s">
        <v>659</v>
      </c>
    </row>
    <row r="120" spans="1:14" ht="24" customHeight="1">
      <c r="A120" s="1712"/>
      <c r="B120" s="1673" t="s">
        <v>139</v>
      </c>
      <c r="C120" s="1674" t="s">
        <v>89</v>
      </c>
      <c r="D120" s="1675">
        <v>590.20000000000005</v>
      </c>
      <c r="E120" s="1676" t="s">
        <v>87</v>
      </c>
      <c r="F120" s="1677">
        <v>21.4</v>
      </c>
      <c r="G120" s="1677">
        <v>3.6</v>
      </c>
      <c r="H120" s="1669">
        <f t="shared" si="16"/>
        <v>12630.28</v>
      </c>
      <c r="I120" s="1669">
        <f t="shared" si="17"/>
        <v>2124.7200000000003</v>
      </c>
      <c r="J120" s="1669">
        <f t="shared" si="19"/>
        <v>14755</v>
      </c>
      <c r="K120" s="1708"/>
      <c r="L120" s="1721"/>
      <c r="M120" s="1710" t="s">
        <v>1016</v>
      </c>
      <c r="N120" s="1711" t="s">
        <v>659</v>
      </c>
    </row>
    <row r="121" spans="1:14" ht="24" customHeight="1">
      <c r="A121" s="1712"/>
      <c r="B121" s="1673" t="s">
        <v>139</v>
      </c>
      <c r="C121" s="1674" t="s">
        <v>90</v>
      </c>
      <c r="D121" s="1675">
        <v>3020.2</v>
      </c>
      <c r="E121" s="1676" t="s">
        <v>87</v>
      </c>
      <c r="F121" s="1677">
        <v>21.2</v>
      </c>
      <c r="G121" s="1677">
        <v>3.6</v>
      </c>
      <c r="H121" s="1669">
        <f t="shared" si="16"/>
        <v>64028.239999999991</v>
      </c>
      <c r="I121" s="1669">
        <f t="shared" si="17"/>
        <v>10872.72</v>
      </c>
      <c r="J121" s="1669">
        <f t="shared" si="19"/>
        <v>74900.959999999992</v>
      </c>
      <c r="K121" s="1708"/>
      <c r="L121" s="1721"/>
      <c r="M121" s="1710" t="s">
        <v>1016</v>
      </c>
      <c r="N121" s="1711" t="s">
        <v>659</v>
      </c>
    </row>
    <row r="122" spans="1:14" s="1685" customFormat="1" ht="24" customHeight="1">
      <c r="A122" s="1664"/>
      <c r="B122" s="1665" t="s">
        <v>139</v>
      </c>
      <c r="C122" s="1666" t="s">
        <v>1014</v>
      </c>
      <c r="D122" s="1667">
        <v>1427.5</v>
      </c>
      <c r="E122" s="1668" t="s">
        <v>87</v>
      </c>
      <c r="F122" s="1744">
        <v>21.2</v>
      </c>
      <c r="G122" s="1744">
        <v>3.1</v>
      </c>
      <c r="H122" s="1670">
        <f t="shared" si="16"/>
        <v>30263</v>
      </c>
      <c r="I122" s="1670">
        <f t="shared" si="17"/>
        <v>4425.25</v>
      </c>
      <c r="J122" s="1670">
        <f t="shared" si="19"/>
        <v>34688.25</v>
      </c>
      <c r="K122" s="1746"/>
      <c r="L122" s="1721"/>
      <c r="M122" s="1710" t="s">
        <v>1016</v>
      </c>
      <c r="N122" s="1711" t="s">
        <v>659</v>
      </c>
    </row>
    <row r="123" spans="1:14" ht="24" customHeight="1">
      <c r="A123" s="1712"/>
      <c r="B123" s="1673" t="s">
        <v>139</v>
      </c>
      <c r="C123" s="1674" t="s">
        <v>200</v>
      </c>
      <c r="D123" s="1675">
        <f>SUM(D119:D122)*0.03</f>
        <v>161.91300000000001</v>
      </c>
      <c r="E123" s="1676" t="s">
        <v>87</v>
      </c>
      <c r="F123" s="1677">
        <v>25.83</v>
      </c>
      <c r="G123" s="1677">
        <v>0</v>
      </c>
      <c r="H123" s="1669">
        <f t="shared" si="16"/>
        <v>4182.2127899999996</v>
      </c>
      <c r="I123" s="1669">
        <f t="shared" si="17"/>
        <v>0</v>
      </c>
      <c r="J123" s="1669">
        <f t="shared" si="19"/>
        <v>4182.2127899999996</v>
      </c>
      <c r="K123" s="1746"/>
      <c r="L123" s="1721"/>
      <c r="M123" s="1710" t="s">
        <v>1019</v>
      </c>
      <c r="N123" s="1711"/>
    </row>
    <row r="124" spans="1:14" ht="24" customHeight="1">
      <c r="A124" s="1712"/>
      <c r="B124" s="1673" t="s">
        <v>107</v>
      </c>
      <c r="C124" s="1674" t="s">
        <v>1157</v>
      </c>
      <c r="D124" s="1675">
        <v>28</v>
      </c>
      <c r="E124" s="1676" t="s">
        <v>84</v>
      </c>
      <c r="F124" s="1669">
        <v>360</v>
      </c>
      <c r="G124" s="1669">
        <v>100</v>
      </c>
      <c r="H124" s="1669">
        <f t="shared" si="16"/>
        <v>10080</v>
      </c>
      <c r="I124" s="1669">
        <f t="shared" si="17"/>
        <v>2800</v>
      </c>
      <c r="J124" s="1669">
        <f t="shared" si="19"/>
        <v>12880</v>
      </c>
      <c r="K124" s="1746"/>
      <c r="L124" s="1708" t="s">
        <v>1918</v>
      </c>
      <c r="M124" s="1710" t="s">
        <v>661</v>
      </c>
      <c r="N124" s="1711" t="s">
        <v>662</v>
      </c>
    </row>
    <row r="125" spans="1:14" ht="24" customHeight="1">
      <c r="A125" s="1780"/>
      <c r="B125" s="1780"/>
      <c r="C125" s="1827" t="s">
        <v>133</v>
      </c>
      <c r="D125" s="2365"/>
      <c r="E125" s="2365"/>
      <c r="F125" s="2365"/>
      <c r="G125" s="2365"/>
      <c r="H125" s="2365"/>
      <c r="I125" s="2365"/>
      <c r="J125" s="2365"/>
      <c r="K125" s="2365"/>
      <c r="L125" s="1721"/>
      <c r="M125" s="1710"/>
      <c r="N125" s="1711"/>
    </row>
    <row r="126" spans="1:14" ht="24" customHeight="1">
      <c r="A126" s="1780"/>
      <c r="B126" s="2366" t="s">
        <v>1769</v>
      </c>
      <c r="C126" s="2366"/>
      <c r="D126" s="1828"/>
      <c r="E126" s="1769"/>
      <c r="F126" s="1828"/>
      <c r="G126" s="1828" t="s">
        <v>134</v>
      </c>
      <c r="H126" s="1828"/>
      <c r="I126" s="1828"/>
      <c r="J126" s="1828"/>
      <c r="K126" s="1828"/>
      <c r="L126" s="1721"/>
      <c r="M126" s="1710"/>
      <c r="N126" s="1711"/>
    </row>
    <row r="127" spans="1:14" ht="24" customHeight="1">
      <c r="A127" s="1780"/>
      <c r="B127" s="2367" t="s">
        <v>1970</v>
      </c>
      <c r="C127" s="2367"/>
      <c r="D127" s="1831"/>
      <c r="E127" s="1832"/>
      <c r="F127" s="1833"/>
      <c r="G127" s="1833" t="s">
        <v>1971</v>
      </c>
      <c r="H127" s="1833"/>
      <c r="I127" s="1833"/>
      <c r="J127" s="1833"/>
      <c r="K127" s="1833"/>
      <c r="L127" s="1721"/>
      <c r="M127" s="1710"/>
      <c r="N127" s="1711"/>
    </row>
    <row r="128" spans="1:14" ht="24" customHeight="1">
      <c r="A128" s="1830"/>
      <c r="B128" s="1828" t="s">
        <v>2031</v>
      </c>
      <c r="C128" s="1830"/>
      <c r="D128" s="1830"/>
      <c r="E128" s="1830"/>
      <c r="F128" s="1830"/>
      <c r="G128" s="1828" t="s">
        <v>2031</v>
      </c>
      <c r="H128" s="1830"/>
      <c r="I128" s="1830"/>
      <c r="J128" s="1830"/>
      <c r="K128" s="1830"/>
      <c r="L128" s="1721"/>
      <c r="M128" s="1710"/>
      <c r="N128" s="1711"/>
    </row>
    <row r="129" spans="1:14" ht="24" customHeight="1">
      <c r="B129" s="1721" t="s">
        <v>1984</v>
      </c>
      <c r="C129" s="1830"/>
      <c r="D129" s="1685"/>
      <c r="E129" s="1685"/>
      <c r="G129" s="1721" t="s">
        <v>1985</v>
      </c>
      <c r="H129" s="1685"/>
      <c r="I129" s="1685"/>
      <c r="J129" s="1685"/>
      <c r="K129" s="1685"/>
      <c r="L129" s="1721"/>
      <c r="M129" s="1710"/>
      <c r="N129" s="1711"/>
    </row>
    <row r="130" spans="1:14" ht="24" customHeight="1">
      <c r="B130" s="1828" t="s">
        <v>670</v>
      </c>
      <c r="L130" s="1721"/>
      <c r="M130" s="1710"/>
      <c r="N130" s="1711"/>
    </row>
    <row r="131" spans="1:14" ht="24" customHeight="1">
      <c r="B131" s="1721" t="s">
        <v>1972</v>
      </c>
      <c r="L131" s="1721"/>
      <c r="M131" s="1710"/>
      <c r="N131" s="1711"/>
    </row>
    <row r="132" spans="1:14" ht="24" customHeight="1">
      <c r="A132" s="1712"/>
      <c r="B132" s="2368" t="s">
        <v>1035</v>
      </c>
      <c r="C132" s="2368"/>
      <c r="D132" s="1675"/>
      <c r="E132" s="1676"/>
      <c r="F132" s="1669"/>
      <c r="G132" s="1669"/>
      <c r="H132" s="1669"/>
      <c r="I132" s="1669"/>
      <c r="J132" s="1669"/>
      <c r="K132" s="1746"/>
      <c r="L132" s="1721"/>
      <c r="M132" s="1711"/>
      <c r="N132" s="1711"/>
    </row>
    <row r="133" spans="1:14" ht="24" customHeight="1">
      <c r="A133" s="1712"/>
      <c r="B133" s="2368" t="s">
        <v>1034</v>
      </c>
      <c r="C133" s="2368"/>
      <c r="D133" s="1675"/>
      <c r="E133" s="1676"/>
      <c r="F133" s="1669"/>
      <c r="G133" s="1669"/>
      <c r="H133" s="1669"/>
      <c r="I133" s="1669"/>
      <c r="J133" s="1669"/>
      <c r="K133" s="1708"/>
      <c r="L133" s="1721"/>
      <c r="M133" s="1711"/>
      <c r="N133" s="1711"/>
    </row>
    <row r="134" spans="1:14" ht="24" customHeight="1">
      <c r="A134" s="1712"/>
      <c r="B134" s="1673" t="s">
        <v>139</v>
      </c>
      <c r="C134" s="1674" t="s">
        <v>228</v>
      </c>
      <c r="D134" s="1675">
        <v>9.6999999999999993</v>
      </c>
      <c r="E134" s="1676" t="s">
        <v>85</v>
      </c>
      <c r="F134" s="1677">
        <v>2679.9</v>
      </c>
      <c r="G134" s="1677">
        <v>519</v>
      </c>
      <c r="H134" s="1669">
        <f t="shared" ref="H134:H147" si="20">F134*D134</f>
        <v>25995.03</v>
      </c>
      <c r="I134" s="1669">
        <f t="shared" ref="I134:I147" si="21">G134*D134</f>
        <v>5034.2999999999993</v>
      </c>
      <c r="J134" s="1669">
        <f t="shared" ref="J134:J140" si="22">SUM(H134:I134)</f>
        <v>31029.329999999998</v>
      </c>
      <c r="K134" s="1746"/>
      <c r="L134" s="1721"/>
      <c r="M134" s="1710" t="s">
        <v>1016</v>
      </c>
      <c r="N134" s="1711" t="s">
        <v>659</v>
      </c>
    </row>
    <row r="135" spans="1:14" ht="24" customHeight="1">
      <c r="A135" s="1712"/>
      <c r="B135" s="1748" t="s">
        <v>1036</v>
      </c>
      <c r="C135" s="1674"/>
      <c r="D135" s="1675">
        <v>49.4</v>
      </c>
      <c r="E135" s="1676"/>
      <c r="F135" s="1677"/>
      <c r="G135" s="1677"/>
      <c r="H135" s="1669"/>
      <c r="I135" s="1669"/>
      <c r="J135" s="1669"/>
      <c r="K135" s="1746"/>
      <c r="L135" s="1721"/>
      <c r="M135" s="1710"/>
      <c r="N135" s="1711"/>
    </row>
    <row r="136" spans="1:14" ht="24" customHeight="1">
      <c r="A136" s="1712"/>
      <c r="B136" s="1673" t="s">
        <v>139</v>
      </c>
      <c r="C136" s="1674" t="s">
        <v>1784</v>
      </c>
      <c r="D136" s="1675">
        <f>D135</f>
        <v>49.4</v>
      </c>
      <c r="E136" s="1676" t="s">
        <v>86</v>
      </c>
      <c r="F136" s="1736">
        <v>0</v>
      </c>
      <c r="G136" s="1669">
        <v>121</v>
      </c>
      <c r="H136" s="1669">
        <f t="shared" si="20"/>
        <v>0</v>
      </c>
      <c r="I136" s="1669">
        <f t="shared" si="21"/>
        <v>5977.4</v>
      </c>
      <c r="J136" s="1669">
        <f t="shared" si="22"/>
        <v>5977.4</v>
      </c>
      <c r="K136" s="1708"/>
      <c r="L136" s="1721"/>
      <c r="M136" s="1710" t="s">
        <v>1017</v>
      </c>
      <c r="N136" s="1711" t="s">
        <v>659</v>
      </c>
    </row>
    <row r="137" spans="1:14" ht="24" customHeight="1">
      <c r="A137" s="1712"/>
      <c r="B137" s="1673" t="s">
        <v>139</v>
      </c>
      <c r="C137" s="1674" t="s">
        <v>198</v>
      </c>
      <c r="D137" s="1675">
        <f>D135*0.5</f>
        <v>24.7</v>
      </c>
      <c r="E137" s="1676" t="s">
        <v>164</v>
      </c>
      <c r="F137" s="1736">
        <v>400</v>
      </c>
      <c r="G137" s="1736">
        <v>0</v>
      </c>
      <c r="H137" s="1669">
        <f t="shared" si="20"/>
        <v>9880</v>
      </c>
      <c r="I137" s="1669">
        <f t="shared" si="21"/>
        <v>0</v>
      </c>
      <c r="J137" s="1669">
        <f t="shared" si="22"/>
        <v>9880</v>
      </c>
      <c r="K137" s="1708"/>
      <c r="L137" s="1721"/>
      <c r="M137" s="1710" t="s">
        <v>1018</v>
      </c>
      <c r="N137" s="1711"/>
    </row>
    <row r="138" spans="1:14" ht="24" customHeight="1">
      <c r="A138" s="1712"/>
      <c r="B138" s="1673" t="s">
        <v>139</v>
      </c>
      <c r="C138" s="1674" t="s">
        <v>1782</v>
      </c>
      <c r="D138" s="1675">
        <f>D137*0.3</f>
        <v>7.4099999999999993</v>
      </c>
      <c r="E138" s="1676" t="s">
        <v>164</v>
      </c>
      <c r="F138" s="1736">
        <v>400</v>
      </c>
      <c r="G138" s="1736">
        <v>0</v>
      </c>
      <c r="H138" s="1669">
        <f t="shared" si="20"/>
        <v>2963.9999999999995</v>
      </c>
      <c r="I138" s="1669">
        <f t="shared" si="21"/>
        <v>0</v>
      </c>
      <c r="J138" s="1669">
        <f t="shared" si="22"/>
        <v>2963.9999999999995</v>
      </c>
      <c r="K138" s="1708"/>
      <c r="L138" s="1721"/>
      <c r="M138" s="1710" t="s">
        <v>1018</v>
      </c>
      <c r="N138" s="1685"/>
    </row>
    <row r="139" spans="1:14" ht="24" customHeight="1">
      <c r="A139" s="1712"/>
      <c r="B139" s="1673" t="s">
        <v>139</v>
      </c>
      <c r="C139" s="1674" t="s">
        <v>163</v>
      </c>
      <c r="D139" s="1675">
        <f>D135</f>
        <v>49.4</v>
      </c>
      <c r="E139" s="1676" t="s">
        <v>83</v>
      </c>
      <c r="F139" s="1736">
        <v>28</v>
      </c>
      <c r="G139" s="1736">
        <v>0</v>
      </c>
      <c r="H139" s="1669">
        <f t="shared" si="20"/>
        <v>1383.2</v>
      </c>
      <c r="I139" s="1669">
        <f t="shared" si="21"/>
        <v>0</v>
      </c>
      <c r="J139" s="1669">
        <f t="shared" si="22"/>
        <v>1383.2</v>
      </c>
      <c r="K139" s="1708"/>
      <c r="L139" s="1721"/>
      <c r="M139" s="1710" t="s">
        <v>1018</v>
      </c>
      <c r="N139" s="1685"/>
    </row>
    <row r="140" spans="1:14" ht="24" customHeight="1">
      <c r="A140" s="1712"/>
      <c r="B140" s="1673" t="s">
        <v>139</v>
      </c>
      <c r="C140" s="1674" t="s">
        <v>1781</v>
      </c>
      <c r="D140" s="1675">
        <f>D135*0.25</f>
        <v>12.35</v>
      </c>
      <c r="E140" s="1676" t="s">
        <v>87</v>
      </c>
      <c r="F140" s="1736">
        <v>23.89</v>
      </c>
      <c r="G140" s="1736">
        <v>0</v>
      </c>
      <c r="H140" s="1669">
        <f t="shared" si="20"/>
        <v>295.04149999999998</v>
      </c>
      <c r="I140" s="1669">
        <f t="shared" si="21"/>
        <v>0</v>
      </c>
      <c r="J140" s="1669">
        <f t="shared" si="22"/>
        <v>295.04149999999998</v>
      </c>
      <c r="K140" s="1708"/>
      <c r="L140" s="1721"/>
      <c r="M140" s="1710" t="s">
        <v>660</v>
      </c>
      <c r="N140" s="1685"/>
    </row>
    <row r="141" spans="1:14" ht="24" customHeight="1">
      <c r="A141" s="1712"/>
      <c r="B141" s="2368" t="s">
        <v>1037</v>
      </c>
      <c r="C141" s="2368"/>
      <c r="D141" s="1675"/>
      <c r="E141" s="1676"/>
      <c r="F141" s="1669"/>
      <c r="G141" s="1669"/>
      <c r="H141" s="1669"/>
      <c r="I141" s="1669"/>
      <c r="J141" s="1669"/>
      <c r="K141" s="1708"/>
      <c r="L141" s="1721"/>
      <c r="M141" s="1711"/>
      <c r="N141" s="1711"/>
    </row>
    <row r="142" spans="1:14" ht="24" customHeight="1">
      <c r="A142" s="1664"/>
      <c r="B142" s="1665" t="s">
        <v>139</v>
      </c>
      <c r="C142" s="1666" t="s">
        <v>88</v>
      </c>
      <c r="D142" s="1667">
        <v>155.19999999999999</v>
      </c>
      <c r="E142" s="1668" t="s">
        <v>87</v>
      </c>
      <c r="F142" s="1744">
        <v>21.4</v>
      </c>
      <c r="G142" s="1744">
        <v>4.4000000000000004</v>
      </c>
      <c r="H142" s="1670">
        <f t="shared" si="20"/>
        <v>3321.2799999999997</v>
      </c>
      <c r="I142" s="1670">
        <f t="shared" si="21"/>
        <v>682.88</v>
      </c>
      <c r="J142" s="1670">
        <f t="shared" ref="J142:J147" si="23">SUM(H142:I142)</f>
        <v>4004.16</v>
      </c>
      <c r="K142" s="1746"/>
      <c r="L142" s="1721"/>
      <c r="M142" s="1710" t="s">
        <v>1016</v>
      </c>
      <c r="N142" s="1711" t="s">
        <v>659</v>
      </c>
    </row>
    <row r="143" spans="1:14" ht="24" customHeight="1">
      <c r="A143" s="1712"/>
      <c r="B143" s="1673" t="s">
        <v>139</v>
      </c>
      <c r="C143" s="1674" t="s">
        <v>89</v>
      </c>
      <c r="D143" s="1675">
        <v>300.60000000000002</v>
      </c>
      <c r="E143" s="1676" t="s">
        <v>87</v>
      </c>
      <c r="F143" s="1677">
        <v>21.4</v>
      </c>
      <c r="G143" s="1677">
        <v>3.6</v>
      </c>
      <c r="H143" s="1669">
        <f t="shared" si="20"/>
        <v>6432.84</v>
      </c>
      <c r="I143" s="1669">
        <f t="shared" si="21"/>
        <v>1082.1600000000001</v>
      </c>
      <c r="J143" s="1669">
        <f t="shared" si="23"/>
        <v>7515</v>
      </c>
      <c r="K143" s="1708"/>
      <c r="L143" s="1721"/>
      <c r="M143" s="1710" t="s">
        <v>1016</v>
      </c>
      <c r="N143" s="1711" t="s">
        <v>659</v>
      </c>
    </row>
    <row r="144" spans="1:14" ht="24" customHeight="1">
      <c r="A144" s="1712"/>
      <c r="B144" s="1673" t="s">
        <v>139</v>
      </c>
      <c r="C144" s="1674" t="s">
        <v>90</v>
      </c>
      <c r="D144" s="1675">
        <v>1300.3</v>
      </c>
      <c r="E144" s="1676" t="s">
        <v>87</v>
      </c>
      <c r="F144" s="1677">
        <v>21.2</v>
      </c>
      <c r="G144" s="1677">
        <v>3.6</v>
      </c>
      <c r="H144" s="1669">
        <f t="shared" si="20"/>
        <v>27566.359999999997</v>
      </c>
      <c r="I144" s="1669">
        <f t="shared" si="21"/>
        <v>4681.08</v>
      </c>
      <c r="J144" s="1669">
        <f t="shared" si="23"/>
        <v>32247.439999999995</v>
      </c>
      <c r="K144" s="1708"/>
      <c r="L144" s="1721"/>
      <c r="M144" s="1710" t="s">
        <v>1016</v>
      </c>
      <c r="N144" s="1711" t="s">
        <v>659</v>
      </c>
    </row>
    <row r="145" spans="1:14" s="1685" customFormat="1" ht="24" customHeight="1">
      <c r="A145" s="1712"/>
      <c r="B145" s="1673" t="s">
        <v>139</v>
      </c>
      <c r="C145" s="1674" t="s">
        <v>1014</v>
      </c>
      <c r="D145" s="1675">
        <v>571</v>
      </c>
      <c r="E145" s="1676" t="s">
        <v>87</v>
      </c>
      <c r="F145" s="1677">
        <v>21.2</v>
      </c>
      <c r="G145" s="1677">
        <v>3.1</v>
      </c>
      <c r="H145" s="1669">
        <f t="shared" si="20"/>
        <v>12105.199999999999</v>
      </c>
      <c r="I145" s="1669">
        <f t="shared" si="21"/>
        <v>1770.1000000000001</v>
      </c>
      <c r="J145" s="1669">
        <f t="shared" si="23"/>
        <v>13875.3</v>
      </c>
      <c r="K145" s="1708"/>
      <c r="L145" s="1721"/>
      <c r="M145" s="1710" t="s">
        <v>1016</v>
      </c>
      <c r="N145" s="1711" t="s">
        <v>659</v>
      </c>
    </row>
    <row r="146" spans="1:14" ht="24" customHeight="1">
      <c r="A146" s="1712"/>
      <c r="B146" s="1673" t="s">
        <v>139</v>
      </c>
      <c r="C146" s="1674" t="s">
        <v>200</v>
      </c>
      <c r="D146" s="1675">
        <f>SUM(D142:D145)*0.03</f>
        <v>69.812999999999988</v>
      </c>
      <c r="E146" s="1676" t="s">
        <v>87</v>
      </c>
      <c r="F146" s="1677">
        <v>25.83</v>
      </c>
      <c r="G146" s="1677">
        <v>0</v>
      </c>
      <c r="H146" s="1669">
        <f t="shared" si="20"/>
        <v>1803.2697899999996</v>
      </c>
      <c r="I146" s="1669">
        <f t="shared" si="21"/>
        <v>0</v>
      </c>
      <c r="J146" s="1669">
        <f t="shared" si="23"/>
        <v>1803.2697899999996</v>
      </c>
      <c r="K146" s="1708"/>
      <c r="L146" s="1721"/>
      <c r="M146" s="1710" t="s">
        <v>1019</v>
      </c>
      <c r="N146" s="1711"/>
    </row>
    <row r="147" spans="1:14" ht="24" customHeight="1">
      <c r="A147" s="1712"/>
      <c r="B147" s="1673" t="s">
        <v>107</v>
      </c>
      <c r="C147" s="1674" t="s">
        <v>1157</v>
      </c>
      <c r="D147" s="1675">
        <v>16</v>
      </c>
      <c r="E147" s="1676" t="s">
        <v>84</v>
      </c>
      <c r="F147" s="1669">
        <v>360</v>
      </c>
      <c r="G147" s="1669">
        <v>100</v>
      </c>
      <c r="H147" s="1669">
        <f t="shared" si="20"/>
        <v>5760</v>
      </c>
      <c r="I147" s="1669">
        <f t="shared" si="21"/>
        <v>1600</v>
      </c>
      <c r="J147" s="1669">
        <f t="shared" si="23"/>
        <v>7360</v>
      </c>
      <c r="K147" s="1671"/>
      <c r="L147" s="1708" t="s">
        <v>1918</v>
      </c>
      <c r="M147" s="1710" t="s">
        <v>661</v>
      </c>
      <c r="N147" s="1711" t="s">
        <v>662</v>
      </c>
    </row>
    <row r="148" spans="1:14" ht="24" customHeight="1">
      <c r="A148" s="1712"/>
      <c r="B148" s="2368" t="s">
        <v>1038</v>
      </c>
      <c r="C148" s="2368"/>
      <c r="D148" s="1675"/>
      <c r="E148" s="1676"/>
      <c r="F148" s="1669"/>
      <c r="G148" s="1669"/>
      <c r="H148" s="1669"/>
      <c r="I148" s="1669"/>
      <c r="J148" s="1669"/>
      <c r="K148" s="1708"/>
      <c r="L148" s="1721"/>
      <c r="M148" s="1711"/>
      <c r="N148" s="1711"/>
    </row>
    <row r="149" spans="1:14" ht="24" customHeight="1">
      <c r="A149" s="1702"/>
      <c r="B149" s="2369" t="s">
        <v>1039</v>
      </c>
      <c r="C149" s="2369"/>
      <c r="D149" s="1705"/>
      <c r="E149" s="1706"/>
      <c r="F149" s="1707"/>
      <c r="G149" s="1707"/>
      <c r="H149" s="1707"/>
      <c r="I149" s="1707"/>
      <c r="J149" s="1707"/>
      <c r="K149" s="1709"/>
      <c r="L149" s="1721"/>
      <c r="M149" s="1711"/>
      <c r="N149" s="1711"/>
    </row>
    <row r="150" spans="1:14" ht="24" customHeight="1">
      <c r="A150" s="1712"/>
      <c r="B150" s="1673" t="s">
        <v>139</v>
      </c>
      <c r="C150" s="1674" t="s">
        <v>228</v>
      </c>
      <c r="D150" s="1675">
        <v>13.8</v>
      </c>
      <c r="E150" s="1676" t="s">
        <v>85</v>
      </c>
      <c r="F150" s="1736">
        <v>2679.9</v>
      </c>
      <c r="G150" s="1736">
        <v>519</v>
      </c>
      <c r="H150" s="1669">
        <f t="shared" ref="H150:H169" si="24">F150*D150</f>
        <v>36982.620000000003</v>
      </c>
      <c r="I150" s="1669">
        <f t="shared" ref="I150:I169" si="25">G150*D150</f>
        <v>7162.2000000000007</v>
      </c>
      <c r="J150" s="1669">
        <f t="shared" ref="J150:J163" si="26">SUM(H150:I150)</f>
        <v>44144.820000000007</v>
      </c>
      <c r="K150" s="1708"/>
      <c r="L150" s="1721"/>
      <c r="M150" s="1710" t="s">
        <v>1016</v>
      </c>
      <c r="N150" s="1711" t="s">
        <v>659</v>
      </c>
    </row>
    <row r="151" spans="1:14" ht="24" customHeight="1">
      <c r="A151" s="1702"/>
      <c r="B151" s="2369" t="s">
        <v>1040</v>
      </c>
      <c r="C151" s="2369"/>
      <c r="D151" s="1705">
        <v>89.2</v>
      </c>
      <c r="E151" s="1706"/>
      <c r="F151" s="1707"/>
      <c r="G151" s="1707"/>
      <c r="H151" s="1707"/>
      <c r="I151" s="1707"/>
      <c r="J151" s="1707"/>
      <c r="K151" s="1709"/>
      <c r="L151" s="1721"/>
      <c r="M151" s="1711"/>
      <c r="N151" s="1711"/>
    </row>
    <row r="152" spans="1:14" ht="24" customHeight="1">
      <c r="A152" s="1712"/>
      <c r="B152" s="1673" t="s">
        <v>139</v>
      </c>
      <c r="C152" s="1674" t="s">
        <v>1784</v>
      </c>
      <c r="D152" s="1675">
        <f>D151</f>
        <v>89.2</v>
      </c>
      <c r="E152" s="1676" t="s">
        <v>86</v>
      </c>
      <c r="F152" s="1736">
        <v>0</v>
      </c>
      <c r="G152" s="1669">
        <v>121</v>
      </c>
      <c r="H152" s="1669">
        <f t="shared" si="24"/>
        <v>0</v>
      </c>
      <c r="I152" s="1669">
        <f t="shared" si="25"/>
        <v>10793.2</v>
      </c>
      <c r="J152" s="1669">
        <f t="shared" si="26"/>
        <v>10793.2</v>
      </c>
      <c r="K152" s="1708"/>
      <c r="L152" s="1721"/>
      <c r="M152" s="1710" t="s">
        <v>1017</v>
      </c>
      <c r="N152" s="1711" t="s">
        <v>659</v>
      </c>
    </row>
    <row r="153" spans="1:14" ht="24" customHeight="1">
      <c r="A153" s="1712"/>
      <c r="B153" s="1673" t="s">
        <v>139</v>
      </c>
      <c r="C153" s="1674" t="s">
        <v>198</v>
      </c>
      <c r="D153" s="1675">
        <f>D151*0.5</f>
        <v>44.6</v>
      </c>
      <c r="E153" s="1676" t="s">
        <v>164</v>
      </c>
      <c r="F153" s="1736">
        <v>400</v>
      </c>
      <c r="G153" s="1736">
        <v>0</v>
      </c>
      <c r="H153" s="1669">
        <f t="shared" si="24"/>
        <v>17840</v>
      </c>
      <c r="I153" s="1669">
        <f t="shared" si="25"/>
        <v>0</v>
      </c>
      <c r="J153" s="1669">
        <f t="shared" si="26"/>
        <v>17840</v>
      </c>
      <c r="K153" s="1708"/>
      <c r="L153" s="1721"/>
      <c r="M153" s="1710" t="s">
        <v>1018</v>
      </c>
      <c r="N153" s="1711"/>
    </row>
    <row r="154" spans="1:14" ht="24" customHeight="1">
      <c r="A154" s="1712"/>
      <c r="B154" s="1673" t="s">
        <v>139</v>
      </c>
      <c r="C154" s="1674" t="s">
        <v>1782</v>
      </c>
      <c r="D154" s="1675">
        <f>D153*0.3</f>
        <v>13.38</v>
      </c>
      <c r="E154" s="1676" t="s">
        <v>164</v>
      </c>
      <c r="F154" s="1736">
        <v>400</v>
      </c>
      <c r="G154" s="1736">
        <v>0</v>
      </c>
      <c r="H154" s="1669">
        <f t="shared" si="24"/>
        <v>5352</v>
      </c>
      <c r="I154" s="1669">
        <f t="shared" si="25"/>
        <v>0</v>
      </c>
      <c r="J154" s="1669">
        <f t="shared" si="26"/>
        <v>5352</v>
      </c>
      <c r="K154" s="1708"/>
      <c r="L154" s="1721"/>
      <c r="M154" s="1710" t="s">
        <v>1018</v>
      </c>
      <c r="N154" s="1685"/>
    </row>
    <row r="155" spans="1:14" ht="24" customHeight="1">
      <c r="A155" s="1712"/>
      <c r="B155" s="1673" t="s">
        <v>139</v>
      </c>
      <c r="C155" s="1674" t="s">
        <v>163</v>
      </c>
      <c r="D155" s="1675">
        <f>D151</f>
        <v>89.2</v>
      </c>
      <c r="E155" s="1676" t="s">
        <v>83</v>
      </c>
      <c r="F155" s="1736">
        <v>28</v>
      </c>
      <c r="G155" s="1736">
        <v>0</v>
      </c>
      <c r="H155" s="1669">
        <f t="shared" si="24"/>
        <v>2497.6</v>
      </c>
      <c r="I155" s="1669">
        <f t="shared" si="25"/>
        <v>0</v>
      </c>
      <c r="J155" s="1669">
        <f t="shared" si="26"/>
        <v>2497.6</v>
      </c>
      <c r="K155" s="1708"/>
      <c r="L155" s="1721"/>
      <c r="M155" s="1710" t="s">
        <v>1018</v>
      </c>
      <c r="N155" s="1685"/>
    </row>
    <row r="156" spans="1:14" ht="24" customHeight="1">
      <c r="A156" s="1780"/>
      <c r="B156" s="1780"/>
      <c r="C156" s="1827" t="s">
        <v>133</v>
      </c>
      <c r="D156" s="2365"/>
      <c r="E156" s="2365"/>
      <c r="F156" s="2365"/>
      <c r="G156" s="2365"/>
      <c r="H156" s="2365"/>
      <c r="I156" s="2365"/>
      <c r="J156" s="2365"/>
      <c r="K156" s="2365"/>
      <c r="L156" s="1721"/>
      <c r="M156" s="1710"/>
      <c r="N156" s="1685"/>
    </row>
    <row r="157" spans="1:14" ht="24" customHeight="1">
      <c r="A157" s="1780"/>
      <c r="B157" s="2366" t="s">
        <v>1769</v>
      </c>
      <c r="C157" s="2366"/>
      <c r="D157" s="1828"/>
      <c r="E157" s="1769"/>
      <c r="F157" s="1828"/>
      <c r="G157" s="1828" t="s">
        <v>134</v>
      </c>
      <c r="H157" s="1828"/>
      <c r="I157" s="1828"/>
      <c r="J157" s="1828"/>
      <c r="K157" s="1828"/>
      <c r="L157" s="1721"/>
      <c r="M157" s="1710"/>
      <c r="N157" s="1685"/>
    </row>
    <row r="158" spans="1:14" ht="24" customHeight="1">
      <c r="A158" s="1780"/>
      <c r="B158" s="2367" t="s">
        <v>1970</v>
      </c>
      <c r="C158" s="2367"/>
      <c r="D158" s="1831"/>
      <c r="E158" s="1832"/>
      <c r="F158" s="1833"/>
      <c r="G158" s="1833" t="s">
        <v>1971</v>
      </c>
      <c r="H158" s="1833"/>
      <c r="I158" s="1833"/>
      <c r="J158" s="1833"/>
      <c r="K158" s="1833"/>
      <c r="L158" s="1721"/>
      <c r="M158" s="1710"/>
      <c r="N158" s="1685"/>
    </row>
    <row r="159" spans="1:14" ht="24" customHeight="1">
      <c r="A159" s="1830"/>
      <c r="B159" s="1828" t="s">
        <v>2031</v>
      </c>
      <c r="C159" s="1830"/>
      <c r="D159" s="1830"/>
      <c r="E159" s="1830"/>
      <c r="F159" s="1830"/>
      <c r="G159" s="1828" t="s">
        <v>2031</v>
      </c>
      <c r="H159" s="1830"/>
      <c r="I159" s="1830"/>
      <c r="J159" s="1830"/>
      <c r="K159" s="1830"/>
      <c r="L159" s="1721"/>
      <c r="M159" s="1710"/>
      <c r="N159" s="1685"/>
    </row>
    <row r="160" spans="1:14" ht="24" customHeight="1">
      <c r="B160" s="1721" t="s">
        <v>1984</v>
      </c>
      <c r="C160" s="1830"/>
      <c r="D160" s="1685"/>
      <c r="E160" s="1685"/>
      <c r="G160" s="1721" t="s">
        <v>1985</v>
      </c>
      <c r="H160" s="1685"/>
      <c r="I160" s="1685"/>
      <c r="J160" s="1685"/>
      <c r="K160" s="1685"/>
      <c r="L160" s="1721"/>
      <c r="M160" s="1710"/>
      <c r="N160" s="1685"/>
    </row>
    <row r="161" spans="1:14" ht="24" customHeight="1">
      <c r="B161" s="1828" t="s">
        <v>670</v>
      </c>
      <c r="L161" s="1721"/>
      <c r="M161" s="1710"/>
      <c r="N161" s="1685"/>
    </row>
    <row r="162" spans="1:14" ht="24" customHeight="1">
      <c r="B162" s="1721" t="s">
        <v>1972</v>
      </c>
      <c r="L162" s="1721"/>
      <c r="M162" s="1710"/>
      <c r="N162" s="1685"/>
    </row>
    <row r="163" spans="1:14" ht="24" customHeight="1">
      <c r="A163" s="1712"/>
      <c r="B163" s="1673" t="s">
        <v>139</v>
      </c>
      <c r="C163" s="1674" t="s">
        <v>1781</v>
      </c>
      <c r="D163" s="1675">
        <f>D151*0.25</f>
        <v>22.3</v>
      </c>
      <c r="E163" s="1676" t="s">
        <v>87</v>
      </c>
      <c r="F163" s="1736">
        <v>23.89</v>
      </c>
      <c r="G163" s="1736">
        <v>0</v>
      </c>
      <c r="H163" s="1669">
        <f t="shared" si="24"/>
        <v>532.74700000000007</v>
      </c>
      <c r="I163" s="1669">
        <f t="shared" si="25"/>
        <v>0</v>
      </c>
      <c r="J163" s="1669">
        <f t="shared" si="26"/>
        <v>532.74700000000007</v>
      </c>
      <c r="K163" s="1708"/>
      <c r="L163" s="1721"/>
      <c r="M163" s="1710" t="s">
        <v>660</v>
      </c>
      <c r="N163" s="1685"/>
    </row>
    <row r="164" spans="1:14" ht="24" customHeight="1">
      <c r="A164" s="1712"/>
      <c r="B164" s="2368" t="s">
        <v>1041</v>
      </c>
      <c r="C164" s="2368"/>
      <c r="D164" s="1675"/>
      <c r="E164" s="1676"/>
      <c r="F164" s="1669"/>
      <c r="G164" s="1669"/>
      <c r="H164" s="1669"/>
      <c r="I164" s="1669"/>
      <c r="J164" s="1669"/>
      <c r="K164" s="1708"/>
      <c r="L164" s="1721"/>
      <c r="M164" s="1711"/>
      <c r="N164" s="1711"/>
    </row>
    <row r="165" spans="1:14" ht="24" customHeight="1">
      <c r="A165" s="1712"/>
      <c r="B165" s="1673" t="s">
        <v>139</v>
      </c>
      <c r="C165" s="1674" t="s">
        <v>88</v>
      </c>
      <c r="D165" s="1675">
        <v>135.80000000000001</v>
      </c>
      <c r="E165" s="1676" t="s">
        <v>87</v>
      </c>
      <c r="F165" s="1736">
        <v>21.4</v>
      </c>
      <c r="G165" s="1669">
        <v>4.4000000000000004</v>
      </c>
      <c r="H165" s="1669">
        <f t="shared" si="24"/>
        <v>2906.12</v>
      </c>
      <c r="I165" s="1669">
        <f t="shared" si="25"/>
        <v>597.5200000000001</v>
      </c>
      <c r="J165" s="1669">
        <f>SUM(H165:I165)</f>
        <v>3503.64</v>
      </c>
      <c r="K165" s="1708"/>
      <c r="L165" s="1721"/>
      <c r="M165" s="1710" t="s">
        <v>1016</v>
      </c>
      <c r="N165" s="1711" t="s">
        <v>659</v>
      </c>
    </row>
    <row r="166" spans="1:14" ht="24" customHeight="1">
      <c r="A166" s="1712"/>
      <c r="B166" s="1673" t="s">
        <v>139</v>
      </c>
      <c r="C166" s="1674" t="s">
        <v>89</v>
      </c>
      <c r="D166" s="1675">
        <v>495.5</v>
      </c>
      <c r="E166" s="1676" t="s">
        <v>87</v>
      </c>
      <c r="F166" s="1736">
        <v>21.4</v>
      </c>
      <c r="G166" s="1669">
        <v>3.6</v>
      </c>
      <c r="H166" s="1669">
        <f t="shared" si="24"/>
        <v>10603.699999999999</v>
      </c>
      <c r="I166" s="1669">
        <f t="shared" si="25"/>
        <v>1783.8</v>
      </c>
      <c r="J166" s="1669">
        <f>SUM(H166:I166)</f>
        <v>12387.499999999998</v>
      </c>
      <c r="K166" s="1708"/>
      <c r="L166" s="1721"/>
      <c r="M166" s="1710" t="s">
        <v>1016</v>
      </c>
      <c r="N166" s="1711" t="s">
        <v>659</v>
      </c>
    </row>
    <row r="167" spans="1:14" ht="24" customHeight="1">
      <c r="A167" s="1712"/>
      <c r="B167" s="1673" t="s">
        <v>139</v>
      </c>
      <c r="C167" s="1674" t="s">
        <v>90</v>
      </c>
      <c r="D167" s="1675">
        <v>1819.3</v>
      </c>
      <c r="E167" s="1676" t="s">
        <v>87</v>
      </c>
      <c r="F167" s="1677">
        <v>21.2</v>
      </c>
      <c r="G167" s="1677">
        <v>3.6</v>
      </c>
      <c r="H167" s="1669">
        <f t="shared" si="24"/>
        <v>38569.159999999996</v>
      </c>
      <c r="I167" s="1669">
        <f t="shared" si="25"/>
        <v>6549.48</v>
      </c>
      <c r="J167" s="1669">
        <f>SUM(H167:I167)</f>
        <v>45118.64</v>
      </c>
      <c r="K167" s="1708"/>
      <c r="L167" s="1721"/>
      <c r="M167" s="1710" t="s">
        <v>1016</v>
      </c>
      <c r="N167" s="1711" t="s">
        <v>659</v>
      </c>
    </row>
    <row r="168" spans="1:14" s="1685" customFormat="1" ht="24" customHeight="1">
      <c r="A168" s="1712"/>
      <c r="B168" s="1673" t="s">
        <v>139</v>
      </c>
      <c r="C168" s="1674" t="s">
        <v>1014</v>
      </c>
      <c r="D168" s="1675">
        <v>856.5</v>
      </c>
      <c r="E168" s="1676" t="s">
        <v>87</v>
      </c>
      <c r="F168" s="1677">
        <v>21.2</v>
      </c>
      <c r="G168" s="1677">
        <v>3.1</v>
      </c>
      <c r="H168" s="1669">
        <f t="shared" si="24"/>
        <v>18157.8</v>
      </c>
      <c r="I168" s="1669">
        <f t="shared" si="25"/>
        <v>2655.15</v>
      </c>
      <c r="J168" s="1669">
        <f>SUM(H168:I168)</f>
        <v>20812.95</v>
      </c>
      <c r="K168" s="1708"/>
      <c r="L168" s="1721"/>
      <c r="M168" s="1710" t="s">
        <v>1016</v>
      </c>
      <c r="N168" s="1711" t="s">
        <v>659</v>
      </c>
    </row>
    <row r="169" spans="1:14" ht="24" customHeight="1">
      <c r="A169" s="1712"/>
      <c r="B169" s="1673" t="s">
        <v>139</v>
      </c>
      <c r="C169" s="1674" t="s">
        <v>200</v>
      </c>
      <c r="D169" s="1675">
        <f>SUM(D165:D168)*0.03</f>
        <v>99.212999999999994</v>
      </c>
      <c r="E169" s="1676" t="s">
        <v>87</v>
      </c>
      <c r="F169" s="1677">
        <v>25.83</v>
      </c>
      <c r="G169" s="1677">
        <v>0</v>
      </c>
      <c r="H169" s="1669">
        <f t="shared" si="24"/>
        <v>2562.6717899999999</v>
      </c>
      <c r="I169" s="1669">
        <f t="shared" si="25"/>
        <v>0</v>
      </c>
      <c r="J169" s="1669">
        <f>SUM(H169:I169)</f>
        <v>2562.6717899999999</v>
      </c>
      <c r="K169" s="1708"/>
      <c r="L169" s="1721"/>
      <c r="M169" s="1710" t="s">
        <v>1019</v>
      </c>
      <c r="N169" s="1711"/>
    </row>
    <row r="170" spans="1:14" ht="24" customHeight="1">
      <c r="A170" s="1715"/>
      <c r="B170" s="1716"/>
      <c r="C170" s="1749"/>
      <c r="D170" s="1718"/>
      <c r="E170" s="1719"/>
      <c r="F170" s="1750"/>
      <c r="G170" s="1751"/>
      <c r="H170" s="1720"/>
      <c r="I170" s="1720"/>
      <c r="J170" s="1720"/>
      <c r="K170" s="1752"/>
      <c r="L170" s="1721"/>
      <c r="M170" s="1710"/>
      <c r="N170" s="1711"/>
    </row>
    <row r="171" spans="1:14" ht="24" customHeight="1" thickBot="1">
      <c r="A171" s="1722"/>
      <c r="B171" s="1753"/>
      <c r="C171" s="1724" t="str">
        <f>"รวมราคา "&amp;B24</f>
        <v>รวมราคา งานโครงสร้าง ชั้นฐานราก</v>
      </c>
      <c r="D171" s="1725"/>
      <c r="E171" s="1726"/>
      <c r="F171" s="1727"/>
      <c r="G171" s="1727"/>
      <c r="H171" s="1727">
        <f>SUM(H25:H169)</f>
        <v>9668729.2439099941</v>
      </c>
      <c r="I171" s="1727">
        <f>SUM(I25:I169)</f>
        <v>1463206.8099999994</v>
      </c>
      <c r="J171" s="1727">
        <f>SUM(J25:J169)</f>
        <v>11131936.05391</v>
      </c>
      <c r="K171" s="1728"/>
      <c r="L171" s="1729"/>
      <c r="M171" s="1701"/>
      <c r="N171" s="1701"/>
    </row>
    <row r="172" spans="1:14" ht="24" customHeight="1" thickTop="1">
      <c r="A172" s="1730">
        <v>1.3</v>
      </c>
      <c r="B172" s="2374" t="s">
        <v>253</v>
      </c>
      <c r="C172" s="2374"/>
      <c r="D172" s="1731"/>
      <c r="E172" s="1732"/>
      <c r="F172" s="1733"/>
      <c r="G172" s="1733"/>
      <c r="H172" s="1733"/>
      <c r="I172" s="1733"/>
      <c r="J172" s="1733"/>
      <c r="K172" s="1734"/>
      <c r="L172" s="1729"/>
      <c r="M172" s="1735"/>
      <c r="N172" s="1735"/>
    </row>
    <row r="173" spans="1:14" ht="24" customHeight="1">
      <c r="A173" s="1702"/>
      <c r="B173" s="2369" t="s">
        <v>245</v>
      </c>
      <c r="C173" s="2369"/>
      <c r="D173" s="1705"/>
      <c r="E173" s="1706"/>
      <c r="F173" s="1707"/>
      <c r="G173" s="1707"/>
      <c r="H173" s="1707"/>
      <c r="I173" s="1707"/>
      <c r="J173" s="1707"/>
      <c r="K173" s="1709"/>
      <c r="L173" s="1721"/>
      <c r="M173" s="1711"/>
      <c r="N173" s="1711"/>
    </row>
    <row r="174" spans="1:14" ht="24" customHeight="1">
      <c r="A174" s="1712"/>
      <c r="B174" s="1673" t="s">
        <v>139</v>
      </c>
      <c r="C174" s="1674" t="s">
        <v>1156</v>
      </c>
      <c r="D174" s="1675">
        <v>591.79999999999995</v>
      </c>
      <c r="E174" s="1676" t="s">
        <v>86</v>
      </c>
      <c r="F174" s="1669">
        <v>431.48</v>
      </c>
      <c r="G174" s="1669">
        <v>35</v>
      </c>
      <c r="H174" s="1669">
        <f t="shared" ref="H174:H186" si="27">F174*D174</f>
        <v>255349.864</v>
      </c>
      <c r="I174" s="1669">
        <f t="shared" ref="I174:I186" si="28">G174*D174</f>
        <v>20713</v>
      </c>
      <c r="J174" s="1669">
        <f t="shared" ref="J174:J186" si="29">SUM(H174:I174)</f>
        <v>276062.864</v>
      </c>
      <c r="K174" s="1708"/>
      <c r="L174" s="1721"/>
      <c r="M174" s="1710" t="s">
        <v>1016</v>
      </c>
      <c r="N174" s="1711" t="s">
        <v>663</v>
      </c>
    </row>
    <row r="175" spans="1:14" ht="24" customHeight="1">
      <c r="A175" s="1664"/>
      <c r="B175" s="1665" t="s">
        <v>139</v>
      </c>
      <c r="C175" s="1666" t="s">
        <v>407</v>
      </c>
      <c r="D175" s="1667">
        <f>D174*0.05</f>
        <v>29.59</v>
      </c>
      <c r="E175" s="1668" t="s">
        <v>85</v>
      </c>
      <c r="F175" s="1745">
        <v>2679.9</v>
      </c>
      <c r="G175" s="1745">
        <v>519</v>
      </c>
      <c r="H175" s="1670">
        <f t="shared" si="27"/>
        <v>79298.241000000009</v>
      </c>
      <c r="I175" s="1670">
        <f t="shared" si="28"/>
        <v>15357.21</v>
      </c>
      <c r="J175" s="1670">
        <f t="shared" si="29"/>
        <v>94655.451000000001</v>
      </c>
      <c r="K175" s="1746"/>
      <c r="L175" s="1721"/>
      <c r="M175" s="1710" t="s">
        <v>1016</v>
      </c>
      <c r="N175" s="1711" t="s">
        <v>659</v>
      </c>
    </row>
    <row r="176" spans="1:14" ht="24" customHeight="1">
      <c r="A176" s="1712"/>
      <c r="B176" s="1673" t="s">
        <v>139</v>
      </c>
      <c r="C176" s="1674" t="s">
        <v>408</v>
      </c>
      <c r="D176" s="1675">
        <f>D174</f>
        <v>591.79999999999995</v>
      </c>
      <c r="E176" s="1676" t="s">
        <v>86</v>
      </c>
      <c r="F176" s="1669">
        <v>33</v>
      </c>
      <c r="G176" s="1669">
        <v>5</v>
      </c>
      <c r="H176" s="1669">
        <f t="shared" si="27"/>
        <v>19529.399999999998</v>
      </c>
      <c r="I176" s="1669">
        <f t="shared" si="28"/>
        <v>2959</v>
      </c>
      <c r="J176" s="1669">
        <f t="shared" si="29"/>
        <v>22488.399999999998</v>
      </c>
      <c r="K176" s="1708"/>
      <c r="L176" s="1721"/>
      <c r="M176" s="1710" t="s">
        <v>1016</v>
      </c>
      <c r="N176" s="1711" t="s">
        <v>659</v>
      </c>
    </row>
    <row r="177" spans="1:14" s="1735" customFormat="1" ht="24" customHeight="1">
      <c r="A177" s="1712"/>
      <c r="B177" s="2368" t="s">
        <v>423</v>
      </c>
      <c r="C177" s="2368"/>
      <c r="D177" s="1675"/>
      <c r="E177" s="1676"/>
      <c r="F177" s="1669"/>
      <c r="G177" s="1669"/>
      <c r="H177" s="1669"/>
      <c r="I177" s="1669"/>
      <c r="J177" s="1669"/>
      <c r="K177" s="1708"/>
      <c r="L177" s="1721"/>
      <c r="M177" s="1711"/>
      <c r="N177" s="1711"/>
    </row>
    <row r="178" spans="1:14" ht="24" customHeight="1">
      <c r="A178" s="1712"/>
      <c r="B178" s="1673" t="s">
        <v>139</v>
      </c>
      <c r="C178" s="1674" t="s">
        <v>228</v>
      </c>
      <c r="D178" s="1675">
        <v>24.4</v>
      </c>
      <c r="E178" s="1676" t="s">
        <v>85</v>
      </c>
      <c r="F178" s="1736">
        <v>2679.9</v>
      </c>
      <c r="G178" s="1736">
        <v>519</v>
      </c>
      <c r="H178" s="1669">
        <f t="shared" si="27"/>
        <v>65389.56</v>
      </c>
      <c r="I178" s="1669">
        <f t="shared" si="28"/>
        <v>12663.599999999999</v>
      </c>
      <c r="J178" s="1669">
        <f t="shared" si="29"/>
        <v>78053.16</v>
      </c>
      <c r="K178" s="1708"/>
      <c r="L178" s="1721"/>
      <c r="M178" s="1710" t="s">
        <v>1016</v>
      </c>
      <c r="N178" s="1711" t="s">
        <v>659</v>
      </c>
    </row>
    <row r="179" spans="1:14" ht="24" customHeight="1">
      <c r="A179" s="1712"/>
      <c r="B179" s="2368" t="s">
        <v>225</v>
      </c>
      <c r="C179" s="2368"/>
      <c r="D179" s="1675">
        <v>45.7</v>
      </c>
      <c r="E179" s="1676"/>
      <c r="F179" s="1669"/>
      <c r="G179" s="1669"/>
      <c r="H179" s="1669"/>
      <c r="I179" s="1669"/>
      <c r="J179" s="1669"/>
      <c r="K179" s="1708"/>
      <c r="L179" s="1721"/>
      <c r="M179" s="1711"/>
      <c r="N179" s="1711"/>
    </row>
    <row r="180" spans="1:14" ht="24" customHeight="1">
      <c r="A180" s="1712"/>
      <c r="B180" s="1673" t="s">
        <v>139</v>
      </c>
      <c r="C180" s="1674" t="s">
        <v>1784</v>
      </c>
      <c r="D180" s="1675">
        <f>D179</f>
        <v>45.7</v>
      </c>
      <c r="E180" s="1676" t="s">
        <v>86</v>
      </c>
      <c r="F180" s="1669"/>
      <c r="G180" s="1669">
        <v>121</v>
      </c>
      <c r="H180" s="1669">
        <f t="shared" si="27"/>
        <v>0</v>
      </c>
      <c r="I180" s="1669">
        <f t="shared" si="28"/>
        <v>5529.7000000000007</v>
      </c>
      <c r="J180" s="1669">
        <f t="shared" si="29"/>
        <v>5529.7000000000007</v>
      </c>
      <c r="K180" s="1708"/>
      <c r="L180" s="1721"/>
      <c r="M180" s="1710" t="s">
        <v>1017</v>
      </c>
      <c r="N180" s="1711" t="s">
        <v>659</v>
      </c>
    </row>
    <row r="181" spans="1:14" ht="24" customHeight="1">
      <c r="A181" s="1702"/>
      <c r="B181" s="1703" t="s">
        <v>139</v>
      </c>
      <c r="C181" s="1743" t="s">
        <v>198</v>
      </c>
      <c r="D181" s="1705">
        <f>D179*0.5</f>
        <v>22.85</v>
      </c>
      <c r="E181" s="1706" t="s">
        <v>164</v>
      </c>
      <c r="F181" s="1707">
        <v>400</v>
      </c>
      <c r="G181" s="1707"/>
      <c r="H181" s="1707">
        <f t="shared" si="27"/>
        <v>9140</v>
      </c>
      <c r="I181" s="1707">
        <f t="shared" si="28"/>
        <v>0</v>
      </c>
      <c r="J181" s="1707">
        <f t="shared" si="29"/>
        <v>9140</v>
      </c>
      <c r="K181" s="1709"/>
      <c r="L181" s="1721"/>
      <c r="M181" s="1710" t="s">
        <v>1018</v>
      </c>
      <c r="N181" s="1711"/>
    </row>
    <row r="182" spans="1:14" ht="24" customHeight="1">
      <c r="A182" s="1664"/>
      <c r="B182" s="1665" t="s">
        <v>139</v>
      </c>
      <c r="C182" s="1666" t="s">
        <v>1782</v>
      </c>
      <c r="D182" s="1667">
        <f>D181*0.3</f>
        <v>6.8550000000000004</v>
      </c>
      <c r="E182" s="1668" t="s">
        <v>164</v>
      </c>
      <c r="F182" s="1670">
        <v>400</v>
      </c>
      <c r="G182" s="1670">
        <v>0</v>
      </c>
      <c r="H182" s="1670">
        <f t="shared" si="27"/>
        <v>2742</v>
      </c>
      <c r="I182" s="1669">
        <f t="shared" si="28"/>
        <v>0</v>
      </c>
      <c r="J182" s="1669">
        <f t="shared" si="29"/>
        <v>2742</v>
      </c>
      <c r="K182" s="1708"/>
      <c r="L182" s="1721"/>
      <c r="M182" s="1710" t="s">
        <v>1018</v>
      </c>
      <c r="N182" s="1711"/>
    </row>
    <row r="183" spans="1:14" ht="24" customHeight="1">
      <c r="A183" s="1712"/>
      <c r="B183" s="1673" t="s">
        <v>139</v>
      </c>
      <c r="C183" s="1674" t="s">
        <v>1781</v>
      </c>
      <c r="D183" s="1675">
        <f>D179*0.25</f>
        <v>11.425000000000001</v>
      </c>
      <c r="E183" s="1676" t="s">
        <v>87</v>
      </c>
      <c r="F183" s="1736">
        <v>23.89</v>
      </c>
      <c r="G183" s="1736">
        <v>0</v>
      </c>
      <c r="H183" s="1669">
        <f t="shared" si="27"/>
        <v>272.94325000000003</v>
      </c>
      <c r="I183" s="1678">
        <f t="shared" si="28"/>
        <v>0</v>
      </c>
      <c r="J183" s="1669">
        <f t="shared" si="29"/>
        <v>272.94325000000003</v>
      </c>
      <c r="K183" s="1708"/>
      <c r="L183" s="1721"/>
      <c r="M183" s="1710" t="s">
        <v>660</v>
      </c>
      <c r="N183" s="1711"/>
    </row>
    <row r="184" spans="1:14" ht="24" customHeight="1">
      <c r="A184" s="1712"/>
      <c r="B184" s="2368" t="s">
        <v>246</v>
      </c>
      <c r="C184" s="2368"/>
      <c r="D184" s="1675"/>
      <c r="E184" s="1676"/>
      <c r="F184" s="1669"/>
      <c r="G184" s="1669"/>
      <c r="H184" s="1669"/>
      <c r="I184" s="1678"/>
      <c r="J184" s="1669"/>
      <c r="K184" s="1708"/>
      <c r="L184" s="1721"/>
      <c r="M184" s="1711"/>
      <c r="N184" s="1711"/>
    </row>
    <row r="185" spans="1:14" ht="24" customHeight="1">
      <c r="A185" s="1712"/>
      <c r="B185" s="1673" t="s">
        <v>139</v>
      </c>
      <c r="C185" s="1674" t="s">
        <v>89</v>
      </c>
      <c r="D185" s="1675">
        <v>2704.8</v>
      </c>
      <c r="E185" s="1676" t="s">
        <v>87</v>
      </c>
      <c r="F185" s="1677">
        <v>21.4</v>
      </c>
      <c r="G185" s="1677">
        <v>3.6</v>
      </c>
      <c r="H185" s="1669">
        <f t="shared" si="27"/>
        <v>57882.720000000001</v>
      </c>
      <c r="I185" s="1678">
        <f t="shared" si="28"/>
        <v>9737.2800000000007</v>
      </c>
      <c r="J185" s="1669">
        <f t="shared" si="29"/>
        <v>67620</v>
      </c>
      <c r="K185" s="1708"/>
      <c r="L185" s="1721"/>
      <c r="M185" s="1710" t="s">
        <v>1016</v>
      </c>
      <c r="N185" s="1711" t="s">
        <v>659</v>
      </c>
    </row>
    <row r="186" spans="1:14" ht="24" customHeight="1">
      <c r="A186" s="1712"/>
      <c r="B186" s="1673" t="s">
        <v>139</v>
      </c>
      <c r="C186" s="1674" t="s">
        <v>200</v>
      </c>
      <c r="D186" s="1675">
        <f>SUM(D185)*0.03</f>
        <v>81.144000000000005</v>
      </c>
      <c r="E186" s="1676" t="s">
        <v>87</v>
      </c>
      <c r="F186" s="1677">
        <v>25.83</v>
      </c>
      <c r="G186" s="1677">
        <v>0</v>
      </c>
      <c r="H186" s="1669">
        <f t="shared" si="27"/>
        <v>2095.9495200000001</v>
      </c>
      <c r="I186" s="1678">
        <f t="shared" si="28"/>
        <v>0</v>
      </c>
      <c r="J186" s="1669">
        <f t="shared" si="29"/>
        <v>2095.9495200000001</v>
      </c>
      <c r="K186" s="1708"/>
      <c r="L186" s="1721"/>
      <c r="M186" s="1710" t="s">
        <v>1019</v>
      </c>
      <c r="N186" s="1711"/>
    </row>
    <row r="187" spans="1:14" ht="24" customHeight="1">
      <c r="A187" s="1702"/>
      <c r="B187" s="2369" t="s">
        <v>1183</v>
      </c>
      <c r="C187" s="2369"/>
      <c r="D187" s="1705"/>
      <c r="E187" s="1706"/>
      <c r="F187" s="1707"/>
      <c r="G187" s="1707"/>
      <c r="H187" s="1707"/>
      <c r="I187" s="1754"/>
      <c r="J187" s="1707"/>
      <c r="K187" s="1709"/>
      <c r="L187" s="1721"/>
      <c r="M187" s="1711"/>
      <c r="N187" s="1711"/>
    </row>
    <row r="188" spans="1:14" s="1735" customFormat="1" ht="24" customHeight="1">
      <c r="A188" s="1712"/>
      <c r="B188" s="2368" t="s">
        <v>1180</v>
      </c>
      <c r="C188" s="2368"/>
      <c r="D188" s="1675"/>
      <c r="E188" s="1676"/>
      <c r="F188" s="1669"/>
      <c r="G188" s="1669"/>
      <c r="H188" s="1669"/>
      <c r="I188" s="1678"/>
      <c r="J188" s="1669"/>
      <c r="K188" s="1708"/>
      <c r="L188" s="1721"/>
      <c r="M188" s="1711"/>
      <c r="N188" s="1711"/>
    </row>
    <row r="189" spans="1:14" ht="24" customHeight="1">
      <c r="A189" s="1664"/>
      <c r="B189" s="1665" t="s">
        <v>139</v>
      </c>
      <c r="C189" s="1666" t="s">
        <v>228</v>
      </c>
      <c r="D189" s="1667">
        <v>9.5</v>
      </c>
      <c r="E189" s="1668" t="s">
        <v>85</v>
      </c>
      <c r="F189" s="1670">
        <v>2679.9</v>
      </c>
      <c r="G189" s="1670">
        <v>419</v>
      </c>
      <c r="H189" s="1670">
        <f>F189*D189</f>
        <v>25459.05</v>
      </c>
      <c r="I189" s="1669">
        <f>G189*D189</f>
        <v>3980.5</v>
      </c>
      <c r="J189" s="1669">
        <f>SUM(H189:I189)</f>
        <v>29439.55</v>
      </c>
      <c r="K189" s="1708"/>
      <c r="L189" s="1721"/>
      <c r="M189" s="1710" t="s">
        <v>1016</v>
      </c>
      <c r="N189" s="1711" t="s">
        <v>659</v>
      </c>
    </row>
    <row r="190" spans="1:14" ht="24" customHeight="1">
      <c r="A190" s="1664"/>
      <c r="B190" s="1755" t="s">
        <v>1181</v>
      </c>
      <c r="C190" s="1666"/>
      <c r="D190" s="1667">
        <v>61.4</v>
      </c>
      <c r="E190" s="1668"/>
      <c r="F190" s="1670"/>
      <c r="G190" s="1670"/>
      <c r="H190" s="1670"/>
      <c r="I190" s="1669"/>
      <c r="J190" s="1669"/>
      <c r="K190" s="1708"/>
      <c r="L190" s="1721"/>
      <c r="M190" s="1710"/>
      <c r="N190" s="1711"/>
    </row>
    <row r="191" spans="1:14" ht="24" customHeight="1">
      <c r="A191" s="1712"/>
      <c r="B191" s="1673" t="s">
        <v>139</v>
      </c>
      <c r="C191" s="1674" t="s">
        <v>1784</v>
      </c>
      <c r="D191" s="1675">
        <f>D190</f>
        <v>61.4</v>
      </c>
      <c r="E191" s="1676" t="s">
        <v>86</v>
      </c>
      <c r="F191" s="1669"/>
      <c r="G191" s="1669">
        <v>121</v>
      </c>
      <c r="H191" s="1669">
        <f>F191*D191</f>
        <v>0</v>
      </c>
      <c r="I191" s="1669">
        <f>G191*D191</f>
        <v>7429.4</v>
      </c>
      <c r="J191" s="1669">
        <f>SUM(H191:I191)</f>
        <v>7429.4</v>
      </c>
      <c r="K191" s="1708"/>
      <c r="L191" s="1721"/>
      <c r="M191" s="1710" t="s">
        <v>1017</v>
      </c>
      <c r="N191" s="1711" t="s">
        <v>659</v>
      </c>
    </row>
    <row r="192" spans="1:14" ht="24" customHeight="1">
      <c r="A192" s="1712"/>
      <c r="B192" s="1673" t="s">
        <v>139</v>
      </c>
      <c r="C192" s="1674" t="s">
        <v>198</v>
      </c>
      <c r="D192" s="1675">
        <f>D190*0.5</f>
        <v>30.7</v>
      </c>
      <c r="E192" s="1676" t="s">
        <v>164</v>
      </c>
      <c r="F192" s="1669">
        <v>400</v>
      </c>
      <c r="G192" s="1669"/>
      <c r="H192" s="1669">
        <f>F192*D192</f>
        <v>12280</v>
      </c>
      <c r="I192" s="1669">
        <f>G192*D192</f>
        <v>0</v>
      </c>
      <c r="J192" s="1669">
        <f>SUM(H192:I192)</f>
        <v>12280</v>
      </c>
      <c r="K192" s="1708"/>
      <c r="L192" s="1721"/>
      <c r="M192" s="1710" t="s">
        <v>1018</v>
      </c>
      <c r="N192" s="1711"/>
    </row>
    <row r="193" spans="1:14" ht="24" customHeight="1">
      <c r="A193" s="1712"/>
      <c r="B193" s="1673" t="s">
        <v>139</v>
      </c>
      <c r="C193" s="1674" t="s">
        <v>1782</v>
      </c>
      <c r="D193" s="1675">
        <f>D192*0.3</f>
        <v>9.2099999999999991</v>
      </c>
      <c r="E193" s="1676" t="s">
        <v>164</v>
      </c>
      <c r="F193" s="1669">
        <v>400</v>
      </c>
      <c r="G193" s="1669">
        <v>0</v>
      </c>
      <c r="H193" s="1669">
        <f>F193*D193</f>
        <v>3683.9999999999995</v>
      </c>
      <c r="I193" s="1669">
        <f>G193*D193</f>
        <v>0</v>
      </c>
      <c r="J193" s="1669">
        <f>SUM(H193:I193)</f>
        <v>3683.9999999999995</v>
      </c>
      <c r="K193" s="1708"/>
      <c r="L193" s="1721"/>
      <c r="M193" s="1710" t="s">
        <v>1018</v>
      </c>
      <c r="N193" s="1711"/>
    </row>
    <row r="194" spans="1:14" ht="24" customHeight="1">
      <c r="A194" s="1712"/>
      <c r="B194" s="1673" t="s">
        <v>139</v>
      </c>
      <c r="C194" s="1674" t="s">
        <v>1781</v>
      </c>
      <c r="D194" s="1675">
        <f>D190*0.25</f>
        <v>15.35</v>
      </c>
      <c r="E194" s="1676" t="s">
        <v>87</v>
      </c>
      <c r="F194" s="1736">
        <v>23.89</v>
      </c>
      <c r="G194" s="1736">
        <v>0</v>
      </c>
      <c r="H194" s="1669">
        <f>F194*D194</f>
        <v>366.7115</v>
      </c>
      <c r="I194" s="1669">
        <f>G194*D194</f>
        <v>0</v>
      </c>
      <c r="J194" s="1669">
        <f>SUM(H194:I194)</f>
        <v>366.7115</v>
      </c>
      <c r="K194" s="1708"/>
      <c r="L194" s="1721"/>
      <c r="M194" s="1710" t="s">
        <v>660</v>
      </c>
      <c r="N194" s="1711"/>
    </row>
    <row r="195" spans="1:14" ht="24" customHeight="1">
      <c r="A195" s="1780"/>
      <c r="B195" s="1780"/>
      <c r="C195" s="1827" t="s">
        <v>133</v>
      </c>
      <c r="D195" s="2365"/>
      <c r="E195" s="2365"/>
      <c r="F195" s="2365"/>
      <c r="G195" s="2365"/>
      <c r="H195" s="2365"/>
      <c r="I195" s="2365"/>
      <c r="J195" s="2365"/>
      <c r="K195" s="2365"/>
      <c r="L195" s="1721"/>
      <c r="M195" s="1710"/>
      <c r="N195" s="1711"/>
    </row>
    <row r="196" spans="1:14" ht="24" customHeight="1">
      <c r="A196" s="1780"/>
      <c r="B196" s="2366" t="s">
        <v>1769</v>
      </c>
      <c r="C196" s="2366"/>
      <c r="D196" s="1828"/>
      <c r="E196" s="1769"/>
      <c r="F196" s="1828"/>
      <c r="G196" s="1828" t="s">
        <v>134</v>
      </c>
      <c r="H196" s="1828"/>
      <c r="I196" s="1828"/>
      <c r="J196" s="1828"/>
      <c r="K196" s="1828"/>
      <c r="L196" s="1721"/>
      <c r="M196" s="1710"/>
      <c r="N196" s="1711"/>
    </row>
    <row r="197" spans="1:14" ht="24" customHeight="1">
      <c r="A197" s="1780"/>
      <c r="B197" s="2367" t="s">
        <v>1970</v>
      </c>
      <c r="C197" s="2367"/>
      <c r="D197" s="1831"/>
      <c r="E197" s="1832"/>
      <c r="F197" s="1833"/>
      <c r="G197" s="1833" t="s">
        <v>1971</v>
      </c>
      <c r="H197" s="1833"/>
      <c r="I197" s="1833"/>
      <c r="J197" s="1833"/>
      <c r="K197" s="1833"/>
      <c r="L197" s="1721"/>
      <c r="M197" s="1710"/>
      <c r="N197" s="1711"/>
    </row>
    <row r="198" spans="1:14" ht="24" customHeight="1">
      <c r="A198" s="1830"/>
      <c r="B198" s="1828" t="s">
        <v>2031</v>
      </c>
      <c r="C198" s="1830"/>
      <c r="D198" s="1830"/>
      <c r="E198" s="1830"/>
      <c r="F198" s="1830"/>
      <c r="G198" s="1828" t="s">
        <v>2031</v>
      </c>
      <c r="H198" s="1830"/>
      <c r="I198" s="1830"/>
      <c r="J198" s="1830"/>
      <c r="K198" s="1830"/>
      <c r="L198" s="1721"/>
      <c r="M198" s="1710"/>
      <c r="N198" s="1711"/>
    </row>
    <row r="199" spans="1:14" ht="24" customHeight="1">
      <c r="B199" s="1721" t="s">
        <v>1984</v>
      </c>
      <c r="C199" s="1830"/>
      <c r="D199" s="1685"/>
      <c r="E199" s="1685"/>
      <c r="G199" s="1721" t="s">
        <v>1985</v>
      </c>
      <c r="H199" s="1685"/>
      <c r="I199" s="1685"/>
      <c r="J199" s="1685"/>
      <c r="K199" s="1685"/>
      <c r="L199" s="1721"/>
      <c r="M199" s="1710"/>
      <c r="N199" s="1711"/>
    </row>
    <row r="200" spans="1:14" ht="24" customHeight="1">
      <c r="B200" s="1828" t="s">
        <v>670</v>
      </c>
      <c r="L200" s="1721"/>
      <c r="M200" s="1710"/>
      <c r="N200" s="1711"/>
    </row>
    <row r="201" spans="1:14" ht="24" customHeight="1">
      <c r="B201" s="1721" t="s">
        <v>1972</v>
      </c>
      <c r="L201" s="1721"/>
      <c r="M201" s="1710"/>
      <c r="N201" s="1711"/>
    </row>
    <row r="202" spans="1:14" ht="24" customHeight="1">
      <c r="A202" s="1664"/>
      <c r="B202" s="2371" t="s">
        <v>1182</v>
      </c>
      <c r="C202" s="2371"/>
      <c r="D202" s="1667"/>
      <c r="E202" s="1668"/>
      <c r="F202" s="1670"/>
      <c r="G202" s="1670"/>
      <c r="H202" s="1670"/>
      <c r="I202" s="1670"/>
      <c r="J202" s="1670"/>
      <c r="K202" s="1746"/>
      <c r="L202" s="1721"/>
      <c r="M202" s="1711"/>
      <c r="N202" s="1711"/>
    </row>
    <row r="203" spans="1:14" ht="24" customHeight="1">
      <c r="A203" s="1712"/>
      <c r="B203" s="1673" t="s">
        <v>139</v>
      </c>
      <c r="C203" s="1674" t="s">
        <v>89</v>
      </c>
      <c r="D203" s="1675">
        <v>1805.7</v>
      </c>
      <c r="E203" s="1676" t="s">
        <v>87</v>
      </c>
      <c r="F203" s="1677">
        <v>21.4</v>
      </c>
      <c r="G203" s="1677">
        <v>3.6</v>
      </c>
      <c r="H203" s="1669">
        <f>F203*D203</f>
        <v>38641.979999999996</v>
      </c>
      <c r="I203" s="1669">
        <f>G203*D203</f>
        <v>6500.52</v>
      </c>
      <c r="J203" s="1669">
        <f>SUM(H203:I203)</f>
        <v>45142.5</v>
      </c>
      <c r="K203" s="1708"/>
      <c r="L203" s="1721"/>
      <c r="M203" s="1710" t="s">
        <v>1016</v>
      </c>
      <c r="N203" s="1711" t="s">
        <v>659</v>
      </c>
    </row>
    <row r="204" spans="1:14" ht="24" customHeight="1">
      <c r="A204" s="1712"/>
      <c r="B204" s="1673" t="s">
        <v>139</v>
      </c>
      <c r="C204" s="1674" t="s">
        <v>200</v>
      </c>
      <c r="D204" s="1675">
        <f>SUM(D203)*0.03</f>
        <v>54.170999999999999</v>
      </c>
      <c r="E204" s="1676" t="s">
        <v>87</v>
      </c>
      <c r="F204" s="1677">
        <v>25.83</v>
      </c>
      <c r="G204" s="1677">
        <v>0</v>
      </c>
      <c r="H204" s="1669">
        <f>F204*D204</f>
        <v>1399.2369299999998</v>
      </c>
      <c r="I204" s="1669">
        <f>G204*D204</f>
        <v>0</v>
      </c>
      <c r="J204" s="1669">
        <f>SUM(H204:I204)</f>
        <v>1399.2369299999998</v>
      </c>
      <c r="K204" s="1708"/>
      <c r="L204" s="1721"/>
      <c r="M204" s="1710" t="s">
        <v>1019</v>
      </c>
      <c r="N204" s="1711"/>
    </row>
    <row r="205" spans="1:14" ht="24" customHeight="1">
      <c r="A205" s="1712"/>
      <c r="B205" s="2368" t="s">
        <v>247</v>
      </c>
      <c r="C205" s="2368"/>
      <c r="D205" s="1675"/>
      <c r="E205" s="1676"/>
      <c r="F205" s="1669"/>
      <c r="G205" s="1669"/>
      <c r="H205" s="1669"/>
      <c r="I205" s="1669"/>
      <c r="J205" s="1669"/>
      <c r="K205" s="1708"/>
      <c r="L205" s="1721"/>
      <c r="M205" s="1711"/>
      <c r="N205" s="1711"/>
    </row>
    <row r="206" spans="1:14" ht="24" customHeight="1">
      <c r="A206" s="1712"/>
      <c r="B206" s="2368" t="s">
        <v>415</v>
      </c>
      <c r="C206" s="2368"/>
      <c r="D206" s="1675"/>
      <c r="E206" s="1676"/>
      <c r="F206" s="1669"/>
      <c r="G206" s="1669"/>
      <c r="H206" s="1669"/>
      <c r="I206" s="1669"/>
      <c r="J206" s="1669"/>
      <c r="K206" s="1708"/>
      <c r="L206" s="1721"/>
      <c r="M206" s="1711"/>
      <c r="N206" s="1711"/>
    </row>
    <row r="207" spans="1:14" ht="24" customHeight="1">
      <c r="A207" s="1702"/>
      <c r="B207" s="1703" t="s">
        <v>139</v>
      </c>
      <c r="C207" s="1743" t="s">
        <v>228</v>
      </c>
      <c r="D207" s="1705">
        <v>68.900000000000006</v>
      </c>
      <c r="E207" s="1706" t="s">
        <v>85</v>
      </c>
      <c r="F207" s="1742">
        <v>2679.9</v>
      </c>
      <c r="G207" s="1742">
        <v>519</v>
      </c>
      <c r="H207" s="1707">
        <f t="shared" ref="H207:H212" si="30">F207*D207</f>
        <v>184645.11000000002</v>
      </c>
      <c r="I207" s="1707">
        <f t="shared" ref="I207:I212" si="31">G207*D207</f>
        <v>35759.100000000006</v>
      </c>
      <c r="J207" s="1707">
        <f t="shared" ref="J207:J212" si="32">SUM(H207:I207)</f>
        <v>220404.21000000002</v>
      </c>
      <c r="K207" s="1709"/>
      <c r="L207" s="1721"/>
      <c r="M207" s="1710" t="s">
        <v>1016</v>
      </c>
      <c r="N207" s="1711" t="s">
        <v>659</v>
      </c>
    </row>
    <row r="208" spans="1:14" ht="24" customHeight="1">
      <c r="A208" s="1712"/>
      <c r="B208" s="2368" t="s">
        <v>226</v>
      </c>
      <c r="C208" s="2368"/>
      <c r="D208" s="1675">
        <v>378.4</v>
      </c>
      <c r="E208" s="1676"/>
      <c r="F208" s="1736"/>
      <c r="G208" s="1736"/>
      <c r="H208" s="1669"/>
      <c r="I208" s="1669"/>
      <c r="J208" s="1669"/>
      <c r="K208" s="1708"/>
      <c r="L208" s="1721"/>
      <c r="M208" s="1711"/>
      <c r="N208" s="1711"/>
    </row>
    <row r="209" spans="1:14" ht="24" customHeight="1">
      <c r="A209" s="1712"/>
      <c r="B209" s="1673" t="s">
        <v>139</v>
      </c>
      <c r="C209" s="1674" t="s">
        <v>1784</v>
      </c>
      <c r="D209" s="1675">
        <f>D208</f>
        <v>378.4</v>
      </c>
      <c r="E209" s="1676" t="s">
        <v>86</v>
      </c>
      <c r="F209" s="1736">
        <v>0</v>
      </c>
      <c r="G209" s="1669">
        <v>121</v>
      </c>
      <c r="H209" s="1669">
        <f t="shared" si="30"/>
        <v>0</v>
      </c>
      <c r="I209" s="1669">
        <f t="shared" si="31"/>
        <v>45786.399999999994</v>
      </c>
      <c r="J209" s="1669">
        <f t="shared" si="32"/>
        <v>45786.399999999994</v>
      </c>
      <c r="K209" s="1708"/>
      <c r="L209" s="1721"/>
      <c r="M209" s="1710" t="s">
        <v>1017</v>
      </c>
      <c r="N209" s="1711" t="s">
        <v>659</v>
      </c>
    </row>
    <row r="210" spans="1:14" ht="24" customHeight="1">
      <c r="A210" s="1664"/>
      <c r="B210" s="1665" t="s">
        <v>139</v>
      </c>
      <c r="C210" s="1666" t="s">
        <v>198</v>
      </c>
      <c r="D210" s="1667">
        <f>D208*0.5</f>
        <v>189.2</v>
      </c>
      <c r="E210" s="1668" t="s">
        <v>164</v>
      </c>
      <c r="F210" s="1745">
        <v>400</v>
      </c>
      <c r="G210" s="1745">
        <v>0</v>
      </c>
      <c r="H210" s="1670">
        <f t="shared" si="30"/>
        <v>75680</v>
      </c>
      <c r="I210" s="1670">
        <f t="shared" si="31"/>
        <v>0</v>
      </c>
      <c r="J210" s="1670">
        <f t="shared" si="32"/>
        <v>75680</v>
      </c>
      <c r="K210" s="1746"/>
      <c r="L210" s="1721"/>
      <c r="M210" s="1710" t="s">
        <v>1018</v>
      </c>
      <c r="N210" s="1711"/>
    </row>
    <row r="211" spans="1:14" ht="24" customHeight="1">
      <c r="A211" s="1712"/>
      <c r="B211" s="1673" t="s">
        <v>139</v>
      </c>
      <c r="C211" s="1674" t="s">
        <v>1782</v>
      </c>
      <c r="D211" s="1675">
        <f>D210*0.3</f>
        <v>56.76</v>
      </c>
      <c r="E211" s="1676" t="s">
        <v>164</v>
      </c>
      <c r="F211" s="1736">
        <v>400</v>
      </c>
      <c r="G211" s="1736">
        <v>0</v>
      </c>
      <c r="H211" s="1669">
        <f t="shared" si="30"/>
        <v>22704</v>
      </c>
      <c r="I211" s="1669">
        <f t="shared" si="31"/>
        <v>0</v>
      </c>
      <c r="J211" s="1669">
        <f t="shared" si="32"/>
        <v>22704</v>
      </c>
      <c r="K211" s="1708"/>
      <c r="L211" s="1721"/>
      <c r="M211" s="1710" t="s">
        <v>1018</v>
      </c>
      <c r="N211" s="1685"/>
    </row>
    <row r="212" spans="1:14" ht="24" customHeight="1">
      <c r="A212" s="1712"/>
      <c r="B212" s="1673" t="s">
        <v>139</v>
      </c>
      <c r="C212" s="1674" t="s">
        <v>1781</v>
      </c>
      <c r="D212" s="1675">
        <f>D208*0.25</f>
        <v>94.6</v>
      </c>
      <c r="E212" s="1676" t="s">
        <v>87</v>
      </c>
      <c r="F212" s="1736">
        <v>23.89</v>
      </c>
      <c r="G212" s="1736">
        <v>0</v>
      </c>
      <c r="H212" s="1669">
        <f t="shared" si="30"/>
        <v>2259.9940000000001</v>
      </c>
      <c r="I212" s="1669">
        <f t="shared" si="31"/>
        <v>0</v>
      </c>
      <c r="J212" s="1669">
        <f t="shared" si="32"/>
        <v>2259.9940000000001</v>
      </c>
      <c r="K212" s="1708"/>
      <c r="L212" s="1721"/>
      <c r="M212" s="1710" t="s">
        <v>660</v>
      </c>
      <c r="N212" s="1685"/>
    </row>
    <row r="213" spans="1:14" ht="24" customHeight="1">
      <c r="A213" s="1702"/>
      <c r="B213" s="2369" t="s">
        <v>248</v>
      </c>
      <c r="C213" s="2369"/>
      <c r="D213" s="1705"/>
      <c r="E213" s="1706"/>
      <c r="F213" s="1707"/>
      <c r="G213" s="1707"/>
      <c r="H213" s="1707"/>
      <c r="I213" s="1707"/>
      <c r="J213" s="1707"/>
      <c r="K213" s="1709"/>
      <c r="L213" s="1721"/>
      <c r="M213" s="1711"/>
      <c r="N213" s="1711"/>
    </row>
    <row r="214" spans="1:14" ht="24" customHeight="1">
      <c r="A214" s="1664"/>
      <c r="B214" s="1665" t="s">
        <v>139</v>
      </c>
      <c r="C214" s="1666" t="s">
        <v>88</v>
      </c>
      <c r="D214" s="1667">
        <v>2428.5</v>
      </c>
      <c r="E214" s="1668" t="s">
        <v>87</v>
      </c>
      <c r="F214" s="1744">
        <v>21.4</v>
      </c>
      <c r="G214" s="1744">
        <v>4.4000000000000004</v>
      </c>
      <c r="H214" s="1670">
        <f>F214*D214</f>
        <v>51969.899999999994</v>
      </c>
      <c r="I214" s="1670">
        <f>G214*D214</f>
        <v>10685.400000000001</v>
      </c>
      <c r="J214" s="1670">
        <f>SUM(H214:I214)</f>
        <v>62655.299999999996</v>
      </c>
      <c r="K214" s="1746"/>
      <c r="L214" s="1721"/>
      <c r="M214" s="1710" t="s">
        <v>1016</v>
      </c>
      <c r="N214" s="1711" t="s">
        <v>659</v>
      </c>
    </row>
    <row r="215" spans="1:14" s="1685" customFormat="1" ht="24" customHeight="1">
      <c r="A215" s="1712"/>
      <c r="B215" s="1673" t="s">
        <v>139</v>
      </c>
      <c r="C215" s="1674" t="s">
        <v>1014</v>
      </c>
      <c r="D215" s="1675">
        <v>11630.1</v>
      </c>
      <c r="E215" s="1676" t="s">
        <v>87</v>
      </c>
      <c r="F215" s="1677">
        <v>21.2</v>
      </c>
      <c r="G215" s="1677">
        <v>3.1</v>
      </c>
      <c r="H215" s="1669">
        <f>F215*D215</f>
        <v>246558.12</v>
      </c>
      <c r="I215" s="1669">
        <f>G215*D215</f>
        <v>36053.310000000005</v>
      </c>
      <c r="J215" s="1669">
        <f>SUM(H215:I215)</f>
        <v>282611.43</v>
      </c>
      <c r="K215" s="1708"/>
      <c r="L215" s="1721"/>
      <c r="M215" s="1710" t="s">
        <v>1016</v>
      </c>
      <c r="N215" s="1711" t="s">
        <v>659</v>
      </c>
    </row>
    <row r="216" spans="1:14" ht="24" customHeight="1">
      <c r="A216" s="1712"/>
      <c r="B216" s="1673" t="s">
        <v>139</v>
      </c>
      <c r="C216" s="1674" t="s">
        <v>200</v>
      </c>
      <c r="D216" s="1675">
        <f>SUM(D214:D215)*0.03</f>
        <v>421.75799999999998</v>
      </c>
      <c r="E216" s="1676" t="s">
        <v>87</v>
      </c>
      <c r="F216" s="1677">
        <v>25.83</v>
      </c>
      <c r="G216" s="1677">
        <v>0</v>
      </c>
      <c r="H216" s="1669">
        <f>F216*D216</f>
        <v>10894.009139999998</v>
      </c>
      <c r="I216" s="1669">
        <f>G216*D216</f>
        <v>0</v>
      </c>
      <c r="J216" s="1669">
        <f>SUM(H216:I216)</f>
        <v>10894.009139999998</v>
      </c>
      <c r="K216" s="1708"/>
      <c r="L216" s="1721"/>
      <c r="M216" s="1710" t="s">
        <v>1019</v>
      </c>
      <c r="N216" s="1711"/>
    </row>
    <row r="217" spans="1:14" ht="24" customHeight="1">
      <c r="A217" s="1712"/>
      <c r="B217" s="2368" t="s">
        <v>250</v>
      </c>
      <c r="C217" s="2368"/>
      <c r="D217" s="1675"/>
      <c r="E217" s="1676"/>
      <c r="F217" s="1669"/>
      <c r="G217" s="1669"/>
      <c r="H217" s="1669"/>
      <c r="I217" s="1669"/>
      <c r="J217" s="1669"/>
      <c r="K217" s="1708"/>
      <c r="L217" s="1721"/>
      <c r="M217" s="1711"/>
      <c r="N217" s="1711"/>
    </row>
    <row r="218" spans="1:14" ht="24" customHeight="1">
      <c r="A218" s="1702"/>
      <c r="B218" s="2369" t="s">
        <v>422</v>
      </c>
      <c r="C218" s="2369"/>
      <c r="D218" s="1705"/>
      <c r="E218" s="1706"/>
      <c r="F218" s="1707"/>
      <c r="G218" s="1707"/>
      <c r="H218" s="1707"/>
      <c r="I218" s="1707"/>
      <c r="J218" s="1707"/>
      <c r="K218" s="1709"/>
      <c r="L218" s="1721"/>
      <c r="M218" s="1711"/>
      <c r="N218" s="1711"/>
    </row>
    <row r="219" spans="1:14" ht="24" customHeight="1">
      <c r="A219" s="1664"/>
      <c r="B219" s="1665" t="s">
        <v>139</v>
      </c>
      <c r="C219" s="1666" t="s">
        <v>228</v>
      </c>
      <c r="D219" s="1667">
        <v>123.2</v>
      </c>
      <c r="E219" s="1668" t="s">
        <v>85</v>
      </c>
      <c r="F219" s="1744">
        <v>2679.9</v>
      </c>
      <c r="G219" s="1744">
        <v>519</v>
      </c>
      <c r="H219" s="1670">
        <f t="shared" ref="H219:H231" si="33">F219*D219</f>
        <v>330163.68</v>
      </c>
      <c r="I219" s="1670">
        <f t="shared" ref="I219:I231" si="34">G219*D219</f>
        <v>63940.800000000003</v>
      </c>
      <c r="J219" s="1670">
        <f t="shared" ref="J219:J231" si="35">SUM(H219:I219)</f>
        <v>394104.48</v>
      </c>
      <c r="K219" s="1746"/>
      <c r="L219" s="1721"/>
      <c r="M219" s="1710" t="s">
        <v>1016</v>
      </c>
      <c r="N219" s="1711" t="s">
        <v>659</v>
      </c>
    </row>
    <row r="220" spans="1:14" ht="24" customHeight="1">
      <c r="A220" s="1664"/>
      <c r="B220" s="1755" t="s">
        <v>227</v>
      </c>
      <c r="C220" s="1666"/>
      <c r="D220" s="1667">
        <v>938.1</v>
      </c>
      <c r="E220" s="1668"/>
      <c r="F220" s="1744"/>
      <c r="G220" s="1744"/>
      <c r="H220" s="1670"/>
      <c r="I220" s="1670"/>
      <c r="J220" s="1670"/>
      <c r="K220" s="1746"/>
      <c r="L220" s="1721"/>
      <c r="M220" s="1710"/>
      <c r="N220" s="1711"/>
    </row>
    <row r="221" spans="1:14" ht="24" customHeight="1">
      <c r="A221" s="1712"/>
      <c r="B221" s="1673" t="s">
        <v>139</v>
      </c>
      <c r="C221" s="1674" t="s">
        <v>1784</v>
      </c>
      <c r="D221" s="1675">
        <f>D220</f>
        <v>938.1</v>
      </c>
      <c r="E221" s="1676" t="s">
        <v>86</v>
      </c>
      <c r="F221" s="1669"/>
      <c r="G221" s="1669">
        <v>121</v>
      </c>
      <c r="H221" s="1669">
        <f t="shared" si="33"/>
        <v>0</v>
      </c>
      <c r="I221" s="1669">
        <f t="shared" si="34"/>
        <v>113510.1</v>
      </c>
      <c r="J221" s="1669">
        <f t="shared" si="35"/>
        <v>113510.1</v>
      </c>
      <c r="K221" s="1708"/>
      <c r="L221" s="1721"/>
      <c r="M221" s="1710" t="s">
        <v>1017</v>
      </c>
      <c r="N221" s="1711" t="s">
        <v>659</v>
      </c>
    </row>
    <row r="222" spans="1:14" ht="24" customHeight="1">
      <c r="A222" s="1712"/>
      <c r="B222" s="1673" t="s">
        <v>139</v>
      </c>
      <c r="C222" s="1674" t="s">
        <v>198</v>
      </c>
      <c r="D222" s="1675">
        <f>D220*0.5</f>
        <v>469.05</v>
      </c>
      <c r="E222" s="1676" t="s">
        <v>164</v>
      </c>
      <c r="F222" s="1669">
        <v>400</v>
      </c>
      <c r="G222" s="1669"/>
      <c r="H222" s="1669">
        <f t="shared" si="33"/>
        <v>187620</v>
      </c>
      <c r="I222" s="1669">
        <f t="shared" si="34"/>
        <v>0</v>
      </c>
      <c r="J222" s="1669">
        <f t="shared" si="35"/>
        <v>187620</v>
      </c>
      <c r="K222" s="1708"/>
      <c r="L222" s="1721"/>
      <c r="M222" s="1710" t="s">
        <v>1018</v>
      </c>
      <c r="N222" s="1711"/>
    </row>
    <row r="223" spans="1:14" ht="24" customHeight="1">
      <c r="A223" s="1712"/>
      <c r="B223" s="1673" t="s">
        <v>139</v>
      </c>
      <c r="C223" s="1674" t="s">
        <v>1782</v>
      </c>
      <c r="D223" s="1675">
        <f>D222*0.3</f>
        <v>140.715</v>
      </c>
      <c r="E223" s="1676" t="s">
        <v>164</v>
      </c>
      <c r="F223" s="1669">
        <v>400</v>
      </c>
      <c r="G223" s="1669">
        <v>0</v>
      </c>
      <c r="H223" s="1669">
        <f t="shared" si="33"/>
        <v>56286</v>
      </c>
      <c r="I223" s="1669">
        <f t="shared" si="34"/>
        <v>0</v>
      </c>
      <c r="J223" s="1669">
        <f t="shared" si="35"/>
        <v>56286</v>
      </c>
      <c r="K223" s="1708"/>
      <c r="L223" s="1721"/>
      <c r="M223" s="1710" t="s">
        <v>1018</v>
      </c>
      <c r="N223" s="1711"/>
    </row>
    <row r="224" spans="1:14" ht="24" customHeight="1">
      <c r="A224" s="1712"/>
      <c r="B224" s="1673" t="s">
        <v>139</v>
      </c>
      <c r="C224" s="1674" t="s">
        <v>1781</v>
      </c>
      <c r="D224" s="1675">
        <f>D220*0.25</f>
        <v>234.52500000000001</v>
      </c>
      <c r="E224" s="1676" t="s">
        <v>87</v>
      </c>
      <c r="F224" s="1736">
        <v>23.89</v>
      </c>
      <c r="G224" s="1736">
        <v>0</v>
      </c>
      <c r="H224" s="1669">
        <f t="shared" si="33"/>
        <v>5602.8022500000006</v>
      </c>
      <c r="I224" s="1669">
        <f t="shared" si="34"/>
        <v>0</v>
      </c>
      <c r="J224" s="1669">
        <f t="shared" si="35"/>
        <v>5602.8022500000006</v>
      </c>
      <c r="K224" s="1708"/>
      <c r="L224" s="1721"/>
      <c r="M224" s="1710" t="s">
        <v>660</v>
      </c>
      <c r="N224" s="1711"/>
    </row>
    <row r="225" spans="1:14" ht="24" customHeight="1">
      <c r="A225" s="1702"/>
      <c r="B225" s="2369" t="s">
        <v>251</v>
      </c>
      <c r="C225" s="2369"/>
      <c r="D225" s="1705"/>
      <c r="E225" s="1706"/>
      <c r="F225" s="1707"/>
      <c r="G225" s="1707"/>
      <c r="H225" s="1707"/>
      <c r="I225" s="1707"/>
      <c r="J225" s="1707"/>
      <c r="K225" s="1709"/>
      <c r="L225" s="1721"/>
      <c r="M225" s="1711"/>
      <c r="N225" s="1711"/>
    </row>
    <row r="226" spans="1:14" ht="24" customHeight="1">
      <c r="A226" s="1712"/>
      <c r="B226" s="1673" t="s">
        <v>139</v>
      </c>
      <c r="C226" s="1674" t="s">
        <v>88</v>
      </c>
      <c r="D226" s="1675">
        <v>2407.6</v>
      </c>
      <c r="E226" s="1676" t="s">
        <v>87</v>
      </c>
      <c r="F226" s="1677">
        <v>21.4</v>
      </c>
      <c r="G226" s="1677">
        <v>4.4000000000000004</v>
      </c>
      <c r="H226" s="1669">
        <f t="shared" si="33"/>
        <v>51522.639999999992</v>
      </c>
      <c r="I226" s="1669">
        <f t="shared" si="34"/>
        <v>10593.44</v>
      </c>
      <c r="J226" s="1669">
        <f t="shared" si="35"/>
        <v>62116.079999999994</v>
      </c>
      <c r="K226" s="1708"/>
      <c r="L226" s="1721"/>
      <c r="M226" s="1710" t="s">
        <v>1016</v>
      </c>
      <c r="N226" s="1711" t="s">
        <v>659</v>
      </c>
    </row>
    <row r="227" spans="1:14" ht="24" customHeight="1">
      <c r="A227" s="1712"/>
      <c r="B227" s="1673" t="s">
        <v>139</v>
      </c>
      <c r="C227" s="1674" t="s">
        <v>89</v>
      </c>
      <c r="D227" s="1675">
        <v>3959.8</v>
      </c>
      <c r="E227" s="1676" t="s">
        <v>87</v>
      </c>
      <c r="F227" s="1677">
        <v>21.4</v>
      </c>
      <c r="G227" s="1677">
        <v>3.6</v>
      </c>
      <c r="H227" s="1669">
        <f t="shared" si="33"/>
        <v>84739.72</v>
      </c>
      <c r="I227" s="1669">
        <f t="shared" si="34"/>
        <v>14255.28</v>
      </c>
      <c r="J227" s="1669">
        <f t="shared" si="35"/>
        <v>98995</v>
      </c>
      <c r="K227" s="1708"/>
      <c r="L227" s="1721"/>
      <c r="M227" s="1710" t="s">
        <v>1016</v>
      </c>
      <c r="N227" s="1711" t="s">
        <v>659</v>
      </c>
    </row>
    <row r="228" spans="1:14" ht="24" customHeight="1">
      <c r="A228" s="1712"/>
      <c r="B228" s="1673" t="s">
        <v>139</v>
      </c>
      <c r="C228" s="1674" t="s">
        <v>90</v>
      </c>
      <c r="D228" s="1675">
        <v>3445.5</v>
      </c>
      <c r="E228" s="1676" t="s">
        <v>87</v>
      </c>
      <c r="F228" s="1677">
        <v>21.2</v>
      </c>
      <c r="G228" s="1677">
        <v>3.6</v>
      </c>
      <c r="H228" s="1669">
        <f t="shared" si="33"/>
        <v>73044.599999999991</v>
      </c>
      <c r="I228" s="1669">
        <f t="shared" si="34"/>
        <v>12403.800000000001</v>
      </c>
      <c r="J228" s="1669">
        <f t="shared" si="35"/>
        <v>85448.4</v>
      </c>
      <c r="K228" s="1708"/>
      <c r="L228" s="1721"/>
      <c r="M228" s="1710" t="s">
        <v>1016</v>
      </c>
      <c r="N228" s="1711" t="s">
        <v>659</v>
      </c>
    </row>
    <row r="229" spans="1:14" ht="24" customHeight="1">
      <c r="A229" s="1712"/>
      <c r="B229" s="1673" t="s">
        <v>139</v>
      </c>
      <c r="C229" s="1674" t="s">
        <v>91</v>
      </c>
      <c r="D229" s="1675">
        <v>16993.7</v>
      </c>
      <c r="E229" s="1676" t="s">
        <v>87</v>
      </c>
      <c r="F229" s="1677">
        <v>21.2</v>
      </c>
      <c r="G229" s="1677">
        <v>3.1</v>
      </c>
      <c r="H229" s="1669">
        <f t="shared" si="33"/>
        <v>360266.44</v>
      </c>
      <c r="I229" s="1669">
        <f t="shared" si="34"/>
        <v>52680.47</v>
      </c>
      <c r="J229" s="1669">
        <f t="shared" si="35"/>
        <v>412946.91000000003</v>
      </c>
      <c r="K229" s="1708"/>
      <c r="L229" s="1721"/>
      <c r="M229" s="1710" t="s">
        <v>1016</v>
      </c>
      <c r="N229" s="1711" t="s">
        <v>659</v>
      </c>
    </row>
    <row r="230" spans="1:14" ht="24" customHeight="1">
      <c r="A230" s="1712"/>
      <c r="B230" s="1673" t="s">
        <v>139</v>
      </c>
      <c r="C230" s="1674" t="s">
        <v>92</v>
      </c>
      <c r="D230" s="1675">
        <v>406.9</v>
      </c>
      <c r="E230" s="1676" t="s">
        <v>87</v>
      </c>
      <c r="F230" s="1677">
        <v>21</v>
      </c>
      <c r="G230" s="1677">
        <v>3.1</v>
      </c>
      <c r="H230" s="1669">
        <f t="shared" si="33"/>
        <v>8544.9</v>
      </c>
      <c r="I230" s="1669">
        <f t="shared" si="34"/>
        <v>1261.3899999999999</v>
      </c>
      <c r="J230" s="1669">
        <f t="shared" si="35"/>
        <v>9806.2899999999991</v>
      </c>
      <c r="K230" s="1708"/>
      <c r="L230" s="1721"/>
      <c r="M230" s="1710" t="s">
        <v>1016</v>
      </c>
      <c r="N230" s="1711" t="s">
        <v>659</v>
      </c>
    </row>
    <row r="231" spans="1:14" ht="24" customHeight="1">
      <c r="A231" s="1712"/>
      <c r="B231" s="1673" t="s">
        <v>139</v>
      </c>
      <c r="C231" s="1674" t="s">
        <v>200</v>
      </c>
      <c r="D231" s="1675">
        <f>SUM(D226:D230)*0.03</f>
        <v>816.40499999999997</v>
      </c>
      <c r="E231" s="1676" t="s">
        <v>87</v>
      </c>
      <c r="F231" s="1677">
        <v>25.83</v>
      </c>
      <c r="G231" s="1677">
        <v>0</v>
      </c>
      <c r="H231" s="1669">
        <f t="shared" si="33"/>
        <v>21087.741149999998</v>
      </c>
      <c r="I231" s="1669">
        <f t="shared" si="34"/>
        <v>0</v>
      </c>
      <c r="J231" s="1669">
        <f t="shared" si="35"/>
        <v>21087.741149999998</v>
      </c>
      <c r="K231" s="1708"/>
      <c r="L231" s="1721"/>
      <c r="M231" s="1710" t="s">
        <v>1019</v>
      </c>
      <c r="N231" s="1711"/>
    </row>
    <row r="232" spans="1:14" ht="24" customHeight="1">
      <c r="A232" s="1780"/>
      <c r="B232" s="1780"/>
      <c r="C232" s="1827" t="s">
        <v>133</v>
      </c>
      <c r="D232" s="2365"/>
      <c r="E232" s="2365"/>
      <c r="F232" s="2365"/>
      <c r="G232" s="2365"/>
      <c r="H232" s="2365"/>
      <c r="I232" s="2365"/>
      <c r="J232" s="2365"/>
      <c r="K232" s="2365"/>
      <c r="L232" s="1721"/>
      <c r="M232" s="1710"/>
      <c r="N232" s="1711"/>
    </row>
    <row r="233" spans="1:14" ht="24" customHeight="1">
      <c r="A233" s="1780"/>
      <c r="B233" s="2366" t="s">
        <v>1769</v>
      </c>
      <c r="C233" s="2366"/>
      <c r="D233" s="1828"/>
      <c r="E233" s="1769"/>
      <c r="F233" s="1828"/>
      <c r="G233" s="1828" t="s">
        <v>134</v>
      </c>
      <c r="H233" s="1828"/>
      <c r="I233" s="1828"/>
      <c r="J233" s="1828"/>
      <c r="K233" s="1828"/>
      <c r="L233" s="1721"/>
      <c r="M233" s="1710"/>
      <c r="N233" s="1711"/>
    </row>
    <row r="234" spans="1:14" ht="24" customHeight="1">
      <c r="A234" s="1780"/>
      <c r="B234" s="2367" t="s">
        <v>1970</v>
      </c>
      <c r="C234" s="2367"/>
      <c r="D234" s="1831"/>
      <c r="E234" s="1832"/>
      <c r="F234" s="1833"/>
      <c r="G234" s="1833" t="s">
        <v>1971</v>
      </c>
      <c r="H234" s="1833"/>
      <c r="I234" s="1833"/>
      <c r="J234" s="1833"/>
      <c r="K234" s="1833"/>
      <c r="L234" s="1721"/>
      <c r="M234" s="1710"/>
      <c r="N234" s="1711"/>
    </row>
    <row r="235" spans="1:14" ht="24" customHeight="1">
      <c r="A235" s="1830"/>
      <c r="B235" s="1828" t="s">
        <v>2031</v>
      </c>
      <c r="C235" s="1830"/>
      <c r="D235" s="1830"/>
      <c r="E235" s="1830"/>
      <c r="F235" s="1830"/>
      <c r="G235" s="1828" t="s">
        <v>2031</v>
      </c>
      <c r="H235" s="1830"/>
      <c r="I235" s="1830"/>
      <c r="J235" s="1830"/>
      <c r="K235" s="1830"/>
      <c r="L235" s="1721"/>
      <c r="M235" s="1710"/>
      <c r="N235" s="1711"/>
    </row>
    <row r="236" spans="1:14" ht="24" customHeight="1">
      <c r="B236" s="1721" t="s">
        <v>1984</v>
      </c>
      <c r="C236" s="1830"/>
      <c r="D236" s="1685"/>
      <c r="E236" s="1685"/>
      <c r="G236" s="1721" t="s">
        <v>1985</v>
      </c>
      <c r="H236" s="1685"/>
      <c r="I236" s="1685"/>
      <c r="J236" s="1685"/>
      <c r="K236" s="1685"/>
      <c r="L236" s="1721"/>
      <c r="M236" s="1710"/>
      <c r="N236" s="1711"/>
    </row>
    <row r="237" spans="1:14" ht="24" customHeight="1">
      <c r="B237" s="1828" t="s">
        <v>670</v>
      </c>
      <c r="L237" s="1721"/>
      <c r="M237" s="1710"/>
      <c r="N237" s="1711"/>
    </row>
    <row r="238" spans="1:14" ht="24" customHeight="1">
      <c r="B238" s="1721" t="s">
        <v>1972</v>
      </c>
      <c r="L238" s="1721"/>
      <c r="M238" s="1710"/>
      <c r="N238" s="1711"/>
    </row>
    <row r="239" spans="1:14" ht="24" customHeight="1">
      <c r="A239" s="1702"/>
      <c r="B239" s="2369" t="s">
        <v>249</v>
      </c>
      <c r="C239" s="2369"/>
      <c r="D239" s="1705"/>
      <c r="E239" s="1706"/>
      <c r="F239" s="1707"/>
      <c r="G239" s="1669"/>
      <c r="H239" s="1669"/>
      <c r="I239" s="1669"/>
      <c r="J239" s="1669"/>
      <c r="K239" s="1708"/>
      <c r="L239" s="1721"/>
      <c r="M239" s="1711"/>
      <c r="N239" s="1711"/>
    </row>
    <row r="240" spans="1:14" ht="24" customHeight="1">
      <c r="A240" s="1712"/>
      <c r="B240" s="2368" t="s">
        <v>394</v>
      </c>
      <c r="C240" s="2368"/>
      <c r="D240" s="1675"/>
      <c r="E240" s="1676"/>
      <c r="F240" s="1669"/>
      <c r="G240" s="1669"/>
      <c r="H240" s="1669"/>
      <c r="I240" s="1669"/>
      <c r="J240" s="1669"/>
      <c r="K240" s="1708"/>
      <c r="L240" s="1721"/>
      <c r="M240" s="1711"/>
      <c r="N240" s="1711"/>
    </row>
    <row r="241" spans="1:14" ht="24" customHeight="1">
      <c r="A241" s="1712"/>
      <c r="B241" s="2368" t="s">
        <v>416</v>
      </c>
      <c r="C241" s="2368"/>
      <c r="D241" s="1675"/>
      <c r="E241" s="1676"/>
      <c r="F241" s="1669"/>
      <c r="G241" s="1669"/>
      <c r="H241" s="1669"/>
      <c r="I241" s="1669"/>
      <c r="J241" s="1669"/>
      <c r="K241" s="1708"/>
      <c r="L241" s="1721"/>
      <c r="M241" s="1711"/>
      <c r="N241" s="1711"/>
    </row>
    <row r="242" spans="1:14" ht="24" customHeight="1">
      <c r="A242" s="1664"/>
      <c r="B242" s="1665" t="s">
        <v>139</v>
      </c>
      <c r="C242" s="1666" t="s">
        <v>228</v>
      </c>
      <c r="D242" s="1667">
        <v>3.5</v>
      </c>
      <c r="E242" s="1668" t="s">
        <v>85</v>
      </c>
      <c r="F242" s="1745">
        <v>2679.9</v>
      </c>
      <c r="G242" s="1745">
        <v>519</v>
      </c>
      <c r="H242" s="1670">
        <f t="shared" ref="H242:H253" si="36">F242*D242</f>
        <v>9379.65</v>
      </c>
      <c r="I242" s="1670">
        <f t="shared" ref="I242:I253" si="37">G242*D242</f>
        <v>1816.5</v>
      </c>
      <c r="J242" s="1670">
        <f t="shared" ref="J242:J248" si="38">SUM(H242:I242)</f>
        <v>11196.15</v>
      </c>
      <c r="K242" s="1746"/>
      <c r="L242" s="1721"/>
      <c r="M242" s="1710" t="s">
        <v>1016</v>
      </c>
      <c r="N242" s="1711" t="s">
        <v>664</v>
      </c>
    </row>
    <row r="243" spans="1:14" ht="24" customHeight="1">
      <c r="A243" s="1712"/>
      <c r="B243" s="2368" t="s">
        <v>418</v>
      </c>
      <c r="C243" s="2368"/>
      <c r="D243" s="1675">
        <v>22.5</v>
      </c>
      <c r="E243" s="1676"/>
      <c r="F243" s="1669"/>
      <c r="G243" s="1669"/>
      <c r="H243" s="1669"/>
      <c r="I243" s="1669"/>
      <c r="J243" s="1669"/>
      <c r="K243" s="1708"/>
      <c r="L243" s="1721"/>
      <c r="M243" s="1711"/>
      <c r="N243" s="1711"/>
    </row>
    <row r="244" spans="1:14" ht="24" customHeight="1">
      <c r="A244" s="1712"/>
      <c r="B244" s="1673" t="s">
        <v>139</v>
      </c>
      <c r="C244" s="1674" t="s">
        <v>1784</v>
      </c>
      <c r="D244" s="1675">
        <f>D243</f>
        <v>22.5</v>
      </c>
      <c r="E244" s="1676" t="s">
        <v>86</v>
      </c>
      <c r="F244" s="1669"/>
      <c r="G244" s="1669">
        <v>121</v>
      </c>
      <c r="H244" s="1669">
        <f t="shared" si="36"/>
        <v>0</v>
      </c>
      <c r="I244" s="1669">
        <f t="shared" si="37"/>
        <v>2722.5</v>
      </c>
      <c r="J244" s="1669">
        <f t="shared" si="38"/>
        <v>2722.5</v>
      </c>
      <c r="K244" s="1708"/>
      <c r="L244" s="1721"/>
      <c r="M244" s="1710" t="s">
        <v>1017</v>
      </c>
      <c r="N244" s="1711" t="s">
        <v>664</v>
      </c>
    </row>
    <row r="245" spans="1:14" ht="24" customHeight="1">
      <c r="A245" s="1712"/>
      <c r="B245" s="1673" t="s">
        <v>139</v>
      </c>
      <c r="C245" s="1674" t="s">
        <v>198</v>
      </c>
      <c r="D245" s="1675">
        <f>D243*0.5</f>
        <v>11.25</v>
      </c>
      <c r="E245" s="1676" t="s">
        <v>164</v>
      </c>
      <c r="F245" s="1669">
        <v>400</v>
      </c>
      <c r="G245" s="1669"/>
      <c r="H245" s="1669">
        <f t="shared" si="36"/>
        <v>4500</v>
      </c>
      <c r="I245" s="1669">
        <f t="shared" si="37"/>
        <v>0</v>
      </c>
      <c r="J245" s="1669">
        <f t="shared" si="38"/>
        <v>4500</v>
      </c>
      <c r="K245" s="1708"/>
      <c r="L245" s="1721"/>
      <c r="M245" s="1710" t="s">
        <v>1018</v>
      </c>
      <c r="N245" s="1711"/>
    </row>
    <row r="246" spans="1:14" ht="24" customHeight="1">
      <c r="A246" s="1712"/>
      <c r="B246" s="1673" t="s">
        <v>139</v>
      </c>
      <c r="C246" s="1674" t="s">
        <v>1782</v>
      </c>
      <c r="D246" s="1675">
        <f>D245*0.3</f>
        <v>3.375</v>
      </c>
      <c r="E246" s="1676" t="s">
        <v>164</v>
      </c>
      <c r="F246" s="1669">
        <v>400</v>
      </c>
      <c r="G246" s="1669">
        <v>0</v>
      </c>
      <c r="H246" s="1669">
        <f t="shared" si="36"/>
        <v>1350</v>
      </c>
      <c r="I246" s="1669">
        <f t="shared" si="37"/>
        <v>0</v>
      </c>
      <c r="J246" s="1669">
        <f t="shared" si="38"/>
        <v>1350</v>
      </c>
      <c r="K246" s="1708"/>
      <c r="L246" s="1721"/>
      <c r="M246" s="1710" t="s">
        <v>1018</v>
      </c>
      <c r="N246" s="1711"/>
    </row>
    <row r="247" spans="1:14" ht="24" customHeight="1">
      <c r="A247" s="1702"/>
      <c r="B247" s="1703" t="s">
        <v>139</v>
      </c>
      <c r="C247" s="1743" t="s">
        <v>163</v>
      </c>
      <c r="D247" s="1705">
        <f>D243</f>
        <v>22.5</v>
      </c>
      <c r="E247" s="1706" t="s">
        <v>83</v>
      </c>
      <c r="F247" s="1707">
        <v>28</v>
      </c>
      <c r="G247" s="1707">
        <v>0</v>
      </c>
      <c r="H247" s="1707">
        <f t="shared" si="36"/>
        <v>630</v>
      </c>
      <c r="I247" s="1707">
        <f t="shared" si="37"/>
        <v>0</v>
      </c>
      <c r="J247" s="1707">
        <f t="shared" si="38"/>
        <v>630</v>
      </c>
      <c r="K247" s="1709"/>
      <c r="L247" s="1721"/>
      <c r="M247" s="1710" t="s">
        <v>1018</v>
      </c>
      <c r="N247" s="1711"/>
    </row>
    <row r="248" spans="1:14" ht="24" customHeight="1">
      <c r="A248" s="1712"/>
      <c r="B248" s="1673" t="s">
        <v>139</v>
      </c>
      <c r="C248" s="1674" t="s">
        <v>1781</v>
      </c>
      <c r="D248" s="1675">
        <f>D243*0.25</f>
        <v>5.625</v>
      </c>
      <c r="E248" s="1676" t="s">
        <v>87</v>
      </c>
      <c r="F248" s="1736">
        <v>23.89</v>
      </c>
      <c r="G248" s="1736">
        <v>0</v>
      </c>
      <c r="H248" s="1669">
        <f t="shared" si="36"/>
        <v>134.38124999999999</v>
      </c>
      <c r="I248" s="1669">
        <f t="shared" si="37"/>
        <v>0</v>
      </c>
      <c r="J248" s="1669">
        <f t="shared" si="38"/>
        <v>134.38124999999999</v>
      </c>
      <c r="K248" s="1708"/>
      <c r="L248" s="1721"/>
      <c r="M248" s="1710" t="s">
        <v>660</v>
      </c>
      <c r="N248" s="1711"/>
    </row>
    <row r="249" spans="1:14" ht="24" customHeight="1">
      <c r="A249" s="1712"/>
      <c r="B249" s="2368" t="s">
        <v>417</v>
      </c>
      <c r="C249" s="2368"/>
      <c r="D249" s="1675"/>
      <c r="E249" s="1676"/>
      <c r="F249" s="1669"/>
      <c r="G249" s="1669"/>
      <c r="H249" s="1669"/>
      <c r="I249" s="1669"/>
      <c r="J249" s="1669"/>
      <c r="K249" s="1708"/>
      <c r="L249" s="1721"/>
      <c r="M249" s="1711"/>
      <c r="N249" s="1711"/>
    </row>
    <row r="250" spans="1:14" ht="24" customHeight="1">
      <c r="A250" s="1712"/>
      <c r="B250" s="1673" t="s">
        <v>139</v>
      </c>
      <c r="C250" s="1674" t="s">
        <v>88</v>
      </c>
      <c r="D250" s="1675">
        <v>167.52</v>
      </c>
      <c r="E250" s="1676" t="s">
        <v>87</v>
      </c>
      <c r="F250" s="1669">
        <v>21.4</v>
      </c>
      <c r="G250" s="1669">
        <v>4.4000000000000004</v>
      </c>
      <c r="H250" s="1669">
        <f t="shared" si="36"/>
        <v>3584.9279999999999</v>
      </c>
      <c r="I250" s="1669">
        <f t="shared" si="37"/>
        <v>737.08800000000008</v>
      </c>
      <c r="J250" s="1669">
        <f>SUM(H250:I250)</f>
        <v>4322.0159999999996</v>
      </c>
      <c r="K250" s="1708"/>
      <c r="L250" s="1721"/>
      <c r="M250" s="1710" t="s">
        <v>1016</v>
      </c>
      <c r="N250" s="1711" t="s">
        <v>659</v>
      </c>
    </row>
    <row r="251" spans="1:14" ht="24" customHeight="1">
      <c r="A251" s="1712"/>
      <c r="B251" s="1673" t="s">
        <v>139</v>
      </c>
      <c r="C251" s="1674" t="s">
        <v>89</v>
      </c>
      <c r="D251" s="1675">
        <v>98.1</v>
      </c>
      <c r="E251" s="1676" t="s">
        <v>87</v>
      </c>
      <c r="F251" s="1669">
        <v>21.4</v>
      </c>
      <c r="G251" s="1669">
        <v>3.6</v>
      </c>
      <c r="H251" s="1669">
        <f t="shared" si="36"/>
        <v>2099.3399999999997</v>
      </c>
      <c r="I251" s="1669">
        <f t="shared" si="37"/>
        <v>353.15999999999997</v>
      </c>
      <c r="J251" s="1669">
        <f>SUM(H251:I251)</f>
        <v>2452.4999999999995</v>
      </c>
      <c r="K251" s="1708"/>
      <c r="L251" s="1721"/>
      <c r="M251" s="1710" t="s">
        <v>1016</v>
      </c>
      <c r="N251" s="1711" t="s">
        <v>659</v>
      </c>
    </row>
    <row r="252" spans="1:14" ht="24" customHeight="1">
      <c r="A252" s="1712"/>
      <c r="B252" s="1665" t="s">
        <v>139</v>
      </c>
      <c r="C252" s="1666" t="s">
        <v>90</v>
      </c>
      <c r="D252" s="1667">
        <v>46.4</v>
      </c>
      <c r="E252" s="1668" t="s">
        <v>87</v>
      </c>
      <c r="F252" s="1744">
        <v>21.2</v>
      </c>
      <c r="G252" s="1744">
        <v>3.6</v>
      </c>
      <c r="H252" s="1669">
        <f t="shared" si="36"/>
        <v>983.68</v>
      </c>
      <c r="I252" s="1669">
        <f t="shared" si="37"/>
        <v>167.04</v>
      </c>
      <c r="J252" s="1669">
        <f>SUM(H252:I252)</f>
        <v>1150.72</v>
      </c>
      <c r="K252" s="1708"/>
      <c r="L252" s="1721"/>
      <c r="M252" s="1710" t="s">
        <v>1016</v>
      </c>
      <c r="N252" s="1711" t="s">
        <v>659</v>
      </c>
    </row>
    <row r="253" spans="1:14" s="1685" customFormat="1" ht="24" customHeight="1">
      <c r="A253" s="1672"/>
      <c r="B253" s="1673" t="s">
        <v>139</v>
      </c>
      <c r="C253" s="1674" t="s">
        <v>200</v>
      </c>
      <c r="D253" s="1675">
        <f>SUM(D250:D252)*0.03</f>
        <v>9.3605999999999998</v>
      </c>
      <c r="E253" s="1676" t="s">
        <v>87</v>
      </c>
      <c r="F253" s="1677">
        <v>25.83</v>
      </c>
      <c r="G253" s="1677">
        <v>0</v>
      </c>
      <c r="H253" s="1678">
        <f t="shared" si="36"/>
        <v>241.78429799999998</v>
      </c>
      <c r="I253" s="1669">
        <f t="shared" si="37"/>
        <v>0</v>
      </c>
      <c r="J253" s="1669">
        <f>SUM(H253:I253)</f>
        <v>241.78429799999998</v>
      </c>
      <c r="K253" s="1708"/>
      <c r="L253" s="1721"/>
      <c r="M253" s="1710" t="s">
        <v>1019</v>
      </c>
      <c r="N253" s="1711"/>
    </row>
    <row r="254" spans="1:14" s="1685" customFormat="1" ht="24" customHeight="1">
      <c r="A254" s="1672"/>
      <c r="B254" s="2368" t="s">
        <v>395</v>
      </c>
      <c r="C254" s="2368"/>
      <c r="D254" s="1675"/>
      <c r="E254" s="1676"/>
      <c r="F254" s="1669"/>
      <c r="G254" s="1669"/>
      <c r="H254" s="1678"/>
      <c r="I254" s="1669"/>
      <c r="J254" s="1669"/>
      <c r="K254" s="1708"/>
      <c r="L254" s="1721"/>
      <c r="M254" s="1711"/>
      <c r="N254" s="1711"/>
    </row>
    <row r="255" spans="1:14" s="1685" customFormat="1" ht="24" customHeight="1">
      <c r="A255" s="1672"/>
      <c r="B255" s="2368" t="s">
        <v>420</v>
      </c>
      <c r="C255" s="2368"/>
      <c r="D255" s="1675"/>
      <c r="E255" s="1676"/>
      <c r="F255" s="1669"/>
      <c r="G255" s="1669"/>
      <c r="H255" s="1678"/>
      <c r="I255" s="1669"/>
      <c r="J255" s="1669"/>
      <c r="K255" s="1708"/>
      <c r="L255" s="1721"/>
      <c r="M255" s="1711"/>
      <c r="N255" s="1711"/>
    </row>
    <row r="256" spans="1:14" ht="24" customHeight="1">
      <c r="A256" s="1712"/>
      <c r="B256" s="1703" t="s">
        <v>139</v>
      </c>
      <c r="C256" s="1743" t="s">
        <v>228</v>
      </c>
      <c r="D256" s="1705">
        <v>5.5</v>
      </c>
      <c r="E256" s="1706" t="s">
        <v>85</v>
      </c>
      <c r="F256" s="1742">
        <v>2679.9</v>
      </c>
      <c r="G256" s="1742">
        <v>519</v>
      </c>
      <c r="H256" s="1669">
        <f t="shared" ref="H256:H274" si="39">F256*D256</f>
        <v>14739.45</v>
      </c>
      <c r="I256" s="1669">
        <f t="shared" ref="I256:I274" si="40">G256*D256</f>
        <v>2854.5</v>
      </c>
      <c r="J256" s="1669">
        <f t="shared" ref="J256:J262" si="41">SUM(H256:I256)</f>
        <v>17593.95</v>
      </c>
      <c r="K256" s="1708"/>
      <c r="L256" s="1721"/>
      <c r="M256" s="1710" t="s">
        <v>1016</v>
      </c>
      <c r="N256" s="1711" t="s">
        <v>664</v>
      </c>
    </row>
    <row r="257" spans="1:14" ht="24" customHeight="1">
      <c r="A257" s="1712"/>
      <c r="B257" s="2368" t="s">
        <v>421</v>
      </c>
      <c r="C257" s="2368"/>
      <c r="D257" s="1675">
        <v>28.6</v>
      </c>
      <c r="E257" s="1676"/>
      <c r="F257" s="1669"/>
      <c r="G257" s="1669"/>
      <c r="H257" s="1669"/>
      <c r="I257" s="1669"/>
      <c r="J257" s="1669"/>
      <c r="K257" s="1708"/>
      <c r="L257" s="1721"/>
      <c r="M257" s="1711"/>
      <c r="N257" s="1711"/>
    </row>
    <row r="258" spans="1:14" ht="24" customHeight="1">
      <c r="A258" s="1712"/>
      <c r="B258" s="1673" t="s">
        <v>139</v>
      </c>
      <c r="C258" s="1674" t="s">
        <v>1784</v>
      </c>
      <c r="D258" s="1675">
        <f>D257</f>
        <v>28.6</v>
      </c>
      <c r="E258" s="1676" t="s">
        <v>86</v>
      </c>
      <c r="F258" s="1669"/>
      <c r="G258" s="1669">
        <v>121</v>
      </c>
      <c r="H258" s="1669">
        <f t="shared" si="39"/>
        <v>0</v>
      </c>
      <c r="I258" s="1669">
        <f t="shared" si="40"/>
        <v>3460.6000000000004</v>
      </c>
      <c r="J258" s="1669">
        <f t="shared" si="41"/>
        <v>3460.6000000000004</v>
      </c>
      <c r="K258" s="1708"/>
      <c r="L258" s="1721"/>
      <c r="M258" s="1710" t="s">
        <v>1017</v>
      </c>
      <c r="N258" s="1711" t="s">
        <v>664</v>
      </c>
    </row>
    <row r="259" spans="1:14" ht="24" customHeight="1">
      <c r="A259" s="1712"/>
      <c r="B259" s="1673" t="s">
        <v>139</v>
      </c>
      <c r="C259" s="1674" t="s">
        <v>198</v>
      </c>
      <c r="D259" s="1675">
        <f>D257*0.5</f>
        <v>14.3</v>
      </c>
      <c r="E259" s="1676" t="s">
        <v>164</v>
      </c>
      <c r="F259" s="1669">
        <v>400</v>
      </c>
      <c r="G259" s="1669"/>
      <c r="H259" s="1669">
        <f t="shared" si="39"/>
        <v>5720</v>
      </c>
      <c r="I259" s="1669">
        <f t="shared" si="40"/>
        <v>0</v>
      </c>
      <c r="J259" s="1669">
        <f t="shared" si="41"/>
        <v>5720</v>
      </c>
      <c r="K259" s="1708"/>
      <c r="L259" s="1721"/>
      <c r="M259" s="1710" t="s">
        <v>1018</v>
      </c>
      <c r="N259" s="1711"/>
    </row>
    <row r="260" spans="1:14" ht="24" customHeight="1">
      <c r="A260" s="1712"/>
      <c r="B260" s="1673" t="s">
        <v>139</v>
      </c>
      <c r="C260" s="1674" t="s">
        <v>1782</v>
      </c>
      <c r="D260" s="1675">
        <f>D259*0.3</f>
        <v>4.29</v>
      </c>
      <c r="E260" s="1676" t="s">
        <v>164</v>
      </c>
      <c r="F260" s="1669">
        <v>400</v>
      </c>
      <c r="G260" s="1669">
        <v>0</v>
      </c>
      <c r="H260" s="1669">
        <f t="shared" si="39"/>
        <v>1716</v>
      </c>
      <c r="I260" s="1669">
        <f t="shared" si="40"/>
        <v>0</v>
      </c>
      <c r="J260" s="1669">
        <f t="shared" si="41"/>
        <v>1716</v>
      </c>
      <c r="K260" s="1708"/>
      <c r="L260" s="1721"/>
      <c r="M260" s="1710" t="s">
        <v>1018</v>
      </c>
      <c r="N260" s="1711"/>
    </row>
    <row r="261" spans="1:14" ht="24" customHeight="1">
      <c r="A261" s="1712"/>
      <c r="B261" s="1673" t="s">
        <v>139</v>
      </c>
      <c r="C261" s="1674" t="s">
        <v>163</v>
      </c>
      <c r="D261" s="1675">
        <f>D257</f>
        <v>28.6</v>
      </c>
      <c r="E261" s="1676" t="s">
        <v>83</v>
      </c>
      <c r="F261" s="1669">
        <v>28</v>
      </c>
      <c r="G261" s="1669">
        <v>0</v>
      </c>
      <c r="H261" s="1669">
        <f t="shared" si="39"/>
        <v>800.80000000000007</v>
      </c>
      <c r="I261" s="1669">
        <f t="shared" si="40"/>
        <v>0</v>
      </c>
      <c r="J261" s="1669">
        <f t="shared" si="41"/>
        <v>800.80000000000007</v>
      </c>
      <c r="K261" s="1708"/>
      <c r="L261" s="1721"/>
      <c r="M261" s="1710" t="s">
        <v>1018</v>
      </c>
      <c r="N261" s="1711"/>
    </row>
    <row r="262" spans="1:14" ht="24" customHeight="1">
      <c r="A262" s="1712"/>
      <c r="B262" s="1673" t="s">
        <v>139</v>
      </c>
      <c r="C262" s="1674" t="s">
        <v>1781</v>
      </c>
      <c r="D262" s="1675">
        <f>D257*0.25</f>
        <v>7.15</v>
      </c>
      <c r="E262" s="1676" t="s">
        <v>87</v>
      </c>
      <c r="F262" s="1736">
        <v>23.89</v>
      </c>
      <c r="G262" s="1736">
        <v>0</v>
      </c>
      <c r="H262" s="1669">
        <f t="shared" si="39"/>
        <v>170.8135</v>
      </c>
      <c r="I262" s="1669">
        <f t="shared" si="40"/>
        <v>0</v>
      </c>
      <c r="J262" s="1669">
        <f t="shared" si="41"/>
        <v>170.8135</v>
      </c>
      <c r="K262" s="1708"/>
      <c r="L262" s="1721"/>
      <c r="M262" s="1710" t="s">
        <v>660</v>
      </c>
      <c r="N262" s="1711"/>
    </row>
    <row r="263" spans="1:14" ht="24" customHeight="1">
      <c r="A263" s="1702"/>
      <c r="B263" s="2369" t="s">
        <v>419</v>
      </c>
      <c r="C263" s="2369"/>
      <c r="D263" s="1705"/>
      <c r="E263" s="1706"/>
      <c r="F263" s="1707"/>
      <c r="G263" s="1707"/>
      <c r="H263" s="1707"/>
      <c r="I263" s="1707"/>
      <c r="J263" s="1707"/>
      <c r="K263" s="1709"/>
      <c r="L263" s="1721"/>
      <c r="M263" s="1711"/>
      <c r="N263" s="1711"/>
    </row>
    <row r="264" spans="1:14" ht="24" customHeight="1">
      <c r="A264" s="1780"/>
      <c r="B264" s="1780"/>
      <c r="C264" s="1827" t="s">
        <v>133</v>
      </c>
      <c r="D264" s="2365"/>
      <c r="E264" s="2365"/>
      <c r="F264" s="2365"/>
      <c r="G264" s="2365"/>
      <c r="H264" s="2365"/>
      <c r="I264" s="2365"/>
      <c r="J264" s="2365"/>
      <c r="K264" s="2365"/>
      <c r="L264" s="1721"/>
      <c r="M264" s="1711"/>
      <c r="N264" s="1711"/>
    </row>
    <row r="265" spans="1:14" ht="24" customHeight="1">
      <c r="A265" s="1780"/>
      <c r="B265" s="2366" t="s">
        <v>1769</v>
      </c>
      <c r="C265" s="2366"/>
      <c r="D265" s="1828"/>
      <c r="E265" s="1769"/>
      <c r="F265" s="1828"/>
      <c r="G265" s="1828" t="s">
        <v>134</v>
      </c>
      <c r="H265" s="1828"/>
      <c r="I265" s="1828"/>
      <c r="J265" s="1828"/>
      <c r="K265" s="1828"/>
      <c r="L265" s="1721"/>
      <c r="M265" s="1711"/>
      <c r="N265" s="1711"/>
    </row>
    <row r="266" spans="1:14" ht="24" customHeight="1">
      <c r="A266" s="1780"/>
      <c r="B266" s="2367" t="s">
        <v>1970</v>
      </c>
      <c r="C266" s="2367"/>
      <c r="D266" s="1831"/>
      <c r="E266" s="1832"/>
      <c r="F266" s="1833"/>
      <c r="G266" s="1833" t="s">
        <v>1971</v>
      </c>
      <c r="H266" s="1833"/>
      <c r="I266" s="1833"/>
      <c r="J266" s="1833"/>
      <c r="K266" s="1833"/>
      <c r="L266" s="1721"/>
      <c r="M266" s="1711"/>
      <c r="N266" s="1711"/>
    </row>
    <row r="267" spans="1:14" ht="24" customHeight="1">
      <c r="A267" s="1830"/>
      <c r="B267" s="1828" t="s">
        <v>2031</v>
      </c>
      <c r="C267" s="1830"/>
      <c r="D267" s="1830"/>
      <c r="E267" s="1830"/>
      <c r="F267" s="1830"/>
      <c r="G267" s="1828" t="s">
        <v>2031</v>
      </c>
      <c r="H267" s="1830"/>
      <c r="I267" s="1830"/>
      <c r="J267" s="1830"/>
      <c r="K267" s="1830"/>
      <c r="L267" s="1721"/>
      <c r="M267" s="1711"/>
      <c r="N267" s="1711"/>
    </row>
    <row r="268" spans="1:14" ht="24" customHeight="1">
      <c r="B268" s="1721" t="s">
        <v>1984</v>
      </c>
      <c r="C268" s="1830"/>
      <c r="D268" s="1685"/>
      <c r="E268" s="1685"/>
      <c r="G268" s="1721" t="s">
        <v>1985</v>
      </c>
      <c r="H268" s="1685"/>
      <c r="I268" s="1685"/>
      <c r="J268" s="1685"/>
      <c r="K268" s="1685"/>
      <c r="L268" s="1721"/>
      <c r="M268" s="1711"/>
      <c r="N268" s="1711"/>
    </row>
    <row r="269" spans="1:14" ht="24" customHeight="1">
      <c r="B269" s="1828" t="s">
        <v>670</v>
      </c>
      <c r="L269" s="1721"/>
      <c r="M269" s="1711"/>
      <c r="N269" s="1711"/>
    </row>
    <row r="270" spans="1:14" ht="24" customHeight="1">
      <c r="B270" s="1721" t="s">
        <v>1972</v>
      </c>
      <c r="L270" s="1721"/>
      <c r="M270" s="1711"/>
      <c r="N270" s="1711"/>
    </row>
    <row r="271" spans="1:14" ht="24" customHeight="1">
      <c r="A271" s="1712"/>
      <c r="B271" s="1673" t="s">
        <v>139</v>
      </c>
      <c r="C271" s="1674" t="s">
        <v>88</v>
      </c>
      <c r="D271" s="1675">
        <v>240.6</v>
      </c>
      <c r="E271" s="1676" t="s">
        <v>87</v>
      </c>
      <c r="F271" s="1677">
        <v>21.4</v>
      </c>
      <c r="G271" s="1677">
        <v>4.4000000000000004</v>
      </c>
      <c r="H271" s="1669">
        <f t="shared" si="39"/>
        <v>5148.8399999999992</v>
      </c>
      <c r="I271" s="1669">
        <f t="shared" si="40"/>
        <v>1058.6400000000001</v>
      </c>
      <c r="J271" s="1669">
        <f>SUM(H271:I271)</f>
        <v>6207.48</v>
      </c>
      <c r="K271" s="1708"/>
      <c r="L271" s="1721"/>
      <c r="M271" s="1710" t="s">
        <v>1016</v>
      </c>
      <c r="N271" s="1711" t="s">
        <v>659</v>
      </c>
    </row>
    <row r="272" spans="1:14" ht="24" customHeight="1">
      <c r="A272" s="1664"/>
      <c r="B272" s="1665" t="s">
        <v>139</v>
      </c>
      <c r="C272" s="1666" t="s">
        <v>89</v>
      </c>
      <c r="D272" s="1667">
        <v>116.5</v>
      </c>
      <c r="E272" s="1668" t="s">
        <v>87</v>
      </c>
      <c r="F272" s="1744">
        <v>21.4</v>
      </c>
      <c r="G272" s="1744">
        <v>3.6</v>
      </c>
      <c r="H272" s="1670">
        <f t="shared" si="39"/>
        <v>2493.1</v>
      </c>
      <c r="I272" s="1670">
        <f t="shared" si="40"/>
        <v>419.40000000000003</v>
      </c>
      <c r="J272" s="1670">
        <f>SUM(H272:I272)</f>
        <v>2912.5</v>
      </c>
      <c r="K272" s="1746"/>
      <c r="L272" s="1721"/>
      <c r="M272" s="1710" t="s">
        <v>1016</v>
      </c>
      <c r="N272" s="1711" t="s">
        <v>659</v>
      </c>
    </row>
    <row r="273" spans="1:14" ht="24" customHeight="1">
      <c r="A273" s="1712"/>
      <c r="B273" s="1673" t="s">
        <v>139</v>
      </c>
      <c r="C273" s="1674" t="s">
        <v>90</v>
      </c>
      <c r="D273" s="1675">
        <v>433.5</v>
      </c>
      <c r="E273" s="1676" t="s">
        <v>87</v>
      </c>
      <c r="F273" s="1677">
        <v>21.2</v>
      </c>
      <c r="G273" s="1677">
        <v>3.6</v>
      </c>
      <c r="H273" s="1669">
        <f t="shared" si="39"/>
        <v>9190.1999999999989</v>
      </c>
      <c r="I273" s="1669">
        <f t="shared" si="40"/>
        <v>1560.6000000000001</v>
      </c>
      <c r="J273" s="1669">
        <f>SUM(H273:I273)</f>
        <v>10750.8</v>
      </c>
      <c r="K273" s="1708"/>
      <c r="L273" s="1721"/>
      <c r="M273" s="1710" t="s">
        <v>1016</v>
      </c>
      <c r="N273" s="1711" t="s">
        <v>659</v>
      </c>
    </row>
    <row r="274" spans="1:14" ht="24" customHeight="1">
      <c r="A274" s="1712"/>
      <c r="B274" s="1673" t="s">
        <v>139</v>
      </c>
      <c r="C274" s="1674" t="s">
        <v>200</v>
      </c>
      <c r="D274" s="1675">
        <f>SUM(D271:D273)*0.03</f>
        <v>23.718</v>
      </c>
      <c r="E274" s="1676" t="s">
        <v>87</v>
      </c>
      <c r="F274" s="1677">
        <v>25.83</v>
      </c>
      <c r="G274" s="1677">
        <v>0</v>
      </c>
      <c r="H274" s="1669">
        <f t="shared" si="39"/>
        <v>612.63594000000001</v>
      </c>
      <c r="I274" s="1669">
        <f t="shared" si="40"/>
        <v>0</v>
      </c>
      <c r="J274" s="1669">
        <f>SUM(H274:I274)</f>
        <v>612.63594000000001</v>
      </c>
      <c r="K274" s="1708"/>
      <c r="L274" s="1721"/>
      <c r="M274" s="1710" t="s">
        <v>1019</v>
      </c>
      <c r="N274" s="1711"/>
    </row>
    <row r="275" spans="1:14" s="1685" customFormat="1" ht="24" customHeight="1">
      <c r="A275" s="1712"/>
      <c r="B275" s="2368" t="s">
        <v>1168</v>
      </c>
      <c r="C275" s="2368"/>
      <c r="D275" s="1675"/>
      <c r="E275" s="1676"/>
      <c r="F275" s="1669"/>
      <c r="G275" s="1669"/>
      <c r="H275" s="1669"/>
      <c r="I275" s="1669"/>
      <c r="J275" s="1669"/>
      <c r="K275" s="1708"/>
      <c r="L275" s="1721"/>
      <c r="M275" s="1711"/>
      <c r="N275" s="1711"/>
    </row>
    <row r="276" spans="1:14" s="1685" customFormat="1" ht="24" customHeight="1">
      <c r="A276" s="1712"/>
      <c r="B276" s="2368" t="s">
        <v>1169</v>
      </c>
      <c r="C276" s="2368"/>
      <c r="D276" s="1675"/>
      <c r="E276" s="1676"/>
      <c r="F276" s="1669"/>
      <c r="G276" s="1669"/>
      <c r="H276" s="1669"/>
      <c r="I276" s="1669"/>
      <c r="J276" s="1669"/>
      <c r="K276" s="1708"/>
      <c r="L276" s="1721"/>
      <c r="M276" s="1711"/>
      <c r="N276" s="1711"/>
    </row>
    <row r="277" spans="1:14" ht="24" customHeight="1">
      <c r="A277" s="1712"/>
      <c r="B277" s="1673" t="s">
        <v>139</v>
      </c>
      <c r="C277" s="1674" t="s">
        <v>228</v>
      </c>
      <c r="D277" s="1675">
        <v>15</v>
      </c>
      <c r="E277" s="1676" t="s">
        <v>85</v>
      </c>
      <c r="F277" s="1736">
        <v>2679.9</v>
      </c>
      <c r="G277" s="1736">
        <v>519</v>
      </c>
      <c r="H277" s="1669">
        <f>F277*D277</f>
        <v>40198.5</v>
      </c>
      <c r="I277" s="1669">
        <f>G277*D277</f>
        <v>7785</v>
      </c>
      <c r="J277" s="1669">
        <f>SUM(H277:I277)</f>
        <v>47983.5</v>
      </c>
      <c r="K277" s="1708"/>
      <c r="L277" s="1721"/>
      <c r="M277" s="1710" t="s">
        <v>1016</v>
      </c>
      <c r="N277" s="1711" t="s">
        <v>664</v>
      </c>
    </row>
    <row r="278" spans="1:14" ht="24" customHeight="1">
      <c r="A278" s="1712"/>
      <c r="B278" s="2368" t="s">
        <v>1170</v>
      </c>
      <c r="C278" s="2368"/>
      <c r="D278" s="1675">
        <v>63.6</v>
      </c>
      <c r="E278" s="1676"/>
      <c r="F278" s="1669"/>
      <c r="G278" s="1669"/>
      <c r="H278" s="1669"/>
      <c r="I278" s="1669"/>
      <c r="J278" s="1669"/>
      <c r="K278" s="1708"/>
      <c r="L278" s="1721"/>
      <c r="M278" s="1711"/>
      <c r="N278" s="1711"/>
    </row>
    <row r="279" spans="1:14" ht="24" customHeight="1">
      <c r="A279" s="1712"/>
      <c r="B279" s="1673" t="s">
        <v>139</v>
      </c>
      <c r="C279" s="1674" t="s">
        <v>1784</v>
      </c>
      <c r="D279" s="1675">
        <f>D278</f>
        <v>63.6</v>
      </c>
      <c r="E279" s="1676" t="s">
        <v>86</v>
      </c>
      <c r="F279" s="1669"/>
      <c r="G279" s="1669">
        <v>121</v>
      </c>
      <c r="H279" s="1669">
        <f>F279*D279</f>
        <v>0</v>
      </c>
      <c r="I279" s="1669">
        <f>G279*D279</f>
        <v>7695.6</v>
      </c>
      <c r="J279" s="1669">
        <f>SUM(H279:I279)</f>
        <v>7695.6</v>
      </c>
      <c r="K279" s="1708"/>
      <c r="L279" s="1721"/>
      <c r="M279" s="1710" t="s">
        <v>1017</v>
      </c>
      <c r="N279" s="1711" t="s">
        <v>664</v>
      </c>
    </row>
    <row r="280" spans="1:14" ht="24" customHeight="1">
      <c r="A280" s="1712"/>
      <c r="B280" s="1673" t="s">
        <v>139</v>
      </c>
      <c r="C280" s="1674" t="s">
        <v>198</v>
      </c>
      <c r="D280" s="1675">
        <f>D278*0.5</f>
        <v>31.8</v>
      </c>
      <c r="E280" s="1676" t="s">
        <v>164</v>
      </c>
      <c r="F280" s="1669">
        <v>400</v>
      </c>
      <c r="G280" s="1669"/>
      <c r="H280" s="1669">
        <f>F280*D280</f>
        <v>12720</v>
      </c>
      <c r="I280" s="1669">
        <f>G280*D280</f>
        <v>0</v>
      </c>
      <c r="J280" s="1669">
        <f>SUM(H280:I280)</f>
        <v>12720</v>
      </c>
      <c r="K280" s="1708"/>
      <c r="L280" s="1721"/>
      <c r="M280" s="1710" t="s">
        <v>1018</v>
      </c>
      <c r="N280" s="1711"/>
    </row>
    <row r="281" spans="1:14" ht="24" customHeight="1">
      <c r="A281" s="1712"/>
      <c r="B281" s="1673" t="s">
        <v>139</v>
      </c>
      <c r="C281" s="1674" t="s">
        <v>1782</v>
      </c>
      <c r="D281" s="1675">
        <f>D280*0.3</f>
        <v>9.5399999999999991</v>
      </c>
      <c r="E281" s="1676" t="s">
        <v>164</v>
      </c>
      <c r="F281" s="1669">
        <v>400</v>
      </c>
      <c r="G281" s="1669">
        <v>0</v>
      </c>
      <c r="H281" s="1669">
        <f>F281*D281</f>
        <v>3815.9999999999995</v>
      </c>
      <c r="I281" s="1669">
        <f>G281*D281</f>
        <v>0</v>
      </c>
      <c r="J281" s="1669">
        <f>SUM(H281:I281)</f>
        <v>3815.9999999999995</v>
      </c>
      <c r="K281" s="1708"/>
      <c r="L281" s="1721"/>
      <c r="M281" s="1710" t="s">
        <v>1018</v>
      </c>
      <c r="N281" s="1711"/>
    </row>
    <row r="282" spans="1:14" ht="24" customHeight="1">
      <c r="A282" s="1712"/>
      <c r="B282" s="1673" t="s">
        <v>139</v>
      </c>
      <c r="C282" s="1674" t="s">
        <v>163</v>
      </c>
      <c r="D282" s="1675">
        <f>D278</f>
        <v>63.6</v>
      </c>
      <c r="E282" s="1676" t="s">
        <v>83</v>
      </c>
      <c r="F282" s="1669">
        <v>28</v>
      </c>
      <c r="G282" s="1669">
        <v>0</v>
      </c>
      <c r="H282" s="1669">
        <f>F282*D282</f>
        <v>1780.8</v>
      </c>
      <c r="I282" s="1669">
        <f>G282*D282</f>
        <v>0</v>
      </c>
      <c r="J282" s="1669">
        <f>SUM(H282:I282)</f>
        <v>1780.8</v>
      </c>
      <c r="K282" s="1708"/>
      <c r="L282" s="1721"/>
      <c r="M282" s="1710" t="s">
        <v>1018</v>
      </c>
      <c r="N282" s="1711"/>
    </row>
    <row r="283" spans="1:14" ht="24" customHeight="1">
      <c r="A283" s="1712"/>
      <c r="B283" s="1673" t="s">
        <v>139</v>
      </c>
      <c r="C283" s="1674" t="s">
        <v>1781</v>
      </c>
      <c r="D283" s="1675">
        <f>D278*0.25</f>
        <v>15.9</v>
      </c>
      <c r="E283" s="1676" t="s">
        <v>87</v>
      </c>
      <c r="F283" s="1736">
        <v>23.89</v>
      </c>
      <c r="G283" s="1736">
        <v>0</v>
      </c>
      <c r="H283" s="1669">
        <f>F283*D283</f>
        <v>379.851</v>
      </c>
      <c r="I283" s="1669">
        <f>G283*D283</f>
        <v>0</v>
      </c>
      <c r="J283" s="1669">
        <f>SUM(H283:I283)</f>
        <v>379.851</v>
      </c>
      <c r="K283" s="1708"/>
      <c r="L283" s="1721"/>
      <c r="M283" s="1710" t="s">
        <v>660</v>
      </c>
      <c r="N283" s="1711"/>
    </row>
    <row r="284" spans="1:14" ht="24" customHeight="1">
      <c r="A284" s="1712"/>
      <c r="B284" s="2368" t="s">
        <v>1171</v>
      </c>
      <c r="C284" s="2368"/>
      <c r="D284" s="1675"/>
      <c r="E284" s="1676"/>
      <c r="F284" s="1669"/>
      <c r="G284" s="1669"/>
      <c r="H284" s="1669"/>
      <c r="I284" s="1669"/>
      <c r="J284" s="1669"/>
      <c r="K284" s="1708"/>
      <c r="L284" s="1721"/>
      <c r="M284" s="1711"/>
      <c r="N284" s="1711"/>
    </row>
    <row r="285" spans="1:14" ht="24" customHeight="1">
      <c r="A285" s="1712"/>
      <c r="B285" s="1673" t="s">
        <v>139</v>
      </c>
      <c r="C285" s="1674" t="s">
        <v>88</v>
      </c>
      <c r="D285" s="1675">
        <v>482.28</v>
      </c>
      <c r="E285" s="1676" t="s">
        <v>87</v>
      </c>
      <c r="F285" s="1677">
        <v>21.4</v>
      </c>
      <c r="G285" s="1677">
        <v>4.4000000000000004</v>
      </c>
      <c r="H285" s="1669">
        <f>F285*D285</f>
        <v>10320.791999999999</v>
      </c>
      <c r="I285" s="1669">
        <f>G285*D285</f>
        <v>2122.0320000000002</v>
      </c>
      <c r="J285" s="1669">
        <f>SUM(H285:I285)</f>
        <v>12442.824000000001</v>
      </c>
      <c r="K285" s="1708"/>
      <c r="L285" s="1721"/>
      <c r="M285" s="1710" t="s">
        <v>1016</v>
      </c>
      <c r="N285" s="1711" t="s">
        <v>659</v>
      </c>
    </row>
    <row r="286" spans="1:14" ht="24" customHeight="1">
      <c r="A286" s="1664"/>
      <c r="B286" s="1665" t="s">
        <v>139</v>
      </c>
      <c r="C286" s="1666" t="s">
        <v>89</v>
      </c>
      <c r="D286" s="1667">
        <v>203</v>
      </c>
      <c r="E286" s="1668" t="s">
        <v>87</v>
      </c>
      <c r="F286" s="1744">
        <v>21.4</v>
      </c>
      <c r="G286" s="1744">
        <v>3.6</v>
      </c>
      <c r="H286" s="1670">
        <f>F286*D286</f>
        <v>4344.2</v>
      </c>
      <c r="I286" s="1670">
        <f>G286*D286</f>
        <v>730.80000000000007</v>
      </c>
      <c r="J286" s="1670">
        <f>SUM(H286:I286)</f>
        <v>5075</v>
      </c>
      <c r="K286" s="1746"/>
      <c r="L286" s="1721"/>
      <c r="M286" s="1710" t="s">
        <v>1016</v>
      </c>
      <c r="N286" s="1711" t="s">
        <v>659</v>
      </c>
    </row>
    <row r="287" spans="1:14" ht="24" customHeight="1">
      <c r="A287" s="1712"/>
      <c r="B287" s="1673" t="s">
        <v>139</v>
      </c>
      <c r="C287" s="1674" t="s">
        <v>90</v>
      </c>
      <c r="D287" s="1675">
        <v>661.9</v>
      </c>
      <c r="E287" s="1676" t="s">
        <v>87</v>
      </c>
      <c r="F287" s="1677">
        <v>21.2</v>
      </c>
      <c r="G287" s="1677">
        <v>3.6</v>
      </c>
      <c r="H287" s="1669">
        <f>F287*D287</f>
        <v>14032.279999999999</v>
      </c>
      <c r="I287" s="1669">
        <f>G287*D287</f>
        <v>2382.84</v>
      </c>
      <c r="J287" s="1669">
        <f>SUM(H287:I287)</f>
        <v>16415.12</v>
      </c>
      <c r="K287" s="1708"/>
      <c r="L287" s="1721"/>
      <c r="M287" s="1710" t="s">
        <v>1016</v>
      </c>
      <c r="N287" s="1711" t="s">
        <v>659</v>
      </c>
    </row>
    <row r="288" spans="1:14" ht="24" customHeight="1">
      <c r="A288" s="1712"/>
      <c r="B288" s="1673" t="s">
        <v>139</v>
      </c>
      <c r="C288" s="1674" t="s">
        <v>200</v>
      </c>
      <c r="D288" s="1675">
        <f>SUM(D285:D287)*0.03</f>
        <v>40.415399999999991</v>
      </c>
      <c r="E288" s="1676" t="s">
        <v>87</v>
      </c>
      <c r="F288" s="1677">
        <v>25.83</v>
      </c>
      <c r="G288" s="1677">
        <v>0</v>
      </c>
      <c r="H288" s="1669">
        <f>F288*D288</f>
        <v>1043.9297819999997</v>
      </c>
      <c r="I288" s="1669">
        <f>G288*D288</f>
        <v>0</v>
      </c>
      <c r="J288" s="1669">
        <f>SUM(H288:I288)</f>
        <v>1043.9297819999997</v>
      </c>
      <c r="K288" s="1708"/>
      <c r="L288" s="1721"/>
      <c r="M288" s="1710" t="s">
        <v>1019</v>
      </c>
      <c r="N288" s="1711"/>
    </row>
    <row r="289" spans="1:14" s="1685" customFormat="1" ht="24" customHeight="1">
      <c r="A289" s="1712"/>
      <c r="B289" s="2368" t="s">
        <v>1172</v>
      </c>
      <c r="C289" s="2368"/>
      <c r="D289" s="1675"/>
      <c r="E289" s="1676"/>
      <c r="F289" s="1669"/>
      <c r="G289" s="1669"/>
      <c r="H289" s="1669"/>
      <c r="I289" s="1669"/>
      <c r="J289" s="1669"/>
      <c r="K289" s="1708"/>
      <c r="L289" s="1721"/>
      <c r="M289" s="1711"/>
      <c r="N289" s="1711"/>
    </row>
    <row r="290" spans="1:14" s="1685" customFormat="1" ht="24" customHeight="1">
      <c r="A290" s="1712"/>
      <c r="B290" s="2368" t="s">
        <v>1173</v>
      </c>
      <c r="C290" s="2368"/>
      <c r="D290" s="1675"/>
      <c r="E290" s="1676"/>
      <c r="F290" s="1669"/>
      <c r="G290" s="1669"/>
      <c r="H290" s="1669"/>
      <c r="I290" s="1669"/>
      <c r="J290" s="1669"/>
      <c r="K290" s="1708"/>
      <c r="L290" s="1721"/>
      <c r="M290" s="1711"/>
      <c r="N290" s="1711"/>
    </row>
    <row r="291" spans="1:14" ht="24" customHeight="1">
      <c r="A291" s="1712"/>
      <c r="B291" s="1673" t="s">
        <v>139</v>
      </c>
      <c r="C291" s="1674" t="s">
        <v>228</v>
      </c>
      <c r="D291" s="1675">
        <v>2.5</v>
      </c>
      <c r="E291" s="1676" t="s">
        <v>85</v>
      </c>
      <c r="F291" s="1736">
        <v>2679.9</v>
      </c>
      <c r="G291" s="1736">
        <v>519</v>
      </c>
      <c r="H291" s="1669">
        <f>F291*D291</f>
        <v>6699.75</v>
      </c>
      <c r="I291" s="1669">
        <f>G291*D291</f>
        <v>1297.5</v>
      </c>
      <c r="J291" s="1669">
        <f>SUM(H291:I291)</f>
        <v>7997.25</v>
      </c>
      <c r="K291" s="1708"/>
      <c r="L291" s="1721"/>
      <c r="M291" s="1710" t="s">
        <v>1016</v>
      </c>
      <c r="N291" s="1711" t="s">
        <v>664</v>
      </c>
    </row>
    <row r="292" spans="1:14" ht="24" customHeight="1">
      <c r="A292" s="1780"/>
      <c r="B292" s="1780"/>
      <c r="C292" s="1827" t="s">
        <v>133</v>
      </c>
      <c r="D292" s="2365"/>
      <c r="E292" s="2365"/>
      <c r="F292" s="2365"/>
      <c r="G292" s="2365"/>
      <c r="H292" s="2365"/>
      <c r="I292" s="2365"/>
      <c r="J292" s="2365"/>
      <c r="K292" s="2365"/>
      <c r="L292" s="1721"/>
      <c r="M292" s="1710"/>
      <c r="N292" s="1711"/>
    </row>
    <row r="293" spans="1:14" ht="24" customHeight="1">
      <c r="A293" s="1780"/>
      <c r="B293" s="2366" t="s">
        <v>1769</v>
      </c>
      <c r="C293" s="2366"/>
      <c r="D293" s="1828"/>
      <c r="E293" s="1769"/>
      <c r="F293" s="1828"/>
      <c r="G293" s="1828" t="s">
        <v>134</v>
      </c>
      <c r="H293" s="1828"/>
      <c r="I293" s="1828"/>
      <c r="J293" s="1828"/>
      <c r="K293" s="1828"/>
      <c r="L293" s="1721"/>
      <c r="M293" s="1710"/>
      <c r="N293" s="1711"/>
    </row>
    <row r="294" spans="1:14" ht="24" customHeight="1">
      <c r="A294" s="1780"/>
      <c r="B294" s="2367" t="s">
        <v>1970</v>
      </c>
      <c r="C294" s="2367"/>
      <c r="D294" s="1831"/>
      <c r="E294" s="1832"/>
      <c r="F294" s="1833"/>
      <c r="G294" s="1833" t="s">
        <v>1971</v>
      </c>
      <c r="H294" s="1833"/>
      <c r="I294" s="1833"/>
      <c r="J294" s="1833"/>
      <c r="K294" s="1833"/>
      <c r="L294" s="1721"/>
      <c r="M294" s="1710"/>
      <c r="N294" s="1711"/>
    </row>
    <row r="295" spans="1:14" ht="24" customHeight="1">
      <c r="A295" s="1830"/>
      <c r="B295" s="1828" t="s">
        <v>2031</v>
      </c>
      <c r="C295" s="1830"/>
      <c r="D295" s="1830"/>
      <c r="E295" s="1830"/>
      <c r="F295" s="1830"/>
      <c r="G295" s="1828" t="s">
        <v>2031</v>
      </c>
      <c r="H295" s="1830"/>
      <c r="I295" s="1830"/>
      <c r="J295" s="1830"/>
      <c r="K295" s="1830"/>
      <c r="L295" s="1721"/>
      <c r="M295" s="1710"/>
      <c r="N295" s="1711"/>
    </row>
    <row r="296" spans="1:14" ht="24" customHeight="1">
      <c r="B296" s="1721" t="s">
        <v>1984</v>
      </c>
      <c r="C296" s="1830"/>
      <c r="D296" s="1685"/>
      <c r="E296" s="1685"/>
      <c r="G296" s="1721" t="s">
        <v>1985</v>
      </c>
      <c r="H296" s="1685"/>
      <c r="I296" s="1685"/>
      <c r="J296" s="1685"/>
      <c r="K296" s="1685"/>
      <c r="L296" s="1721"/>
      <c r="M296" s="1710"/>
      <c r="N296" s="1711"/>
    </row>
    <row r="297" spans="1:14" ht="24" customHeight="1">
      <c r="B297" s="1828" t="s">
        <v>670</v>
      </c>
      <c r="L297" s="1721"/>
      <c r="M297" s="1710"/>
      <c r="N297" s="1711"/>
    </row>
    <row r="298" spans="1:14" ht="24" customHeight="1">
      <c r="B298" s="1721" t="s">
        <v>1972</v>
      </c>
      <c r="L298" s="1721"/>
      <c r="M298" s="1710"/>
      <c r="N298" s="1711"/>
    </row>
    <row r="299" spans="1:14" ht="24" customHeight="1">
      <c r="A299" s="1712"/>
      <c r="B299" s="2368" t="s">
        <v>1174</v>
      </c>
      <c r="C299" s="2368"/>
      <c r="D299" s="1675">
        <v>5.7</v>
      </c>
      <c r="E299" s="1676"/>
      <c r="F299" s="1669"/>
      <c r="G299" s="1669"/>
      <c r="H299" s="1669"/>
      <c r="I299" s="1669"/>
      <c r="J299" s="1669"/>
      <c r="K299" s="1708"/>
      <c r="L299" s="1721"/>
      <c r="M299" s="1711"/>
      <c r="N299" s="1711"/>
    </row>
    <row r="300" spans="1:14" ht="24" customHeight="1">
      <c r="A300" s="1712"/>
      <c r="B300" s="1673" t="s">
        <v>139</v>
      </c>
      <c r="C300" s="1674" t="s">
        <v>1784</v>
      </c>
      <c r="D300" s="1675">
        <f>D299</f>
        <v>5.7</v>
      </c>
      <c r="E300" s="1676" t="s">
        <v>86</v>
      </c>
      <c r="F300" s="1669"/>
      <c r="G300" s="1669">
        <v>121</v>
      </c>
      <c r="H300" s="1669">
        <f>F300*D300</f>
        <v>0</v>
      </c>
      <c r="I300" s="1669">
        <f>G300*D300</f>
        <v>689.7</v>
      </c>
      <c r="J300" s="1669">
        <f>SUM(H300:I300)</f>
        <v>689.7</v>
      </c>
      <c r="K300" s="1708"/>
      <c r="L300" s="1721"/>
      <c r="M300" s="1710" t="s">
        <v>1017</v>
      </c>
      <c r="N300" s="1711" t="s">
        <v>664</v>
      </c>
    </row>
    <row r="301" spans="1:14" ht="24" customHeight="1">
      <c r="A301" s="1712"/>
      <c r="B301" s="1673" t="s">
        <v>139</v>
      </c>
      <c r="C301" s="1674" t="s">
        <v>198</v>
      </c>
      <c r="D301" s="1675">
        <f>D299*0.5</f>
        <v>2.85</v>
      </c>
      <c r="E301" s="1676" t="s">
        <v>164</v>
      </c>
      <c r="F301" s="1669">
        <v>400</v>
      </c>
      <c r="G301" s="1669"/>
      <c r="H301" s="1669">
        <f>F301*D301</f>
        <v>1140</v>
      </c>
      <c r="I301" s="1669">
        <f>G301*D301</f>
        <v>0</v>
      </c>
      <c r="J301" s="1669">
        <f>SUM(H301:I301)</f>
        <v>1140</v>
      </c>
      <c r="K301" s="1708"/>
      <c r="L301" s="1721"/>
      <c r="M301" s="1710" t="s">
        <v>1018</v>
      </c>
      <c r="N301" s="1711"/>
    </row>
    <row r="302" spans="1:14" ht="24" customHeight="1">
      <c r="A302" s="1712"/>
      <c r="B302" s="1673" t="s">
        <v>139</v>
      </c>
      <c r="C302" s="1674" t="s">
        <v>1782</v>
      </c>
      <c r="D302" s="1675">
        <f>D301*0.3</f>
        <v>0.85499999999999998</v>
      </c>
      <c r="E302" s="1676" t="s">
        <v>164</v>
      </c>
      <c r="F302" s="1669">
        <v>400</v>
      </c>
      <c r="G302" s="1669">
        <v>0</v>
      </c>
      <c r="H302" s="1669">
        <f>F302*D302</f>
        <v>342</v>
      </c>
      <c r="I302" s="1669">
        <f>G302*D302</f>
        <v>0</v>
      </c>
      <c r="J302" s="1669">
        <f>SUM(H302:I302)</f>
        <v>342</v>
      </c>
      <c r="K302" s="1708"/>
      <c r="L302" s="1721"/>
      <c r="M302" s="1710" t="s">
        <v>1018</v>
      </c>
      <c r="N302" s="1711"/>
    </row>
    <row r="303" spans="1:14" ht="24" customHeight="1">
      <c r="A303" s="1712"/>
      <c r="B303" s="1673" t="s">
        <v>139</v>
      </c>
      <c r="C303" s="1674" t="s">
        <v>163</v>
      </c>
      <c r="D303" s="1675">
        <f>D299</f>
        <v>5.7</v>
      </c>
      <c r="E303" s="1676" t="s">
        <v>83</v>
      </c>
      <c r="F303" s="1669">
        <v>28</v>
      </c>
      <c r="G303" s="1669">
        <v>0</v>
      </c>
      <c r="H303" s="1669">
        <f>F303*D303</f>
        <v>159.6</v>
      </c>
      <c r="I303" s="1669">
        <f>G303*D303</f>
        <v>0</v>
      </c>
      <c r="J303" s="1669">
        <f>SUM(H303:I303)</f>
        <v>159.6</v>
      </c>
      <c r="K303" s="1708"/>
      <c r="L303" s="1721"/>
      <c r="M303" s="1710" t="s">
        <v>1018</v>
      </c>
      <c r="N303" s="1711"/>
    </row>
    <row r="304" spans="1:14" ht="24" customHeight="1">
      <c r="A304" s="1712"/>
      <c r="B304" s="1673" t="s">
        <v>139</v>
      </c>
      <c r="C304" s="1674" t="s">
        <v>1781</v>
      </c>
      <c r="D304" s="1675">
        <f>D299*0.25</f>
        <v>1.425</v>
      </c>
      <c r="E304" s="1676" t="s">
        <v>87</v>
      </c>
      <c r="F304" s="1736">
        <v>23.89</v>
      </c>
      <c r="G304" s="1736">
        <v>0</v>
      </c>
      <c r="H304" s="1669">
        <f>F304*D304</f>
        <v>34.04325</v>
      </c>
      <c r="I304" s="1669">
        <f>G304*D304</f>
        <v>0</v>
      </c>
      <c r="J304" s="1669">
        <f>SUM(H304:I304)</f>
        <v>34.04325</v>
      </c>
      <c r="K304" s="1708"/>
      <c r="L304" s="1721"/>
      <c r="M304" s="1710" t="s">
        <v>660</v>
      </c>
      <c r="N304" s="1711"/>
    </row>
    <row r="305" spans="1:14" ht="24" customHeight="1">
      <c r="A305" s="1702"/>
      <c r="B305" s="2369" t="s">
        <v>1175</v>
      </c>
      <c r="C305" s="2369"/>
      <c r="D305" s="1705"/>
      <c r="E305" s="1706"/>
      <c r="F305" s="1707"/>
      <c r="G305" s="1707"/>
      <c r="H305" s="1707"/>
      <c r="I305" s="1707"/>
      <c r="J305" s="1707"/>
      <c r="K305" s="1709"/>
      <c r="L305" s="1721"/>
      <c r="M305" s="1711"/>
      <c r="N305" s="1711"/>
    </row>
    <row r="306" spans="1:14" ht="24" customHeight="1">
      <c r="A306" s="1712"/>
      <c r="B306" s="1673" t="s">
        <v>139</v>
      </c>
      <c r="C306" s="1674" t="s">
        <v>88</v>
      </c>
      <c r="D306" s="1675">
        <v>43.08</v>
      </c>
      <c r="E306" s="1676" t="s">
        <v>87</v>
      </c>
      <c r="F306" s="1677">
        <v>21.4</v>
      </c>
      <c r="G306" s="1677">
        <v>4.4000000000000004</v>
      </c>
      <c r="H306" s="1669">
        <f>F306*D306</f>
        <v>921.91199999999992</v>
      </c>
      <c r="I306" s="1669">
        <f>G306*D306</f>
        <v>189.55200000000002</v>
      </c>
      <c r="J306" s="1669">
        <f>SUM(H306:I306)</f>
        <v>1111.4639999999999</v>
      </c>
      <c r="K306" s="1708"/>
      <c r="L306" s="1721"/>
      <c r="M306" s="1710" t="s">
        <v>1016</v>
      </c>
      <c r="N306" s="1711" t="s">
        <v>659</v>
      </c>
    </row>
    <row r="307" spans="1:14" ht="24" customHeight="1">
      <c r="A307" s="1712"/>
      <c r="B307" s="1673" t="s">
        <v>139</v>
      </c>
      <c r="C307" s="1674" t="s">
        <v>89</v>
      </c>
      <c r="D307" s="1675">
        <v>14</v>
      </c>
      <c r="E307" s="1676" t="s">
        <v>87</v>
      </c>
      <c r="F307" s="1677">
        <v>21.4</v>
      </c>
      <c r="G307" s="1677">
        <v>3.6</v>
      </c>
      <c r="H307" s="1669">
        <f>F307*D307</f>
        <v>299.59999999999997</v>
      </c>
      <c r="I307" s="1669">
        <f>G307*D307</f>
        <v>50.4</v>
      </c>
      <c r="J307" s="1669">
        <f>SUM(H307:I307)</f>
        <v>349.99999999999994</v>
      </c>
      <c r="K307" s="1708"/>
      <c r="L307" s="1721"/>
      <c r="M307" s="1710" t="s">
        <v>1016</v>
      </c>
      <c r="N307" s="1711" t="s">
        <v>659</v>
      </c>
    </row>
    <row r="308" spans="1:14" ht="24" customHeight="1">
      <c r="A308" s="1712"/>
      <c r="B308" s="1673" t="s">
        <v>139</v>
      </c>
      <c r="C308" s="1674" t="s">
        <v>90</v>
      </c>
      <c r="D308" s="1675">
        <v>58.9</v>
      </c>
      <c r="E308" s="1676" t="s">
        <v>87</v>
      </c>
      <c r="F308" s="1677">
        <v>21.2</v>
      </c>
      <c r="G308" s="1677">
        <v>3.6</v>
      </c>
      <c r="H308" s="1669">
        <f>F308*D308</f>
        <v>1248.6799999999998</v>
      </c>
      <c r="I308" s="1669">
        <f>G308*D308</f>
        <v>212.04</v>
      </c>
      <c r="J308" s="1669">
        <f>SUM(H308:I308)</f>
        <v>1460.7199999999998</v>
      </c>
      <c r="K308" s="1708"/>
      <c r="L308" s="1721"/>
      <c r="M308" s="1710" t="s">
        <v>1016</v>
      </c>
      <c r="N308" s="1711" t="s">
        <v>659</v>
      </c>
    </row>
    <row r="309" spans="1:14" ht="24" customHeight="1">
      <c r="A309" s="1712"/>
      <c r="B309" s="1673" t="s">
        <v>139</v>
      </c>
      <c r="C309" s="1674" t="s">
        <v>200</v>
      </c>
      <c r="D309" s="1675">
        <f>SUM(D306:D308)*0.03</f>
        <v>3.4793999999999996</v>
      </c>
      <c r="E309" s="1676" t="s">
        <v>87</v>
      </c>
      <c r="F309" s="1677">
        <v>25.83</v>
      </c>
      <c r="G309" s="1677">
        <v>0</v>
      </c>
      <c r="H309" s="1669">
        <f>F309*D309</f>
        <v>89.872901999999982</v>
      </c>
      <c r="I309" s="1669">
        <f>G309*D309</f>
        <v>0</v>
      </c>
      <c r="J309" s="1669">
        <f>SUM(H309:I309)</f>
        <v>89.872901999999982</v>
      </c>
      <c r="K309" s="1708"/>
      <c r="L309" s="1721"/>
      <c r="M309" s="1710" t="s">
        <v>1019</v>
      </c>
      <c r="N309" s="1711"/>
    </row>
    <row r="310" spans="1:14" s="1685" customFormat="1" ht="24" customHeight="1">
      <c r="A310" s="1712"/>
      <c r="B310" s="2368" t="s">
        <v>1176</v>
      </c>
      <c r="C310" s="2368"/>
      <c r="D310" s="1675"/>
      <c r="E310" s="1676"/>
      <c r="F310" s="1669"/>
      <c r="G310" s="1669"/>
      <c r="H310" s="1669"/>
      <c r="I310" s="1669"/>
      <c r="J310" s="1669"/>
      <c r="K310" s="1708"/>
      <c r="L310" s="1721"/>
      <c r="M310" s="1711"/>
      <c r="N310" s="1711"/>
    </row>
    <row r="311" spans="1:14" s="1685" customFormat="1" ht="24" customHeight="1">
      <c r="A311" s="1712"/>
      <c r="B311" s="2368" t="s">
        <v>1177</v>
      </c>
      <c r="C311" s="2368"/>
      <c r="D311" s="1675"/>
      <c r="E311" s="1676"/>
      <c r="F311" s="1669"/>
      <c r="G311" s="1669"/>
      <c r="H311" s="1669"/>
      <c r="I311" s="1669"/>
      <c r="J311" s="1669"/>
      <c r="K311" s="1708"/>
      <c r="L311" s="1721"/>
      <c r="M311" s="1711"/>
      <c r="N311" s="1711"/>
    </row>
    <row r="312" spans="1:14" ht="24" customHeight="1">
      <c r="A312" s="1712"/>
      <c r="B312" s="1673" t="s">
        <v>139</v>
      </c>
      <c r="C312" s="1674" t="s">
        <v>228</v>
      </c>
      <c r="D312" s="1675">
        <v>3.5</v>
      </c>
      <c r="E312" s="1676" t="s">
        <v>85</v>
      </c>
      <c r="F312" s="1677">
        <v>2679.9</v>
      </c>
      <c r="G312" s="1677">
        <v>519</v>
      </c>
      <c r="H312" s="1669">
        <f>F312*D312</f>
        <v>9379.65</v>
      </c>
      <c r="I312" s="1669">
        <f>G312*D312</f>
        <v>1816.5</v>
      </c>
      <c r="J312" s="1669">
        <f>SUM(H312:I312)</f>
        <v>11196.15</v>
      </c>
      <c r="K312" s="1708"/>
      <c r="L312" s="1721"/>
      <c r="M312" s="1710" t="s">
        <v>1016</v>
      </c>
      <c r="N312" s="1711" t="s">
        <v>664</v>
      </c>
    </row>
    <row r="313" spans="1:14" ht="24" customHeight="1">
      <c r="A313" s="1712"/>
      <c r="B313" s="1748" t="s">
        <v>1178</v>
      </c>
      <c r="C313" s="1674"/>
      <c r="D313" s="1675">
        <v>4.5</v>
      </c>
      <c r="E313" s="1676"/>
      <c r="F313" s="1677"/>
      <c r="G313" s="1677"/>
      <c r="H313" s="1669"/>
      <c r="I313" s="1669"/>
      <c r="J313" s="1669"/>
      <c r="K313" s="1708"/>
      <c r="L313" s="1721"/>
      <c r="M313" s="1710"/>
      <c r="N313" s="1711"/>
    </row>
    <row r="314" spans="1:14" ht="24" customHeight="1">
      <c r="A314" s="1712"/>
      <c r="B314" s="1673" t="s">
        <v>139</v>
      </c>
      <c r="C314" s="1674" t="s">
        <v>1784</v>
      </c>
      <c r="D314" s="1675">
        <f>D313</f>
        <v>4.5</v>
      </c>
      <c r="E314" s="1676" t="s">
        <v>86</v>
      </c>
      <c r="F314" s="1669"/>
      <c r="G314" s="1669">
        <v>121</v>
      </c>
      <c r="H314" s="1669">
        <f>F314*D314</f>
        <v>0</v>
      </c>
      <c r="I314" s="1669">
        <f>G314*D314</f>
        <v>544.5</v>
      </c>
      <c r="J314" s="1669">
        <f>SUM(H314:I314)</f>
        <v>544.5</v>
      </c>
      <c r="K314" s="1708"/>
      <c r="L314" s="1721"/>
      <c r="M314" s="1710" t="s">
        <v>1017</v>
      </c>
      <c r="N314" s="1711" t="s">
        <v>664</v>
      </c>
    </row>
    <row r="315" spans="1:14" ht="24" customHeight="1">
      <c r="A315" s="1702"/>
      <c r="B315" s="1703" t="s">
        <v>139</v>
      </c>
      <c r="C315" s="1743" t="s">
        <v>198</v>
      </c>
      <c r="D315" s="1705">
        <f>D313*0.5</f>
        <v>2.25</v>
      </c>
      <c r="E315" s="1706" t="s">
        <v>164</v>
      </c>
      <c r="F315" s="1707">
        <v>400</v>
      </c>
      <c r="G315" s="1707"/>
      <c r="H315" s="1707">
        <f>F315*D315</f>
        <v>900</v>
      </c>
      <c r="I315" s="1707">
        <f>G315*D315</f>
        <v>0</v>
      </c>
      <c r="J315" s="1707">
        <f>SUM(H315:I315)</f>
        <v>900</v>
      </c>
      <c r="K315" s="1709"/>
      <c r="L315" s="1721"/>
      <c r="M315" s="1710" t="s">
        <v>1018</v>
      </c>
      <c r="N315" s="1711"/>
    </row>
    <row r="316" spans="1:14" ht="24" customHeight="1">
      <c r="A316" s="1712"/>
      <c r="B316" s="1673" t="s">
        <v>139</v>
      </c>
      <c r="C316" s="1674" t="s">
        <v>1782</v>
      </c>
      <c r="D316" s="1675">
        <f>D315*0.3</f>
        <v>0.67499999999999993</v>
      </c>
      <c r="E316" s="1676" t="s">
        <v>164</v>
      </c>
      <c r="F316" s="1669">
        <v>400</v>
      </c>
      <c r="G316" s="1669">
        <v>0</v>
      </c>
      <c r="H316" s="1669">
        <f>F316*D316</f>
        <v>270</v>
      </c>
      <c r="I316" s="1669">
        <f>G316*D316</f>
        <v>0</v>
      </c>
      <c r="J316" s="1669">
        <f>SUM(H316:I316)</f>
        <v>270</v>
      </c>
      <c r="K316" s="1708"/>
      <c r="L316" s="1721"/>
      <c r="M316" s="1710" t="s">
        <v>1018</v>
      </c>
      <c r="N316" s="1711"/>
    </row>
    <row r="317" spans="1:14" ht="24" customHeight="1">
      <c r="A317" s="1712"/>
      <c r="B317" s="1673" t="s">
        <v>139</v>
      </c>
      <c r="C317" s="1674" t="s">
        <v>163</v>
      </c>
      <c r="D317" s="1675">
        <f>D313</f>
        <v>4.5</v>
      </c>
      <c r="E317" s="1676" t="s">
        <v>83</v>
      </c>
      <c r="F317" s="1669">
        <v>28</v>
      </c>
      <c r="G317" s="1669">
        <v>0</v>
      </c>
      <c r="H317" s="1669">
        <f>F317*D317</f>
        <v>126</v>
      </c>
      <c r="I317" s="1669">
        <f>G317*D317</f>
        <v>0</v>
      </c>
      <c r="J317" s="1669">
        <f>SUM(H317:I317)</f>
        <v>126</v>
      </c>
      <c r="K317" s="1708"/>
      <c r="L317" s="1721"/>
      <c r="M317" s="1710" t="s">
        <v>1018</v>
      </c>
      <c r="N317" s="1711"/>
    </row>
    <row r="318" spans="1:14" ht="24" customHeight="1">
      <c r="A318" s="1712"/>
      <c r="B318" s="1673" t="s">
        <v>139</v>
      </c>
      <c r="C318" s="1674" t="s">
        <v>1781</v>
      </c>
      <c r="D318" s="1675">
        <f>D313*0.25</f>
        <v>1.125</v>
      </c>
      <c r="E318" s="1676" t="s">
        <v>87</v>
      </c>
      <c r="F318" s="1736">
        <v>23.89</v>
      </c>
      <c r="G318" s="1736">
        <v>0</v>
      </c>
      <c r="H318" s="1669">
        <f>F318*D318</f>
        <v>26.876249999999999</v>
      </c>
      <c r="I318" s="1669">
        <f>G318*D318</f>
        <v>0</v>
      </c>
      <c r="J318" s="1669">
        <f>SUM(H318:I318)</f>
        <v>26.876249999999999</v>
      </c>
      <c r="K318" s="1708"/>
      <c r="L318" s="1721"/>
      <c r="M318" s="1710" t="s">
        <v>660</v>
      </c>
      <c r="N318" s="1711"/>
    </row>
    <row r="319" spans="1:14" ht="24" customHeight="1">
      <c r="A319" s="1712"/>
      <c r="B319" s="2368" t="s">
        <v>1179</v>
      </c>
      <c r="C319" s="2368"/>
      <c r="D319" s="1675"/>
      <c r="E319" s="1676"/>
      <c r="F319" s="1669"/>
      <c r="G319" s="1669"/>
      <c r="H319" s="1669"/>
      <c r="I319" s="1669"/>
      <c r="J319" s="1669"/>
      <c r="K319" s="1708"/>
      <c r="L319" s="1721"/>
      <c r="M319" s="1711"/>
      <c r="N319" s="1711"/>
    </row>
    <row r="320" spans="1:14" ht="24" customHeight="1">
      <c r="A320" s="1712"/>
      <c r="B320" s="1673" t="s">
        <v>139</v>
      </c>
      <c r="C320" s="1674" t="s">
        <v>88</v>
      </c>
      <c r="D320" s="1675">
        <v>54.96</v>
      </c>
      <c r="E320" s="1676" t="s">
        <v>87</v>
      </c>
      <c r="F320" s="1677">
        <v>21.4</v>
      </c>
      <c r="G320" s="1677">
        <v>4.4000000000000004</v>
      </c>
      <c r="H320" s="1669">
        <f>F320*D320</f>
        <v>1176.144</v>
      </c>
      <c r="I320" s="1669">
        <f>G320*D320</f>
        <v>241.82400000000001</v>
      </c>
      <c r="J320" s="1669">
        <f>SUM(H320:I320)</f>
        <v>1417.9680000000001</v>
      </c>
      <c r="K320" s="1708"/>
      <c r="L320" s="1721"/>
      <c r="M320" s="1710" t="s">
        <v>1016</v>
      </c>
      <c r="N320" s="1711" t="s">
        <v>659</v>
      </c>
    </row>
    <row r="321" spans="1:14" ht="24" customHeight="1">
      <c r="A321" s="1712"/>
      <c r="B321" s="1673" t="s">
        <v>139</v>
      </c>
      <c r="C321" s="1674" t="s">
        <v>89</v>
      </c>
      <c r="D321" s="1675">
        <v>11.3</v>
      </c>
      <c r="E321" s="1676" t="s">
        <v>87</v>
      </c>
      <c r="F321" s="1677">
        <v>21.4</v>
      </c>
      <c r="G321" s="1677">
        <v>3.6</v>
      </c>
      <c r="H321" s="1669">
        <f>F321*D321</f>
        <v>241.82</v>
      </c>
      <c r="I321" s="1669">
        <f>G321*D321</f>
        <v>40.680000000000007</v>
      </c>
      <c r="J321" s="1669">
        <f>SUM(H321:I321)</f>
        <v>282.5</v>
      </c>
      <c r="K321" s="1708"/>
      <c r="L321" s="1721"/>
      <c r="M321" s="1710" t="s">
        <v>1016</v>
      </c>
      <c r="N321" s="1711" t="s">
        <v>659</v>
      </c>
    </row>
    <row r="322" spans="1:14" ht="24" customHeight="1">
      <c r="A322" s="1712"/>
      <c r="B322" s="1665" t="s">
        <v>139</v>
      </c>
      <c r="C322" s="1666" t="s">
        <v>90</v>
      </c>
      <c r="D322" s="1667">
        <v>70.7</v>
      </c>
      <c r="E322" s="1668" t="s">
        <v>87</v>
      </c>
      <c r="F322" s="1744">
        <v>21.2</v>
      </c>
      <c r="G322" s="1744">
        <v>3.6</v>
      </c>
      <c r="H322" s="1670">
        <f>F322*D322</f>
        <v>1498.84</v>
      </c>
      <c r="I322" s="1669">
        <f>G322*D322</f>
        <v>254.52</v>
      </c>
      <c r="J322" s="1669">
        <f>SUM(H322:I322)</f>
        <v>1753.36</v>
      </c>
      <c r="K322" s="1708"/>
      <c r="L322" s="1721"/>
      <c r="M322" s="1710" t="s">
        <v>1016</v>
      </c>
      <c r="N322" s="1711" t="s">
        <v>659</v>
      </c>
    </row>
    <row r="323" spans="1:14" ht="24" customHeight="1">
      <c r="A323" s="1672"/>
      <c r="B323" s="1673" t="s">
        <v>139</v>
      </c>
      <c r="C323" s="1674" t="s">
        <v>200</v>
      </c>
      <c r="D323" s="1675">
        <f>SUM(D320:D322)*0.03</f>
        <v>4.1088000000000005</v>
      </c>
      <c r="E323" s="1676" t="s">
        <v>87</v>
      </c>
      <c r="F323" s="1677">
        <v>25.83</v>
      </c>
      <c r="G323" s="1677">
        <v>0</v>
      </c>
      <c r="H323" s="1669">
        <f>F323*D323</f>
        <v>106.13030400000001</v>
      </c>
      <c r="I323" s="1678">
        <f>G323*D323</f>
        <v>0</v>
      </c>
      <c r="J323" s="1669">
        <f>SUM(H323:I323)</f>
        <v>106.13030400000001</v>
      </c>
      <c r="K323" s="1708"/>
      <c r="L323" s="1721"/>
      <c r="M323" s="1710" t="s">
        <v>1019</v>
      </c>
      <c r="N323" s="1711"/>
    </row>
    <row r="324" spans="1:14" ht="24" customHeight="1">
      <c r="A324" s="1780"/>
      <c r="B324" s="1780"/>
      <c r="C324" s="1827" t="s">
        <v>133</v>
      </c>
      <c r="D324" s="2365"/>
      <c r="E324" s="2365"/>
      <c r="F324" s="2365"/>
      <c r="G324" s="2365"/>
      <c r="H324" s="2365"/>
      <c r="I324" s="2365"/>
      <c r="J324" s="2365"/>
      <c r="K324" s="2365"/>
      <c r="L324" s="1721"/>
      <c r="M324" s="1710"/>
      <c r="N324" s="1711"/>
    </row>
    <row r="325" spans="1:14" ht="24" customHeight="1">
      <c r="A325" s="1780"/>
      <c r="B325" s="2366" t="s">
        <v>1769</v>
      </c>
      <c r="C325" s="2366"/>
      <c r="D325" s="1828"/>
      <c r="E325" s="1769"/>
      <c r="F325" s="1828"/>
      <c r="G325" s="1828" t="s">
        <v>134</v>
      </c>
      <c r="H325" s="1828"/>
      <c r="I325" s="1828"/>
      <c r="J325" s="1828"/>
      <c r="K325" s="1828"/>
      <c r="L325" s="1721"/>
      <c r="M325" s="1710"/>
      <c r="N325" s="1711"/>
    </row>
    <row r="326" spans="1:14" ht="24" customHeight="1">
      <c r="A326" s="1780"/>
      <c r="B326" s="2367" t="s">
        <v>1970</v>
      </c>
      <c r="C326" s="2367"/>
      <c r="D326" s="1831"/>
      <c r="E326" s="1832"/>
      <c r="F326" s="1833"/>
      <c r="G326" s="1833" t="s">
        <v>1971</v>
      </c>
      <c r="H326" s="1833"/>
      <c r="I326" s="1833"/>
      <c r="J326" s="1833"/>
      <c r="K326" s="1833"/>
      <c r="L326" s="1721"/>
      <c r="M326" s="1710"/>
      <c r="N326" s="1711"/>
    </row>
    <row r="327" spans="1:14" ht="24" customHeight="1">
      <c r="A327" s="1830"/>
      <c r="B327" s="1828" t="s">
        <v>2031</v>
      </c>
      <c r="C327" s="1830"/>
      <c r="D327" s="1830"/>
      <c r="E327" s="1830"/>
      <c r="F327" s="1830"/>
      <c r="G327" s="1828" t="s">
        <v>2031</v>
      </c>
      <c r="H327" s="1830"/>
      <c r="I327" s="1830"/>
      <c r="J327" s="1830"/>
      <c r="K327" s="1830"/>
      <c r="L327" s="1721"/>
      <c r="M327" s="1710"/>
      <c r="N327" s="1711"/>
    </row>
    <row r="328" spans="1:14" ht="24" customHeight="1">
      <c r="B328" s="1721" t="s">
        <v>1984</v>
      </c>
      <c r="C328" s="1830"/>
      <c r="D328" s="1685"/>
      <c r="E328" s="1685"/>
      <c r="G328" s="1721" t="s">
        <v>1985</v>
      </c>
      <c r="H328" s="1685"/>
      <c r="I328" s="1685"/>
      <c r="J328" s="1685"/>
      <c r="K328" s="1685"/>
      <c r="L328" s="1721"/>
      <c r="M328" s="1710"/>
      <c r="N328" s="1711"/>
    </row>
    <row r="329" spans="1:14" ht="24" customHeight="1">
      <c r="B329" s="1828" t="s">
        <v>670</v>
      </c>
      <c r="L329" s="1721"/>
      <c r="M329" s="1710"/>
      <c r="N329" s="1711"/>
    </row>
    <row r="330" spans="1:14" ht="24" customHeight="1">
      <c r="B330" s="1721" t="s">
        <v>1972</v>
      </c>
      <c r="L330" s="1721"/>
      <c r="M330" s="1710"/>
      <c r="N330" s="1711"/>
    </row>
    <row r="331" spans="1:14" s="1685" customFormat="1" ht="24" customHeight="1">
      <c r="A331" s="1672"/>
      <c r="B331" s="2368" t="s">
        <v>1051</v>
      </c>
      <c r="C331" s="2368"/>
      <c r="D331" s="1675"/>
      <c r="E331" s="1676"/>
      <c r="F331" s="1669"/>
      <c r="G331" s="1669"/>
      <c r="H331" s="1669"/>
      <c r="I331" s="1678"/>
      <c r="J331" s="1669"/>
      <c r="K331" s="1708"/>
      <c r="L331" s="1721"/>
      <c r="M331" s="1711"/>
      <c r="N331" s="1711"/>
    </row>
    <row r="332" spans="1:14" s="1685" customFormat="1" ht="24" customHeight="1">
      <c r="A332" s="1712"/>
      <c r="B332" s="2369" t="s">
        <v>1052</v>
      </c>
      <c r="C332" s="2369"/>
      <c r="D332" s="1705"/>
      <c r="E332" s="1706"/>
      <c r="F332" s="1707"/>
      <c r="G332" s="1707"/>
      <c r="H332" s="1707"/>
      <c r="I332" s="1669"/>
      <c r="J332" s="1669"/>
      <c r="K332" s="1708"/>
      <c r="L332" s="1721"/>
      <c r="M332" s="1711"/>
      <c r="N332" s="1711"/>
    </row>
    <row r="333" spans="1:14" ht="24" customHeight="1">
      <c r="A333" s="1712"/>
      <c r="B333" s="1673" t="s">
        <v>139</v>
      </c>
      <c r="C333" s="1674" t="s">
        <v>228</v>
      </c>
      <c r="D333" s="1675">
        <v>4.5</v>
      </c>
      <c r="E333" s="1676" t="s">
        <v>85</v>
      </c>
      <c r="F333" s="1736">
        <v>2679.9</v>
      </c>
      <c r="G333" s="1736">
        <v>519</v>
      </c>
      <c r="H333" s="1669">
        <f t="shared" ref="H333:H344" si="42">F333*D333</f>
        <v>12059.550000000001</v>
      </c>
      <c r="I333" s="1669">
        <f t="shared" ref="I333:I344" si="43">G333*D333</f>
        <v>2335.5</v>
      </c>
      <c r="J333" s="1669">
        <f t="shared" ref="J333:J339" si="44">SUM(H333:I333)</f>
        <v>14395.050000000001</v>
      </c>
      <c r="K333" s="1708"/>
      <c r="L333" s="1721"/>
      <c r="M333" s="1710" t="s">
        <v>1016</v>
      </c>
      <c r="N333" s="1711" t="s">
        <v>664</v>
      </c>
    </row>
    <row r="334" spans="1:14" ht="24" customHeight="1">
      <c r="A334" s="1712"/>
      <c r="B334" s="2368" t="s">
        <v>1053</v>
      </c>
      <c r="C334" s="2368"/>
      <c r="D334" s="1675">
        <v>20.8</v>
      </c>
      <c r="E334" s="1676"/>
      <c r="F334" s="1669"/>
      <c r="G334" s="1669"/>
      <c r="H334" s="1669"/>
      <c r="I334" s="1669"/>
      <c r="J334" s="1669"/>
      <c r="K334" s="1708"/>
      <c r="L334" s="1721"/>
      <c r="M334" s="1711"/>
      <c r="N334" s="1711"/>
    </row>
    <row r="335" spans="1:14" ht="24" customHeight="1">
      <c r="A335" s="1712"/>
      <c r="B335" s="1673" t="s">
        <v>139</v>
      </c>
      <c r="C335" s="1674" t="s">
        <v>1784</v>
      </c>
      <c r="D335" s="1675">
        <f>D334</f>
        <v>20.8</v>
      </c>
      <c r="E335" s="1676" t="s">
        <v>86</v>
      </c>
      <c r="F335" s="1669"/>
      <c r="G335" s="1669">
        <v>121</v>
      </c>
      <c r="H335" s="1669">
        <f t="shared" si="42"/>
        <v>0</v>
      </c>
      <c r="I335" s="1669">
        <f t="shared" si="43"/>
        <v>2516.8000000000002</v>
      </c>
      <c r="J335" s="1669">
        <f t="shared" si="44"/>
        <v>2516.8000000000002</v>
      </c>
      <c r="K335" s="1708"/>
      <c r="L335" s="1721"/>
      <c r="M335" s="1710" t="s">
        <v>1017</v>
      </c>
      <c r="N335" s="1711" t="s">
        <v>664</v>
      </c>
    </row>
    <row r="336" spans="1:14" ht="24" customHeight="1">
      <c r="A336" s="1712"/>
      <c r="B336" s="1673" t="s">
        <v>139</v>
      </c>
      <c r="C336" s="1674" t="s">
        <v>198</v>
      </c>
      <c r="D336" s="1675">
        <f>D334*0.5</f>
        <v>10.4</v>
      </c>
      <c r="E336" s="1676" t="s">
        <v>164</v>
      </c>
      <c r="F336" s="1669">
        <v>400</v>
      </c>
      <c r="G336" s="1669"/>
      <c r="H336" s="1669">
        <f t="shared" si="42"/>
        <v>4160</v>
      </c>
      <c r="I336" s="1669">
        <f t="shared" si="43"/>
        <v>0</v>
      </c>
      <c r="J336" s="1669">
        <f t="shared" si="44"/>
        <v>4160</v>
      </c>
      <c r="K336" s="1708"/>
      <c r="L336" s="1721"/>
      <c r="M336" s="1710" t="s">
        <v>1018</v>
      </c>
      <c r="N336" s="1711"/>
    </row>
    <row r="337" spans="1:14" ht="24" customHeight="1">
      <c r="A337" s="1712"/>
      <c r="B337" s="1673" t="s">
        <v>139</v>
      </c>
      <c r="C337" s="1674" t="s">
        <v>1782</v>
      </c>
      <c r="D337" s="1675">
        <f>D336*0.3</f>
        <v>3.12</v>
      </c>
      <c r="E337" s="1676" t="s">
        <v>164</v>
      </c>
      <c r="F337" s="1669">
        <v>400</v>
      </c>
      <c r="G337" s="1669">
        <v>0</v>
      </c>
      <c r="H337" s="1669">
        <f t="shared" si="42"/>
        <v>1248</v>
      </c>
      <c r="I337" s="1669">
        <f t="shared" si="43"/>
        <v>0</v>
      </c>
      <c r="J337" s="1669">
        <f t="shared" si="44"/>
        <v>1248</v>
      </c>
      <c r="K337" s="1708"/>
      <c r="L337" s="1721"/>
      <c r="M337" s="1710" t="s">
        <v>1018</v>
      </c>
      <c r="N337" s="1711"/>
    </row>
    <row r="338" spans="1:14" ht="24" customHeight="1">
      <c r="A338" s="1712"/>
      <c r="B338" s="1673" t="s">
        <v>139</v>
      </c>
      <c r="C338" s="1674" t="s">
        <v>163</v>
      </c>
      <c r="D338" s="1675">
        <f>D334</f>
        <v>20.8</v>
      </c>
      <c r="E338" s="1676" t="s">
        <v>83</v>
      </c>
      <c r="F338" s="1669">
        <v>28</v>
      </c>
      <c r="G338" s="1669">
        <v>0</v>
      </c>
      <c r="H338" s="1669">
        <f t="shared" si="42"/>
        <v>582.4</v>
      </c>
      <c r="I338" s="1669">
        <f t="shared" si="43"/>
        <v>0</v>
      </c>
      <c r="J338" s="1669">
        <f t="shared" si="44"/>
        <v>582.4</v>
      </c>
      <c r="K338" s="1708"/>
      <c r="L338" s="1721"/>
      <c r="M338" s="1710" t="s">
        <v>1018</v>
      </c>
      <c r="N338" s="1711"/>
    </row>
    <row r="339" spans="1:14" ht="24" customHeight="1">
      <c r="A339" s="1712"/>
      <c r="B339" s="1673" t="s">
        <v>139</v>
      </c>
      <c r="C339" s="1674" t="s">
        <v>1781</v>
      </c>
      <c r="D339" s="1675">
        <f>D334*0.25</f>
        <v>5.2</v>
      </c>
      <c r="E339" s="1676" t="s">
        <v>87</v>
      </c>
      <c r="F339" s="1736">
        <v>23.89</v>
      </c>
      <c r="G339" s="1736">
        <v>0</v>
      </c>
      <c r="H339" s="1669">
        <f t="shared" si="42"/>
        <v>124.22800000000001</v>
      </c>
      <c r="I339" s="1669">
        <f t="shared" si="43"/>
        <v>0</v>
      </c>
      <c r="J339" s="1669">
        <f t="shared" si="44"/>
        <v>124.22800000000001</v>
      </c>
      <c r="K339" s="1708"/>
      <c r="L339" s="1721"/>
      <c r="M339" s="1710" t="s">
        <v>660</v>
      </c>
      <c r="N339" s="1711"/>
    </row>
    <row r="340" spans="1:14" ht="24" customHeight="1">
      <c r="A340" s="1712"/>
      <c r="B340" s="2368" t="s">
        <v>1054</v>
      </c>
      <c r="C340" s="2368"/>
      <c r="D340" s="1675"/>
      <c r="E340" s="1676"/>
      <c r="F340" s="1669"/>
      <c r="G340" s="1669"/>
      <c r="H340" s="1669"/>
      <c r="I340" s="1669"/>
      <c r="J340" s="1669"/>
      <c r="K340" s="1708"/>
      <c r="L340" s="1721"/>
      <c r="M340" s="1711"/>
      <c r="N340" s="1711"/>
    </row>
    <row r="341" spans="1:14" ht="24" customHeight="1">
      <c r="A341" s="1712"/>
      <c r="B341" s="1673" t="s">
        <v>139</v>
      </c>
      <c r="C341" s="1674" t="s">
        <v>88</v>
      </c>
      <c r="D341" s="1675">
        <v>167.28</v>
      </c>
      <c r="E341" s="1676" t="s">
        <v>87</v>
      </c>
      <c r="F341" s="1677">
        <v>21.4</v>
      </c>
      <c r="G341" s="1677">
        <v>4.4000000000000004</v>
      </c>
      <c r="H341" s="1669">
        <f t="shared" si="42"/>
        <v>3579.7919999999999</v>
      </c>
      <c r="I341" s="1669">
        <f t="shared" si="43"/>
        <v>736.03200000000004</v>
      </c>
      <c r="J341" s="1669">
        <f>SUM(H341:I341)</f>
        <v>4315.8239999999996</v>
      </c>
      <c r="K341" s="1708"/>
      <c r="L341" s="1721"/>
      <c r="M341" s="1710" t="s">
        <v>1016</v>
      </c>
      <c r="N341" s="1711" t="s">
        <v>659</v>
      </c>
    </row>
    <row r="342" spans="1:14" ht="24" customHeight="1">
      <c r="A342" s="1712"/>
      <c r="B342" s="1673" t="s">
        <v>139</v>
      </c>
      <c r="C342" s="1674" t="s">
        <v>89</v>
      </c>
      <c r="D342" s="1675">
        <v>62.1</v>
      </c>
      <c r="E342" s="1676" t="s">
        <v>87</v>
      </c>
      <c r="F342" s="1677">
        <v>21.4</v>
      </c>
      <c r="G342" s="1677">
        <v>3.6</v>
      </c>
      <c r="H342" s="1669">
        <f t="shared" si="42"/>
        <v>1328.94</v>
      </c>
      <c r="I342" s="1669">
        <f t="shared" si="43"/>
        <v>223.56</v>
      </c>
      <c r="J342" s="1669">
        <f>SUM(H342:I342)</f>
        <v>1552.5</v>
      </c>
      <c r="K342" s="1708"/>
      <c r="L342" s="1721"/>
      <c r="M342" s="1710" t="s">
        <v>1016</v>
      </c>
      <c r="N342" s="1711" t="s">
        <v>659</v>
      </c>
    </row>
    <row r="343" spans="1:14" ht="24" customHeight="1">
      <c r="A343" s="1712"/>
      <c r="B343" s="1673" t="s">
        <v>139</v>
      </c>
      <c r="C343" s="1674" t="s">
        <v>90</v>
      </c>
      <c r="D343" s="1675">
        <v>217.5</v>
      </c>
      <c r="E343" s="1676" t="s">
        <v>87</v>
      </c>
      <c r="F343" s="1677">
        <v>21.2</v>
      </c>
      <c r="G343" s="1677">
        <v>3.6</v>
      </c>
      <c r="H343" s="1669">
        <f t="shared" si="42"/>
        <v>4611</v>
      </c>
      <c r="I343" s="1669">
        <f t="shared" si="43"/>
        <v>783</v>
      </c>
      <c r="J343" s="1669">
        <f>SUM(H343:I343)</f>
        <v>5394</v>
      </c>
      <c r="K343" s="1708"/>
      <c r="L343" s="1721"/>
      <c r="M343" s="1710" t="s">
        <v>1016</v>
      </c>
      <c r="N343" s="1711" t="s">
        <v>659</v>
      </c>
    </row>
    <row r="344" spans="1:14" ht="24" customHeight="1">
      <c r="A344" s="1712"/>
      <c r="B344" s="1673" t="s">
        <v>139</v>
      </c>
      <c r="C344" s="1674" t="s">
        <v>200</v>
      </c>
      <c r="D344" s="1675">
        <f>SUM(D341:D343)*0.03</f>
        <v>13.4064</v>
      </c>
      <c r="E344" s="1676" t="s">
        <v>87</v>
      </c>
      <c r="F344" s="1677">
        <v>25.83</v>
      </c>
      <c r="G344" s="1677">
        <v>0</v>
      </c>
      <c r="H344" s="1669">
        <f t="shared" si="42"/>
        <v>346.28731199999999</v>
      </c>
      <c r="I344" s="1669">
        <f t="shared" si="43"/>
        <v>0</v>
      </c>
      <c r="J344" s="1669">
        <f>SUM(H344:I344)</f>
        <v>346.28731199999999</v>
      </c>
      <c r="K344" s="1708"/>
      <c r="L344" s="1721"/>
      <c r="M344" s="1710" t="s">
        <v>1019</v>
      </c>
      <c r="N344" s="1711"/>
    </row>
    <row r="345" spans="1:14" s="1685" customFormat="1" ht="24" customHeight="1">
      <c r="A345" s="1672"/>
      <c r="B345" s="2368" t="s">
        <v>1055</v>
      </c>
      <c r="C345" s="2368"/>
      <c r="D345" s="1675"/>
      <c r="E345" s="1676"/>
      <c r="F345" s="1669"/>
      <c r="G345" s="1669"/>
      <c r="H345" s="1669"/>
      <c r="I345" s="1678"/>
      <c r="J345" s="1669"/>
      <c r="K345" s="1708"/>
      <c r="L345" s="1721"/>
      <c r="M345" s="1711"/>
      <c r="N345" s="1711"/>
    </row>
    <row r="346" spans="1:14" s="1685" customFormat="1" ht="24" customHeight="1">
      <c r="A346" s="1672"/>
      <c r="B346" s="2368" t="s">
        <v>1056</v>
      </c>
      <c r="C346" s="2368"/>
      <c r="D346" s="1675"/>
      <c r="E346" s="1676"/>
      <c r="F346" s="1669"/>
      <c r="G346" s="1669"/>
      <c r="H346" s="1669"/>
      <c r="I346" s="1678"/>
      <c r="J346" s="1669"/>
      <c r="K346" s="1708"/>
      <c r="L346" s="1721"/>
      <c r="M346" s="1711"/>
      <c r="N346" s="1711"/>
    </row>
    <row r="347" spans="1:14" ht="24" customHeight="1">
      <c r="A347" s="1712"/>
      <c r="B347" s="1703" t="s">
        <v>139</v>
      </c>
      <c r="C347" s="1743" t="s">
        <v>228</v>
      </c>
      <c r="D347" s="1705">
        <v>3.5</v>
      </c>
      <c r="E347" s="1706" t="s">
        <v>85</v>
      </c>
      <c r="F347" s="1742">
        <v>2679.9</v>
      </c>
      <c r="G347" s="1742">
        <v>519</v>
      </c>
      <c r="H347" s="1707">
        <f t="shared" ref="H347:H365" si="45">F347*D347</f>
        <v>9379.65</v>
      </c>
      <c r="I347" s="1669">
        <f t="shared" ref="I347:I365" si="46">G347*D347</f>
        <v>1816.5</v>
      </c>
      <c r="J347" s="1669">
        <f t="shared" ref="J347:J353" si="47">SUM(H347:I347)</f>
        <v>11196.15</v>
      </c>
      <c r="K347" s="1708"/>
      <c r="L347" s="1721"/>
      <c r="M347" s="1710" t="s">
        <v>1016</v>
      </c>
      <c r="N347" s="1711" t="s">
        <v>664</v>
      </c>
    </row>
    <row r="348" spans="1:14" ht="24" customHeight="1">
      <c r="A348" s="1712"/>
      <c r="B348" s="2368" t="s">
        <v>1057</v>
      </c>
      <c r="C348" s="2368"/>
      <c r="D348" s="1675">
        <v>22.9</v>
      </c>
      <c r="E348" s="1676"/>
      <c r="F348" s="1669"/>
      <c r="G348" s="1669"/>
      <c r="H348" s="1669"/>
      <c r="I348" s="1669"/>
      <c r="J348" s="1669"/>
      <c r="K348" s="1708"/>
      <c r="L348" s="1721"/>
      <c r="M348" s="1711"/>
      <c r="N348" s="1711"/>
    </row>
    <row r="349" spans="1:14" ht="24" customHeight="1">
      <c r="A349" s="1712"/>
      <c r="B349" s="1673" t="s">
        <v>139</v>
      </c>
      <c r="C349" s="1674" t="s">
        <v>1784</v>
      </c>
      <c r="D349" s="1675">
        <f>D348</f>
        <v>22.9</v>
      </c>
      <c r="E349" s="1676" t="s">
        <v>86</v>
      </c>
      <c r="F349" s="1669"/>
      <c r="G349" s="1669">
        <v>121</v>
      </c>
      <c r="H349" s="1669">
        <f t="shared" si="45"/>
        <v>0</v>
      </c>
      <c r="I349" s="1669">
        <f t="shared" si="46"/>
        <v>2770.8999999999996</v>
      </c>
      <c r="J349" s="1669">
        <f t="shared" si="47"/>
        <v>2770.8999999999996</v>
      </c>
      <c r="K349" s="1708"/>
      <c r="L349" s="1721"/>
      <c r="M349" s="1710" t="s">
        <v>1017</v>
      </c>
      <c r="N349" s="1711" t="s">
        <v>664</v>
      </c>
    </row>
    <row r="350" spans="1:14" ht="24" customHeight="1">
      <c r="A350" s="1712"/>
      <c r="B350" s="1673" t="s">
        <v>139</v>
      </c>
      <c r="C350" s="1674" t="s">
        <v>198</v>
      </c>
      <c r="D350" s="1675">
        <f>D348*0.5</f>
        <v>11.45</v>
      </c>
      <c r="E350" s="1676" t="s">
        <v>164</v>
      </c>
      <c r="F350" s="1669">
        <v>400</v>
      </c>
      <c r="G350" s="1669"/>
      <c r="H350" s="1669">
        <f t="shared" si="45"/>
        <v>4580</v>
      </c>
      <c r="I350" s="1669">
        <f t="shared" si="46"/>
        <v>0</v>
      </c>
      <c r="J350" s="1669">
        <f t="shared" si="47"/>
        <v>4580</v>
      </c>
      <c r="K350" s="1708"/>
      <c r="L350" s="1721"/>
      <c r="M350" s="1710" t="s">
        <v>1018</v>
      </c>
      <c r="N350" s="1711"/>
    </row>
    <row r="351" spans="1:14" ht="24" customHeight="1">
      <c r="A351" s="1712"/>
      <c r="B351" s="1673" t="s">
        <v>139</v>
      </c>
      <c r="C351" s="1674" t="s">
        <v>1782</v>
      </c>
      <c r="D351" s="1675">
        <f>D350*0.3</f>
        <v>3.4349999999999996</v>
      </c>
      <c r="E351" s="1676" t="s">
        <v>164</v>
      </c>
      <c r="F351" s="1669">
        <v>400</v>
      </c>
      <c r="G351" s="1669">
        <v>0</v>
      </c>
      <c r="H351" s="1669">
        <f t="shared" si="45"/>
        <v>1373.9999999999998</v>
      </c>
      <c r="I351" s="1669">
        <f t="shared" si="46"/>
        <v>0</v>
      </c>
      <c r="J351" s="1669">
        <f t="shared" si="47"/>
        <v>1373.9999999999998</v>
      </c>
      <c r="K351" s="1708"/>
      <c r="L351" s="1721"/>
      <c r="M351" s="1710" t="s">
        <v>1018</v>
      </c>
      <c r="N351" s="1711"/>
    </row>
    <row r="352" spans="1:14" ht="24" customHeight="1">
      <c r="A352" s="1712"/>
      <c r="B352" s="1673" t="s">
        <v>139</v>
      </c>
      <c r="C352" s="1674" t="s">
        <v>163</v>
      </c>
      <c r="D352" s="1675">
        <f>D348</f>
        <v>22.9</v>
      </c>
      <c r="E352" s="1676" t="s">
        <v>83</v>
      </c>
      <c r="F352" s="1669">
        <v>28</v>
      </c>
      <c r="G352" s="1669">
        <v>0</v>
      </c>
      <c r="H352" s="1669">
        <f t="shared" si="45"/>
        <v>641.19999999999993</v>
      </c>
      <c r="I352" s="1669">
        <f t="shared" si="46"/>
        <v>0</v>
      </c>
      <c r="J352" s="1669">
        <f t="shared" si="47"/>
        <v>641.19999999999993</v>
      </c>
      <c r="K352" s="1708"/>
      <c r="L352" s="1721"/>
      <c r="M352" s="1710" t="s">
        <v>1018</v>
      </c>
      <c r="N352" s="1711"/>
    </row>
    <row r="353" spans="1:14" ht="24" customHeight="1">
      <c r="A353" s="1712"/>
      <c r="B353" s="1673" t="s">
        <v>139</v>
      </c>
      <c r="C353" s="1674" t="s">
        <v>1781</v>
      </c>
      <c r="D353" s="1675">
        <f>D348*0.25</f>
        <v>5.7249999999999996</v>
      </c>
      <c r="E353" s="1676" t="s">
        <v>87</v>
      </c>
      <c r="F353" s="1736">
        <v>23.89</v>
      </c>
      <c r="G353" s="1736">
        <v>0</v>
      </c>
      <c r="H353" s="1669">
        <f t="shared" si="45"/>
        <v>136.77025</v>
      </c>
      <c r="I353" s="1669">
        <f t="shared" si="46"/>
        <v>0</v>
      </c>
      <c r="J353" s="1669">
        <f t="shared" si="47"/>
        <v>136.77025</v>
      </c>
      <c r="K353" s="1708"/>
      <c r="L353" s="1721"/>
      <c r="M353" s="1710" t="s">
        <v>660</v>
      </c>
      <c r="N353" s="1711"/>
    </row>
    <row r="354" spans="1:14" ht="24" customHeight="1">
      <c r="A354" s="1780"/>
      <c r="B354" s="1780"/>
      <c r="C354" s="1827" t="s">
        <v>133</v>
      </c>
      <c r="D354" s="2365"/>
      <c r="E354" s="2365"/>
      <c r="F354" s="2365"/>
      <c r="G354" s="2365"/>
      <c r="H354" s="2365"/>
      <c r="I354" s="2365"/>
      <c r="J354" s="2365"/>
      <c r="K354" s="2365"/>
      <c r="L354" s="1721"/>
      <c r="M354" s="1710"/>
      <c r="N354" s="1711"/>
    </row>
    <row r="355" spans="1:14" ht="24" customHeight="1">
      <c r="A355" s="1780"/>
      <c r="B355" s="2366" t="s">
        <v>1769</v>
      </c>
      <c r="C355" s="2366"/>
      <c r="D355" s="1828"/>
      <c r="E355" s="1769"/>
      <c r="F355" s="1828"/>
      <c r="G355" s="1828" t="s">
        <v>134</v>
      </c>
      <c r="H355" s="1828"/>
      <c r="I355" s="1828"/>
      <c r="J355" s="1828"/>
      <c r="K355" s="1828"/>
      <c r="L355" s="1721"/>
      <c r="M355" s="1710"/>
      <c r="N355" s="1711"/>
    </row>
    <row r="356" spans="1:14" ht="24" customHeight="1">
      <c r="A356" s="1780"/>
      <c r="B356" s="2367" t="s">
        <v>1970</v>
      </c>
      <c r="C356" s="2367"/>
      <c r="D356" s="1831"/>
      <c r="E356" s="1832"/>
      <c r="F356" s="1833"/>
      <c r="G356" s="1833" t="s">
        <v>1971</v>
      </c>
      <c r="H356" s="1833"/>
      <c r="I356" s="1833"/>
      <c r="J356" s="1833"/>
      <c r="K356" s="1833"/>
      <c r="L356" s="1721"/>
      <c r="M356" s="1710"/>
      <c r="N356" s="1711"/>
    </row>
    <row r="357" spans="1:14" ht="24" customHeight="1">
      <c r="A357" s="1830"/>
      <c r="B357" s="1828" t="s">
        <v>2031</v>
      </c>
      <c r="C357" s="1830"/>
      <c r="D357" s="1830"/>
      <c r="E357" s="1830"/>
      <c r="F357" s="1830"/>
      <c r="G357" s="1828" t="s">
        <v>2031</v>
      </c>
      <c r="H357" s="1830"/>
      <c r="I357" s="1830"/>
      <c r="J357" s="1830"/>
      <c r="K357" s="1830"/>
      <c r="L357" s="1721"/>
      <c r="M357" s="1710"/>
      <c r="N357" s="1711"/>
    </row>
    <row r="358" spans="1:14" ht="24" customHeight="1">
      <c r="B358" s="1721" t="s">
        <v>1984</v>
      </c>
      <c r="C358" s="1830"/>
      <c r="D358" s="1685"/>
      <c r="E358" s="1685"/>
      <c r="G358" s="1721" t="s">
        <v>1985</v>
      </c>
      <c r="H358" s="1685"/>
      <c r="I358" s="1685"/>
      <c r="J358" s="1685"/>
      <c r="K358" s="1685"/>
      <c r="L358" s="1721"/>
      <c r="M358" s="1710"/>
      <c r="N358" s="1711"/>
    </row>
    <row r="359" spans="1:14" ht="24" customHeight="1">
      <c r="B359" s="1828" t="s">
        <v>670</v>
      </c>
      <c r="L359" s="1721"/>
      <c r="M359" s="1710"/>
      <c r="N359" s="1711"/>
    </row>
    <row r="360" spans="1:14" ht="24" customHeight="1">
      <c r="B360" s="1721" t="s">
        <v>1972</v>
      </c>
      <c r="L360" s="1721"/>
      <c r="M360" s="1710"/>
      <c r="N360" s="1711"/>
    </row>
    <row r="361" spans="1:14" ht="24" customHeight="1">
      <c r="A361" s="1712"/>
      <c r="B361" s="2368" t="s">
        <v>1058</v>
      </c>
      <c r="C361" s="2368"/>
      <c r="D361" s="1675"/>
      <c r="E361" s="1676"/>
      <c r="F361" s="1669"/>
      <c r="G361" s="1669"/>
      <c r="H361" s="1669"/>
      <c r="I361" s="1669"/>
      <c r="J361" s="1669"/>
      <c r="K361" s="1708"/>
      <c r="L361" s="1721"/>
      <c r="M361" s="1711"/>
      <c r="N361" s="1711"/>
    </row>
    <row r="362" spans="1:14" ht="24" customHeight="1">
      <c r="A362" s="1712"/>
      <c r="B362" s="1673" t="s">
        <v>139</v>
      </c>
      <c r="C362" s="1674" t="s">
        <v>88</v>
      </c>
      <c r="D362" s="1675">
        <v>181.2</v>
      </c>
      <c r="E362" s="1676" t="s">
        <v>87</v>
      </c>
      <c r="F362" s="1677">
        <v>21.4</v>
      </c>
      <c r="G362" s="1677">
        <v>4.4000000000000004</v>
      </c>
      <c r="H362" s="1669">
        <f t="shared" si="45"/>
        <v>3877.6799999999994</v>
      </c>
      <c r="I362" s="1669">
        <f t="shared" si="46"/>
        <v>797.28</v>
      </c>
      <c r="J362" s="1669">
        <f>SUM(H362:I362)</f>
        <v>4674.9599999999991</v>
      </c>
      <c r="K362" s="1708"/>
      <c r="L362" s="1721"/>
      <c r="M362" s="1710" t="s">
        <v>1016</v>
      </c>
      <c r="N362" s="1711" t="s">
        <v>659</v>
      </c>
    </row>
    <row r="363" spans="1:14" ht="24" customHeight="1">
      <c r="A363" s="1712"/>
      <c r="B363" s="1673" t="s">
        <v>139</v>
      </c>
      <c r="C363" s="1674" t="s">
        <v>89</v>
      </c>
      <c r="D363" s="1675">
        <v>89.1</v>
      </c>
      <c r="E363" s="1676" t="s">
        <v>87</v>
      </c>
      <c r="F363" s="1677">
        <v>21.4</v>
      </c>
      <c r="G363" s="1677">
        <v>3.6</v>
      </c>
      <c r="H363" s="1669">
        <f t="shared" si="45"/>
        <v>1906.7399999999998</v>
      </c>
      <c r="I363" s="1669">
        <f t="shared" si="46"/>
        <v>320.76</v>
      </c>
      <c r="J363" s="1669">
        <f>SUM(H363:I363)</f>
        <v>2227.5</v>
      </c>
      <c r="K363" s="1708"/>
      <c r="L363" s="1721"/>
      <c r="M363" s="1710" t="s">
        <v>1016</v>
      </c>
      <c r="N363" s="1711" t="s">
        <v>659</v>
      </c>
    </row>
    <row r="364" spans="1:14" ht="24" customHeight="1">
      <c r="A364" s="1712"/>
      <c r="B364" s="1665" t="s">
        <v>139</v>
      </c>
      <c r="C364" s="1666" t="s">
        <v>90</v>
      </c>
      <c r="D364" s="1667">
        <v>244.6</v>
      </c>
      <c r="E364" s="1668" t="s">
        <v>87</v>
      </c>
      <c r="F364" s="1744">
        <v>21.2</v>
      </c>
      <c r="G364" s="1744">
        <v>3.6</v>
      </c>
      <c r="H364" s="1669">
        <f t="shared" si="45"/>
        <v>5185.5199999999995</v>
      </c>
      <c r="I364" s="1669">
        <f t="shared" si="46"/>
        <v>880.56</v>
      </c>
      <c r="J364" s="1669">
        <f>SUM(H364:I364)</f>
        <v>6066.08</v>
      </c>
      <c r="K364" s="1708"/>
      <c r="L364" s="1721"/>
      <c r="M364" s="1710" t="s">
        <v>1016</v>
      </c>
      <c r="N364" s="1711" t="s">
        <v>659</v>
      </c>
    </row>
    <row r="365" spans="1:14" ht="24" customHeight="1">
      <c r="A365" s="1672"/>
      <c r="B365" s="1673" t="s">
        <v>139</v>
      </c>
      <c r="C365" s="1674" t="s">
        <v>200</v>
      </c>
      <c r="D365" s="1675">
        <f>SUM(D362:D364)*0.03</f>
        <v>15.446999999999999</v>
      </c>
      <c r="E365" s="1676" t="s">
        <v>87</v>
      </c>
      <c r="F365" s="1677">
        <v>25.83</v>
      </c>
      <c r="G365" s="1677">
        <v>0</v>
      </c>
      <c r="H365" s="1678">
        <f t="shared" si="45"/>
        <v>398.99600999999996</v>
      </c>
      <c r="I365" s="1669">
        <f t="shared" si="46"/>
        <v>0</v>
      </c>
      <c r="J365" s="1669">
        <f>SUM(H365:I365)</f>
        <v>398.99600999999996</v>
      </c>
      <c r="K365" s="1708"/>
      <c r="L365" s="1721"/>
      <c r="M365" s="1710" t="s">
        <v>1019</v>
      </c>
      <c r="N365" s="1711"/>
    </row>
    <row r="366" spans="1:14" s="1685" customFormat="1" ht="24" customHeight="1">
      <c r="A366" s="1672"/>
      <c r="B366" s="2368" t="s">
        <v>1030</v>
      </c>
      <c r="C366" s="2368"/>
      <c r="D366" s="1675"/>
      <c r="E366" s="1676"/>
      <c r="F366" s="1669"/>
      <c r="G366" s="1669"/>
      <c r="H366" s="1678"/>
      <c r="I366" s="1669"/>
      <c r="J366" s="1669"/>
      <c r="K366" s="1708"/>
      <c r="L366" s="1721"/>
      <c r="M366" s="1711"/>
      <c r="N366" s="1711"/>
    </row>
    <row r="367" spans="1:14" ht="24" customHeight="1">
      <c r="A367" s="1712"/>
      <c r="B367" s="2369" t="s">
        <v>1031</v>
      </c>
      <c r="C367" s="2369"/>
      <c r="D367" s="1705"/>
      <c r="E367" s="1706"/>
      <c r="F367" s="1707"/>
      <c r="G367" s="1707"/>
      <c r="H367" s="1669"/>
      <c r="I367" s="1669"/>
      <c r="J367" s="1669"/>
      <c r="K367" s="1708"/>
      <c r="L367" s="1721"/>
      <c r="M367" s="1711"/>
      <c r="N367" s="1711"/>
    </row>
    <row r="368" spans="1:14" ht="24" customHeight="1">
      <c r="A368" s="1712"/>
      <c r="B368" s="1673" t="s">
        <v>139</v>
      </c>
      <c r="C368" s="1674" t="s">
        <v>228</v>
      </c>
      <c r="D368" s="1675">
        <v>18.600000000000001</v>
      </c>
      <c r="E368" s="1676" t="s">
        <v>85</v>
      </c>
      <c r="F368" s="1736">
        <v>2679.9</v>
      </c>
      <c r="G368" s="1736">
        <v>519</v>
      </c>
      <c r="H368" s="1669">
        <f t="shared" ref="H368:H383" si="48">F368*D368</f>
        <v>49846.140000000007</v>
      </c>
      <c r="I368" s="1669">
        <f t="shared" ref="I368:I383" si="49">G368*D368</f>
        <v>9653.4000000000015</v>
      </c>
      <c r="J368" s="1669">
        <f t="shared" ref="J368:J374" si="50">SUM(H368:I368)</f>
        <v>59499.540000000008</v>
      </c>
      <c r="K368" s="1708"/>
      <c r="L368" s="1721"/>
      <c r="M368" s="1710" t="s">
        <v>1016</v>
      </c>
      <c r="N368" s="1711" t="s">
        <v>659</v>
      </c>
    </row>
    <row r="369" spans="1:14" ht="24" customHeight="1">
      <c r="A369" s="1712"/>
      <c r="B369" s="2368" t="s">
        <v>1033</v>
      </c>
      <c r="C369" s="2368"/>
      <c r="D369" s="1675">
        <v>70.2</v>
      </c>
      <c r="E369" s="1676"/>
      <c r="F369" s="1669"/>
      <c r="G369" s="1669"/>
      <c r="H369" s="1669"/>
      <c r="I369" s="1669"/>
      <c r="J369" s="1669"/>
      <c r="K369" s="1708"/>
      <c r="L369" s="1721"/>
      <c r="M369" s="1711"/>
      <c r="N369" s="1711"/>
    </row>
    <row r="370" spans="1:14" ht="24" customHeight="1">
      <c r="A370" s="1712"/>
      <c r="B370" s="1673" t="s">
        <v>139</v>
      </c>
      <c r="C370" s="1674" t="s">
        <v>1784</v>
      </c>
      <c r="D370" s="1675">
        <f>D369</f>
        <v>70.2</v>
      </c>
      <c r="E370" s="1676" t="s">
        <v>86</v>
      </c>
      <c r="F370" s="1736">
        <v>0</v>
      </c>
      <c r="G370" s="1669">
        <v>121</v>
      </c>
      <c r="H370" s="1669">
        <f t="shared" si="48"/>
        <v>0</v>
      </c>
      <c r="I370" s="1669">
        <f t="shared" si="49"/>
        <v>8494.2000000000007</v>
      </c>
      <c r="J370" s="1669">
        <f t="shared" si="50"/>
        <v>8494.2000000000007</v>
      </c>
      <c r="K370" s="1708"/>
      <c r="L370" s="1721"/>
      <c r="M370" s="1710" t="s">
        <v>1017</v>
      </c>
      <c r="N370" s="1711" t="s">
        <v>659</v>
      </c>
    </row>
    <row r="371" spans="1:14" ht="24" customHeight="1">
      <c r="A371" s="1712"/>
      <c r="B371" s="1673" t="s">
        <v>139</v>
      </c>
      <c r="C371" s="1674" t="s">
        <v>198</v>
      </c>
      <c r="D371" s="1675">
        <f>D369*0.5</f>
        <v>35.1</v>
      </c>
      <c r="E371" s="1676" t="s">
        <v>164</v>
      </c>
      <c r="F371" s="1736">
        <v>400</v>
      </c>
      <c r="G371" s="1736">
        <v>0</v>
      </c>
      <c r="H371" s="1669">
        <f t="shared" si="48"/>
        <v>14040</v>
      </c>
      <c r="I371" s="1669">
        <f t="shared" si="49"/>
        <v>0</v>
      </c>
      <c r="J371" s="1669">
        <f t="shared" si="50"/>
        <v>14040</v>
      </c>
      <c r="K371" s="1708"/>
      <c r="L371" s="1721"/>
      <c r="M371" s="1710" t="s">
        <v>1018</v>
      </c>
      <c r="N371" s="1711"/>
    </row>
    <row r="372" spans="1:14" ht="24" customHeight="1">
      <c r="A372" s="1712"/>
      <c r="B372" s="1673" t="s">
        <v>139</v>
      </c>
      <c r="C372" s="1674" t="s">
        <v>1782</v>
      </c>
      <c r="D372" s="1675">
        <f>D371*0.3</f>
        <v>10.53</v>
      </c>
      <c r="E372" s="1676" t="s">
        <v>164</v>
      </c>
      <c r="F372" s="1736">
        <v>400</v>
      </c>
      <c r="G372" s="1736">
        <v>0</v>
      </c>
      <c r="H372" s="1669">
        <f t="shared" si="48"/>
        <v>4212</v>
      </c>
      <c r="I372" s="1669">
        <f t="shared" si="49"/>
        <v>0</v>
      </c>
      <c r="J372" s="1669">
        <f t="shared" si="50"/>
        <v>4212</v>
      </c>
      <c r="K372" s="1708"/>
      <c r="L372" s="1721"/>
      <c r="M372" s="1710" t="s">
        <v>1018</v>
      </c>
      <c r="N372" s="1685"/>
    </row>
    <row r="373" spans="1:14" ht="24" customHeight="1">
      <c r="A373" s="1712"/>
      <c r="B373" s="1673" t="s">
        <v>139</v>
      </c>
      <c r="C373" s="1674" t="s">
        <v>163</v>
      </c>
      <c r="D373" s="1675">
        <f>D369</f>
        <v>70.2</v>
      </c>
      <c r="E373" s="1676" t="s">
        <v>83</v>
      </c>
      <c r="F373" s="1736">
        <v>28</v>
      </c>
      <c r="G373" s="1736">
        <v>0</v>
      </c>
      <c r="H373" s="1669">
        <f t="shared" si="48"/>
        <v>1965.6000000000001</v>
      </c>
      <c r="I373" s="1669">
        <f t="shared" si="49"/>
        <v>0</v>
      </c>
      <c r="J373" s="1669">
        <f t="shared" si="50"/>
        <v>1965.6000000000001</v>
      </c>
      <c r="K373" s="1708"/>
      <c r="L373" s="1721"/>
      <c r="M373" s="1710" t="s">
        <v>1018</v>
      </c>
      <c r="N373" s="1685"/>
    </row>
    <row r="374" spans="1:14" ht="24" customHeight="1">
      <c r="A374" s="1712"/>
      <c r="B374" s="1673" t="s">
        <v>139</v>
      </c>
      <c r="C374" s="1674" t="s">
        <v>1781</v>
      </c>
      <c r="D374" s="1675">
        <f>D369*0.25</f>
        <v>17.55</v>
      </c>
      <c r="E374" s="1676" t="s">
        <v>87</v>
      </c>
      <c r="F374" s="1736">
        <v>23.89</v>
      </c>
      <c r="G374" s="1736">
        <v>0</v>
      </c>
      <c r="H374" s="1669">
        <f t="shared" si="48"/>
        <v>419.26950000000005</v>
      </c>
      <c r="I374" s="1669">
        <f t="shared" si="49"/>
        <v>0</v>
      </c>
      <c r="J374" s="1669">
        <f t="shared" si="50"/>
        <v>419.26950000000005</v>
      </c>
      <c r="K374" s="1708"/>
      <c r="L374" s="1721"/>
      <c r="M374" s="1710" t="s">
        <v>660</v>
      </c>
      <c r="N374" s="1685"/>
    </row>
    <row r="375" spans="1:14" ht="24" customHeight="1">
      <c r="A375" s="1712"/>
      <c r="B375" s="1748" t="s">
        <v>1032</v>
      </c>
      <c r="C375" s="1674"/>
      <c r="D375" s="1675"/>
      <c r="E375" s="1676"/>
      <c r="F375" s="1736"/>
      <c r="G375" s="1736"/>
      <c r="H375" s="1669"/>
      <c r="I375" s="1669"/>
      <c r="J375" s="1669"/>
      <c r="K375" s="1708"/>
      <c r="L375" s="1721"/>
      <c r="M375" s="1710"/>
      <c r="N375" s="1685"/>
    </row>
    <row r="376" spans="1:14" ht="24" customHeight="1">
      <c r="A376" s="1664"/>
      <c r="B376" s="1665" t="s">
        <v>139</v>
      </c>
      <c r="C376" s="1666" t="s">
        <v>88</v>
      </c>
      <c r="D376" s="1667">
        <v>326.3</v>
      </c>
      <c r="E376" s="1668" t="s">
        <v>87</v>
      </c>
      <c r="F376" s="1744">
        <v>21.4</v>
      </c>
      <c r="G376" s="1744">
        <v>4.4000000000000004</v>
      </c>
      <c r="H376" s="1670">
        <f t="shared" si="48"/>
        <v>6982.82</v>
      </c>
      <c r="I376" s="1670">
        <f t="shared" si="49"/>
        <v>1435.7200000000003</v>
      </c>
      <c r="J376" s="1670">
        <f t="shared" ref="J376:J383" si="51">SUM(H376:I376)</f>
        <v>8418.5400000000009</v>
      </c>
      <c r="K376" s="1746"/>
      <c r="L376" s="1721"/>
      <c r="M376" s="1710" t="s">
        <v>1016</v>
      </c>
      <c r="N376" s="1711" t="s">
        <v>659</v>
      </c>
    </row>
    <row r="377" spans="1:14" ht="24" customHeight="1">
      <c r="A377" s="1712"/>
      <c r="B377" s="1673" t="s">
        <v>139</v>
      </c>
      <c r="C377" s="1674" t="s">
        <v>89</v>
      </c>
      <c r="D377" s="1675">
        <v>588</v>
      </c>
      <c r="E377" s="1676" t="s">
        <v>87</v>
      </c>
      <c r="F377" s="1677">
        <v>21.4</v>
      </c>
      <c r="G377" s="1677">
        <v>3.6</v>
      </c>
      <c r="H377" s="1669">
        <f t="shared" si="48"/>
        <v>12583.199999999999</v>
      </c>
      <c r="I377" s="1669">
        <f t="shared" si="49"/>
        <v>2116.8000000000002</v>
      </c>
      <c r="J377" s="1669">
        <f t="shared" si="51"/>
        <v>14700</v>
      </c>
      <c r="K377" s="1708"/>
      <c r="L377" s="1721"/>
      <c r="M377" s="1710" t="s">
        <v>1016</v>
      </c>
      <c r="N377" s="1711" t="s">
        <v>659</v>
      </c>
    </row>
    <row r="378" spans="1:14" ht="24" customHeight="1">
      <c r="A378" s="1712"/>
      <c r="B378" s="1673" t="s">
        <v>139</v>
      </c>
      <c r="C378" s="1674" t="s">
        <v>90</v>
      </c>
      <c r="D378" s="1675">
        <v>3012.2</v>
      </c>
      <c r="E378" s="1676" t="s">
        <v>87</v>
      </c>
      <c r="F378" s="1677">
        <v>21.2</v>
      </c>
      <c r="G378" s="1677">
        <v>3.6</v>
      </c>
      <c r="H378" s="1669">
        <f t="shared" si="48"/>
        <v>63858.639999999992</v>
      </c>
      <c r="I378" s="1669">
        <f t="shared" si="49"/>
        <v>10843.92</v>
      </c>
      <c r="J378" s="1669">
        <f t="shared" si="51"/>
        <v>74702.559999999998</v>
      </c>
      <c r="K378" s="1708"/>
      <c r="L378" s="1721"/>
      <c r="M378" s="1710" t="s">
        <v>1016</v>
      </c>
      <c r="N378" s="1711" t="s">
        <v>659</v>
      </c>
    </row>
    <row r="379" spans="1:14" ht="24" customHeight="1">
      <c r="A379" s="1712"/>
      <c r="B379" s="1673" t="s">
        <v>139</v>
      </c>
      <c r="C379" s="1674" t="s">
        <v>1014</v>
      </c>
      <c r="D379" s="1675">
        <v>1427.5</v>
      </c>
      <c r="E379" s="1676" t="s">
        <v>87</v>
      </c>
      <c r="F379" s="1677">
        <v>21.2</v>
      </c>
      <c r="G379" s="1677">
        <v>3.1</v>
      </c>
      <c r="H379" s="1669">
        <f t="shared" si="48"/>
        <v>30263</v>
      </c>
      <c r="I379" s="1669">
        <f t="shared" si="49"/>
        <v>4425.25</v>
      </c>
      <c r="J379" s="1669">
        <f t="shared" si="51"/>
        <v>34688.25</v>
      </c>
      <c r="K379" s="1708"/>
      <c r="L379" s="1721"/>
      <c r="M379" s="1710" t="s">
        <v>1016</v>
      </c>
      <c r="N379" s="1711" t="s">
        <v>659</v>
      </c>
    </row>
    <row r="380" spans="1:14" ht="24" customHeight="1">
      <c r="A380" s="1702"/>
      <c r="B380" s="1703" t="s">
        <v>139</v>
      </c>
      <c r="C380" s="1743" t="s">
        <v>200</v>
      </c>
      <c r="D380" s="1705">
        <f>SUM(D376:D379)*0.03</f>
        <v>160.62</v>
      </c>
      <c r="E380" s="1706" t="s">
        <v>87</v>
      </c>
      <c r="F380" s="1747">
        <v>25.83</v>
      </c>
      <c r="G380" s="1747">
        <v>0</v>
      </c>
      <c r="H380" s="1707">
        <f t="shared" si="48"/>
        <v>4148.8145999999997</v>
      </c>
      <c r="I380" s="1707">
        <f t="shared" si="49"/>
        <v>0</v>
      </c>
      <c r="J380" s="1707">
        <f t="shared" si="51"/>
        <v>4148.8145999999997</v>
      </c>
      <c r="K380" s="1709"/>
      <c r="L380" s="1721"/>
      <c r="M380" s="1710" t="s">
        <v>1019</v>
      </c>
      <c r="N380" s="1711"/>
    </row>
    <row r="381" spans="1:14" ht="24" customHeight="1">
      <c r="A381" s="1712"/>
      <c r="B381" s="1673" t="s">
        <v>139</v>
      </c>
      <c r="C381" s="1713" t="s">
        <v>1104</v>
      </c>
      <c r="D381" s="1675">
        <v>1651.2</v>
      </c>
      <c r="E381" s="1676" t="s">
        <v>87</v>
      </c>
      <c r="F381" s="1669">
        <v>38.799999999999997</v>
      </c>
      <c r="G381" s="1669">
        <v>12</v>
      </c>
      <c r="H381" s="1669">
        <f t="shared" si="48"/>
        <v>64066.559999999998</v>
      </c>
      <c r="I381" s="1669">
        <f t="shared" si="49"/>
        <v>19814.400000000001</v>
      </c>
      <c r="J381" s="1669">
        <f t="shared" si="51"/>
        <v>83880.959999999992</v>
      </c>
      <c r="K381" s="1708"/>
      <c r="L381" s="1721"/>
      <c r="M381" s="1710" t="s">
        <v>1020</v>
      </c>
      <c r="N381" s="1711" t="s">
        <v>664</v>
      </c>
    </row>
    <row r="382" spans="1:14" ht="24" customHeight="1">
      <c r="A382" s="1712"/>
      <c r="B382" s="1673" t="s">
        <v>139</v>
      </c>
      <c r="C382" s="1713" t="s">
        <v>1208</v>
      </c>
      <c r="D382" s="1675">
        <v>24.6</v>
      </c>
      <c r="E382" s="1676" t="s">
        <v>87</v>
      </c>
      <c r="F382" s="1669">
        <v>30.1</v>
      </c>
      <c r="G382" s="1669">
        <v>12</v>
      </c>
      <c r="H382" s="1669">
        <f t="shared" si="48"/>
        <v>740.46</v>
      </c>
      <c r="I382" s="1669">
        <f t="shared" si="49"/>
        <v>295.20000000000005</v>
      </c>
      <c r="J382" s="1669">
        <f t="shared" si="51"/>
        <v>1035.6600000000001</v>
      </c>
      <c r="K382" s="1708"/>
      <c r="L382" s="1721"/>
      <c r="M382" s="1710" t="s">
        <v>1020</v>
      </c>
      <c r="N382" s="1711" t="s">
        <v>664</v>
      </c>
    </row>
    <row r="383" spans="1:14" ht="24" customHeight="1">
      <c r="A383" s="1712"/>
      <c r="B383" s="1673" t="s">
        <v>139</v>
      </c>
      <c r="C383" s="1674" t="s">
        <v>1209</v>
      </c>
      <c r="D383" s="1675">
        <v>12</v>
      </c>
      <c r="E383" s="1676" t="s">
        <v>27</v>
      </c>
      <c r="F383" s="1677">
        <v>74</v>
      </c>
      <c r="G383" s="1677">
        <v>0</v>
      </c>
      <c r="H383" s="1669">
        <f t="shared" si="48"/>
        <v>888</v>
      </c>
      <c r="I383" s="1669">
        <f t="shared" si="49"/>
        <v>0</v>
      </c>
      <c r="J383" s="1669">
        <f t="shared" si="51"/>
        <v>888</v>
      </c>
      <c r="K383" s="1708"/>
      <c r="L383" s="1721"/>
      <c r="M383" s="1710" t="s">
        <v>1016</v>
      </c>
      <c r="N383" s="1711" t="s">
        <v>659</v>
      </c>
    </row>
    <row r="384" spans="1:14" ht="24" customHeight="1">
      <c r="A384" s="1702"/>
      <c r="B384" s="2369" t="s">
        <v>1035</v>
      </c>
      <c r="C384" s="2369"/>
      <c r="D384" s="1705"/>
      <c r="E384" s="1706"/>
      <c r="F384" s="1707"/>
      <c r="G384" s="1707"/>
      <c r="H384" s="1707"/>
      <c r="I384" s="1707"/>
      <c r="J384" s="1707"/>
      <c r="K384" s="1709"/>
      <c r="L384" s="1721"/>
      <c r="M384" s="1711"/>
      <c r="N384" s="1711"/>
    </row>
    <row r="385" spans="1:14" ht="24" customHeight="1">
      <c r="A385" s="1712"/>
      <c r="B385" s="2368" t="s">
        <v>1034</v>
      </c>
      <c r="C385" s="2368"/>
      <c r="D385" s="1675"/>
      <c r="E385" s="1676"/>
      <c r="F385" s="1669"/>
      <c r="G385" s="1669"/>
      <c r="H385" s="1669"/>
      <c r="I385" s="1669"/>
      <c r="J385" s="1669"/>
      <c r="K385" s="1708"/>
      <c r="L385" s="1721"/>
      <c r="M385" s="1711"/>
      <c r="N385" s="1711"/>
    </row>
    <row r="386" spans="1:14" ht="24" customHeight="1">
      <c r="A386" s="1712"/>
      <c r="B386" s="1673" t="s">
        <v>139</v>
      </c>
      <c r="C386" s="1674" t="s">
        <v>228</v>
      </c>
      <c r="D386" s="1675">
        <v>16.5</v>
      </c>
      <c r="E386" s="1676" t="s">
        <v>85</v>
      </c>
      <c r="F386" s="1736">
        <v>2679.9</v>
      </c>
      <c r="G386" s="1736">
        <v>519</v>
      </c>
      <c r="H386" s="1669">
        <f t="shared" ref="H386:H405" si="52">F386*D386</f>
        <v>44218.35</v>
      </c>
      <c r="I386" s="1669">
        <f t="shared" ref="I386:I405" si="53">G386*D386</f>
        <v>8563.5</v>
      </c>
      <c r="J386" s="1669">
        <f t="shared" ref="J386:J392" si="54">SUM(H386:I386)</f>
        <v>52781.85</v>
      </c>
      <c r="K386" s="1708"/>
      <c r="L386" s="1721"/>
      <c r="M386" s="1710" t="s">
        <v>1016</v>
      </c>
      <c r="N386" s="1711" t="s">
        <v>659</v>
      </c>
    </row>
    <row r="387" spans="1:14" ht="24" customHeight="1">
      <c r="A387" s="1712"/>
      <c r="B387" s="2368" t="s">
        <v>1036</v>
      </c>
      <c r="C387" s="2368"/>
      <c r="D387" s="1675">
        <v>98.8</v>
      </c>
      <c r="E387" s="1676"/>
      <c r="F387" s="1669"/>
      <c r="G387" s="1669"/>
      <c r="H387" s="1669"/>
      <c r="I387" s="1669"/>
      <c r="J387" s="1669"/>
      <c r="K387" s="1708"/>
      <c r="L387" s="1721"/>
      <c r="M387" s="1711"/>
      <c r="N387" s="1711"/>
    </row>
    <row r="388" spans="1:14" ht="24" customHeight="1">
      <c r="A388" s="1712"/>
      <c r="B388" s="1673" t="s">
        <v>139</v>
      </c>
      <c r="C388" s="1674" t="s">
        <v>165</v>
      </c>
      <c r="D388" s="1675">
        <f>D387</f>
        <v>98.8</v>
      </c>
      <c r="E388" s="1676" t="s">
        <v>86</v>
      </c>
      <c r="F388" s="1736">
        <v>0</v>
      </c>
      <c r="G388" s="1669">
        <v>121</v>
      </c>
      <c r="H388" s="1669">
        <f t="shared" si="52"/>
        <v>0</v>
      </c>
      <c r="I388" s="1669">
        <f t="shared" si="53"/>
        <v>11954.8</v>
      </c>
      <c r="J388" s="1669">
        <f t="shared" si="54"/>
        <v>11954.8</v>
      </c>
      <c r="K388" s="1708"/>
      <c r="L388" s="1721"/>
      <c r="M388" s="1710" t="s">
        <v>1017</v>
      </c>
      <c r="N388" s="1711" t="s">
        <v>659</v>
      </c>
    </row>
    <row r="389" spans="1:14" ht="24" customHeight="1">
      <c r="A389" s="1712"/>
      <c r="B389" s="1673" t="s">
        <v>139</v>
      </c>
      <c r="C389" s="1674" t="s">
        <v>198</v>
      </c>
      <c r="D389" s="1675">
        <f>D387*0.5</f>
        <v>49.4</v>
      </c>
      <c r="E389" s="1676" t="s">
        <v>164</v>
      </c>
      <c r="F389" s="1736">
        <v>400</v>
      </c>
      <c r="G389" s="1736">
        <v>0</v>
      </c>
      <c r="H389" s="1669">
        <f t="shared" si="52"/>
        <v>19760</v>
      </c>
      <c r="I389" s="1669">
        <f t="shared" si="53"/>
        <v>0</v>
      </c>
      <c r="J389" s="1669">
        <f t="shared" si="54"/>
        <v>19760</v>
      </c>
      <c r="K389" s="1708"/>
      <c r="L389" s="1721"/>
      <c r="M389" s="1710" t="s">
        <v>1018</v>
      </c>
      <c r="N389" s="1711"/>
    </row>
    <row r="390" spans="1:14" ht="24" customHeight="1">
      <c r="A390" s="1712"/>
      <c r="B390" s="1673" t="s">
        <v>139</v>
      </c>
      <c r="C390" s="1674" t="s">
        <v>166</v>
      </c>
      <c r="D390" s="1675">
        <f>D389*0.3</f>
        <v>14.819999999999999</v>
      </c>
      <c r="E390" s="1676" t="s">
        <v>164</v>
      </c>
      <c r="F390" s="1736">
        <v>400</v>
      </c>
      <c r="G390" s="1736">
        <v>0</v>
      </c>
      <c r="H390" s="1669">
        <f t="shared" si="52"/>
        <v>5927.9999999999991</v>
      </c>
      <c r="I390" s="1669">
        <f t="shared" si="53"/>
        <v>0</v>
      </c>
      <c r="J390" s="1669">
        <f t="shared" si="54"/>
        <v>5927.9999999999991</v>
      </c>
      <c r="K390" s="1708"/>
      <c r="L390" s="1721"/>
      <c r="M390" s="1710" t="s">
        <v>1018</v>
      </c>
      <c r="N390" s="1685"/>
    </row>
    <row r="391" spans="1:14" ht="24" customHeight="1">
      <c r="A391" s="1712"/>
      <c r="B391" s="1673" t="s">
        <v>139</v>
      </c>
      <c r="C391" s="1674" t="s">
        <v>163</v>
      </c>
      <c r="D391" s="1675">
        <f>D387</f>
        <v>98.8</v>
      </c>
      <c r="E391" s="1676" t="s">
        <v>83</v>
      </c>
      <c r="F391" s="1736">
        <v>28</v>
      </c>
      <c r="G391" s="1736">
        <v>0</v>
      </c>
      <c r="H391" s="1669">
        <f t="shared" si="52"/>
        <v>2766.4</v>
      </c>
      <c r="I391" s="1669">
        <f t="shared" si="53"/>
        <v>0</v>
      </c>
      <c r="J391" s="1669">
        <f t="shared" si="54"/>
        <v>2766.4</v>
      </c>
      <c r="K391" s="1708"/>
      <c r="L391" s="1721"/>
      <c r="M391" s="1710" t="s">
        <v>1018</v>
      </c>
      <c r="N391" s="1685"/>
    </row>
    <row r="392" spans="1:14" ht="24" customHeight="1">
      <c r="A392" s="1712"/>
      <c r="B392" s="1673" t="s">
        <v>139</v>
      </c>
      <c r="C392" s="1674" t="s">
        <v>1781</v>
      </c>
      <c r="D392" s="1675">
        <f>D387*0.25</f>
        <v>24.7</v>
      </c>
      <c r="E392" s="1676" t="s">
        <v>87</v>
      </c>
      <c r="F392" s="1736">
        <v>23.89</v>
      </c>
      <c r="G392" s="1736">
        <v>0</v>
      </c>
      <c r="H392" s="1669">
        <f t="shared" si="52"/>
        <v>590.08299999999997</v>
      </c>
      <c r="I392" s="1669">
        <f t="shared" si="53"/>
        <v>0</v>
      </c>
      <c r="J392" s="1669">
        <f t="shared" si="54"/>
        <v>590.08299999999997</v>
      </c>
      <c r="K392" s="1708"/>
      <c r="L392" s="1721"/>
      <c r="M392" s="1710" t="s">
        <v>660</v>
      </c>
      <c r="N392" s="1685"/>
    </row>
    <row r="393" spans="1:14" ht="24" customHeight="1">
      <c r="A393" s="1780"/>
      <c r="B393" s="1780"/>
      <c r="C393" s="1827" t="s">
        <v>133</v>
      </c>
      <c r="D393" s="2365"/>
      <c r="E393" s="2365"/>
      <c r="F393" s="2365"/>
      <c r="G393" s="2365"/>
      <c r="H393" s="2365"/>
      <c r="I393" s="2365"/>
      <c r="J393" s="2365"/>
      <c r="K393" s="2365"/>
      <c r="L393" s="1721"/>
      <c r="M393" s="1710"/>
      <c r="N393" s="1685"/>
    </row>
    <row r="394" spans="1:14" ht="24" customHeight="1">
      <c r="A394" s="1780"/>
      <c r="B394" s="2366" t="s">
        <v>1769</v>
      </c>
      <c r="C394" s="2366"/>
      <c r="D394" s="1828"/>
      <c r="E394" s="1769"/>
      <c r="F394" s="1828"/>
      <c r="G394" s="1828" t="s">
        <v>134</v>
      </c>
      <c r="H394" s="1828"/>
      <c r="I394" s="1828"/>
      <c r="J394" s="1828"/>
      <c r="K394" s="1828"/>
      <c r="L394" s="1721"/>
      <c r="M394" s="1710"/>
      <c r="N394" s="1685"/>
    </row>
    <row r="395" spans="1:14" ht="24" customHeight="1">
      <c r="A395" s="1780"/>
      <c r="B395" s="2367" t="s">
        <v>1970</v>
      </c>
      <c r="C395" s="2367"/>
      <c r="D395" s="1831"/>
      <c r="E395" s="1832"/>
      <c r="F395" s="1833"/>
      <c r="G395" s="1833" t="s">
        <v>1971</v>
      </c>
      <c r="H395" s="1833"/>
      <c r="I395" s="1833"/>
      <c r="J395" s="1833"/>
      <c r="K395" s="1833"/>
      <c r="L395" s="1721"/>
      <c r="M395" s="1710"/>
      <c r="N395" s="1685"/>
    </row>
    <row r="396" spans="1:14" ht="24" customHeight="1">
      <c r="A396" s="1830"/>
      <c r="B396" s="1828" t="s">
        <v>2031</v>
      </c>
      <c r="C396" s="1830"/>
      <c r="D396" s="1830"/>
      <c r="E396" s="1830"/>
      <c r="F396" s="1830"/>
      <c r="G396" s="1828" t="s">
        <v>2031</v>
      </c>
      <c r="H396" s="1830"/>
      <c r="I396" s="1830"/>
      <c r="J396" s="1830"/>
      <c r="K396" s="1830"/>
      <c r="L396" s="1721"/>
      <c r="M396" s="1710"/>
      <c r="N396" s="1685"/>
    </row>
    <row r="397" spans="1:14" ht="24" customHeight="1">
      <c r="B397" s="1721" t="s">
        <v>1984</v>
      </c>
      <c r="C397" s="1830"/>
      <c r="D397" s="1685"/>
      <c r="E397" s="1685"/>
      <c r="G397" s="1721" t="s">
        <v>1985</v>
      </c>
      <c r="H397" s="1685"/>
      <c r="I397" s="1685"/>
      <c r="J397" s="1685"/>
      <c r="K397" s="1685"/>
      <c r="L397" s="1721"/>
      <c r="M397" s="1710"/>
      <c r="N397" s="1685"/>
    </row>
    <row r="398" spans="1:14" ht="24" customHeight="1">
      <c r="B398" s="1828" t="s">
        <v>670</v>
      </c>
      <c r="L398" s="1721"/>
      <c r="M398" s="1710"/>
      <c r="N398" s="1685"/>
    </row>
    <row r="399" spans="1:14" ht="24" customHeight="1">
      <c r="B399" s="1721" t="s">
        <v>1972</v>
      </c>
      <c r="L399" s="1721"/>
      <c r="M399" s="1710"/>
      <c r="N399" s="1685"/>
    </row>
    <row r="400" spans="1:14" s="1685" customFormat="1" ht="24" customHeight="1">
      <c r="A400" s="1712"/>
      <c r="B400" s="2368" t="s">
        <v>1037</v>
      </c>
      <c r="C400" s="2368"/>
      <c r="D400" s="1675"/>
      <c r="E400" s="1676"/>
      <c r="F400" s="1669"/>
      <c r="G400" s="1669"/>
      <c r="H400" s="1669"/>
      <c r="I400" s="1669"/>
      <c r="J400" s="1669"/>
      <c r="K400" s="1708"/>
      <c r="L400" s="1721"/>
      <c r="M400" s="1711"/>
      <c r="N400" s="1711"/>
    </row>
    <row r="401" spans="1:14" ht="24" customHeight="1">
      <c r="A401" s="1712"/>
      <c r="B401" s="1673" t="s">
        <v>139</v>
      </c>
      <c r="C401" s="1674" t="s">
        <v>88</v>
      </c>
      <c r="D401" s="1675">
        <v>348.8</v>
      </c>
      <c r="E401" s="1676" t="s">
        <v>87</v>
      </c>
      <c r="F401" s="1677">
        <v>21.4</v>
      </c>
      <c r="G401" s="1677">
        <v>4.4000000000000004</v>
      </c>
      <c r="H401" s="1669">
        <f t="shared" si="52"/>
        <v>7464.32</v>
      </c>
      <c r="I401" s="1669">
        <f t="shared" si="53"/>
        <v>1534.7200000000003</v>
      </c>
      <c r="J401" s="1669">
        <f>SUM(H401:I401)</f>
        <v>8999.0400000000009</v>
      </c>
      <c r="K401" s="1708"/>
      <c r="L401" s="1721"/>
      <c r="M401" s="1710" t="s">
        <v>1016</v>
      </c>
      <c r="N401" s="1711" t="s">
        <v>659</v>
      </c>
    </row>
    <row r="402" spans="1:14" ht="24" customHeight="1">
      <c r="A402" s="1712"/>
      <c r="B402" s="1673" t="s">
        <v>139</v>
      </c>
      <c r="C402" s="1674" t="s">
        <v>89</v>
      </c>
      <c r="D402" s="1675">
        <v>542.9</v>
      </c>
      <c r="E402" s="1676" t="s">
        <v>87</v>
      </c>
      <c r="F402" s="1677">
        <v>21.4</v>
      </c>
      <c r="G402" s="1677">
        <v>3.6</v>
      </c>
      <c r="H402" s="1669">
        <f t="shared" si="52"/>
        <v>11618.06</v>
      </c>
      <c r="I402" s="1669">
        <f t="shared" si="53"/>
        <v>1954.44</v>
      </c>
      <c r="J402" s="1669">
        <f>SUM(H402:I402)</f>
        <v>13572.5</v>
      </c>
      <c r="K402" s="1708"/>
      <c r="L402" s="1721"/>
      <c r="M402" s="1710" t="s">
        <v>1016</v>
      </c>
      <c r="N402" s="1711" t="s">
        <v>659</v>
      </c>
    </row>
    <row r="403" spans="1:14" ht="24" customHeight="1">
      <c r="A403" s="1712"/>
      <c r="B403" s="1673" t="s">
        <v>139</v>
      </c>
      <c r="C403" s="1674" t="s">
        <v>90</v>
      </c>
      <c r="D403" s="1675">
        <v>1310.3</v>
      </c>
      <c r="E403" s="1676" t="s">
        <v>87</v>
      </c>
      <c r="F403" s="1677">
        <v>21.2</v>
      </c>
      <c r="G403" s="1677">
        <v>3.6</v>
      </c>
      <c r="H403" s="1669">
        <f t="shared" si="52"/>
        <v>27778.359999999997</v>
      </c>
      <c r="I403" s="1669">
        <f t="shared" si="53"/>
        <v>4717.08</v>
      </c>
      <c r="J403" s="1669">
        <f>SUM(H403:I403)</f>
        <v>32495.439999999995</v>
      </c>
      <c r="K403" s="1708"/>
      <c r="L403" s="1721"/>
      <c r="M403" s="1710" t="s">
        <v>1016</v>
      </c>
      <c r="N403" s="1711" t="s">
        <v>659</v>
      </c>
    </row>
    <row r="404" spans="1:14" ht="24" customHeight="1">
      <c r="A404" s="1712"/>
      <c r="B404" s="1673" t="s">
        <v>139</v>
      </c>
      <c r="C404" s="1674" t="s">
        <v>1014</v>
      </c>
      <c r="D404" s="1675">
        <v>956.7</v>
      </c>
      <c r="E404" s="1676" t="s">
        <v>87</v>
      </c>
      <c r="F404" s="1677">
        <v>21.2</v>
      </c>
      <c r="G404" s="1677">
        <v>3.1</v>
      </c>
      <c r="H404" s="1669">
        <f t="shared" si="52"/>
        <v>20282.04</v>
      </c>
      <c r="I404" s="1669">
        <f t="shared" si="53"/>
        <v>2965.7700000000004</v>
      </c>
      <c r="J404" s="1669">
        <f>SUM(H404:I404)</f>
        <v>23247.81</v>
      </c>
      <c r="K404" s="1708"/>
      <c r="L404" s="1721"/>
      <c r="M404" s="1710" t="s">
        <v>1016</v>
      </c>
      <c r="N404" s="1711" t="s">
        <v>659</v>
      </c>
    </row>
    <row r="405" spans="1:14" ht="24" customHeight="1">
      <c r="A405" s="1712"/>
      <c r="B405" s="1673" t="s">
        <v>139</v>
      </c>
      <c r="C405" s="1674" t="s">
        <v>200</v>
      </c>
      <c r="D405" s="1675">
        <f>SUM(D401:D404)*0.03</f>
        <v>94.760999999999996</v>
      </c>
      <c r="E405" s="1676" t="s">
        <v>87</v>
      </c>
      <c r="F405" s="1677">
        <v>25.83</v>
      </c>
      <c r="G405" s="1677">
        <v>0</v>
      </c>
      <c r="H405" s="1669">
        <f t="shared" si="52"/>
        <v>2447.6766299999999</v>
      </c>
      <c r="I405" s="1669">
        <f t="shared" si="53"/>
        <v>0</v>
      </c>
      <c r="J405" s="1669">
        <f>SUM(H405:I405)</f>
        <v>2447.6766299999999</v>
      </c>
      <c r="K405" s="1708"/>
      <c r="L405" s="1721"/>
      <c r="M405" s="1710" t="s">
        <v>1019</v>
      </c>
      <c r="N405" s="1711"/>
    </row>
    <row r="406" spans="1:14" ht="24" customHeight="1">
      <c r="A406" s="1712"/>
      <c r="B406" s="1748" t="s">
        <v>1038</v>
      </c>
      <c r="C406" s="1674"/>
      <c r="D406" s="1675"/>
      <c r="E406" s="1676"/>
      <c r="F406" s="1677"/>
      <c r="G406" s="1677"/>
      <c r="H406" s="1669"/>
      <c r="I406" s="1669"/>
      <c r="J406" s="1669"/>
      <c r="K406" s="1708"/>
      <c r="L406" s="1721"/>
      <c r="M406" s="1710"/>
      <c r="N406" s="1711"/>
    </row>
    <row r="407" spans="1:14" ht="24" customHeight="1">
      <c r="A407" s="1712"/>
      <c r="B407" s="2368" t="s">
        <v>1039</v>
      </c>
      <c r="C407" s="2368"/>
      <c r="D407" s="1675"/>
      <c r="E407" s="1676"/>
      <c r="F407" s="1669"/>
      <c r="G407" s="1669"/>
      <c r="H407" s="1669"/>
      <c r="I407" s="1669"/>
      <c r="J407" s="1669"/>
      <c r="K407" s="1708"/>
      <c r="L407" s="1721"/>
      <c r="M407" s="1711"/>
      <c r="N407" s="1711"/>
    </row>
    <row r="408" spans="1:14" ht="24" customHeight="1">
      <c r="A408" s="1712"/>
      <c r="B408" s="1673" t="s">
        <v>139</v>
      </c>
      <c r="C408" s="1674" t="s">
        <v>228</v>
      </c>
      <c r="D408" s="1675">
        <v>17.5</v>
      </c>
      <c r="E408" s="1676" t="s">
        <v>85</v>
      </c>
      <c r="F408" s="1736">
        <v>2679.9</v>
      </c>
      <c r="G408" s="1736">
        <v>519</v>
      </c>
      <c r="H408" s="1669">
        <f t="shared" ref="H408:H420" si="55">F408*D408</f>
        <v>46898.25</v>
      </c>
      <c r="I408" s="1669">
        <f t="shared" ref="I408:I420" si="56">G408*D408</f>
        <v>9082.5</v>
      </c>
      <c r="J408" s="1669">
        <f t="shared" ref="J408:J414" si="57">SUM(H408:I408)</f>
        <v>55980.75</v>
      </c>
      <c r="K408" s="1708"/>
      <c r="L408" s="1721"/>
      <c r="M408" s="1710" t="s">
        <v>1016</v>
      </c>
      <c r="N408" s="1711" t="s">
        <v>659</v>
      </c>
    </row>
    <row r="409" spans="1:14" ht="24" customHeight="1">
      <c r="A409" s="1712"/>
      <c r="B409" s="2368" t="s">
        <v>1040</v>
      </c>
      <c r="C409" s="2368"/>
      <c r="D409" s="1675">
        <v>97.8</v>
      </c>
      <c r="E409" s="1676"/>
      <c r="F409" s="1669"/>
      <c r="G409" s="1669"/>
      <c r="H409" s="1669"/>
      <c r="I409" s="1669"/>
      <c r="J409" s="1669"/>
      <c r="K409" s="1708"/>
      <c r="L409" s="1721"/>
      <c r="M409" s="1711"/>
      <c r="N409" s="1711"/>
    </row>
    <row r="410" spans="1:14" ht="24" customHeight="1">
      <c r="A410" s="1712"/>
      <c r="B410" s="1673" t="s">
        <v>139</v>
      </c>
      <c r="C410" s="1674" t="s">
        <v>165</v>
      </c>
      <c r="D410" s="1675">
        <f>D409</f>
        <v>97.8</v>
      </c>
      <c r="E410" s="1676" t="s">
        <v>86</v>
      </c>
      <c r="F410" s="1736">
        <v>0</v>
      </c>
      <c r="G410" s="1669">
        <v>121</v>
      </c>
      <c r="H410" s="1669">
        <f t="shared" si="55"/>
        <v>0</v>
      </c>
      <c r="I410" s="1669">
        <f t="shared" si="56"/>
        <v>11833.8</v>
      </c>
      <c r="J410" s="1669">
        <f t="shared" si="57"/>
        <v>11833.8</v>
      </c>
      <c r="K410" s="1708"/>
      <c r="L410" s="1721"/>
      <c r="M410" s="1710" t="s">
        <v>1017</v>
      </c>
      <c r="N410" s="1711" t="s">
        <v>659</v>
      </c>
    </row>
    <row r="411" spans="1:14" ht="24" customHeight="1">
      <c r="A411" s="1712"/>
      <c r="B411" s="1673" t="s">
        <v>139</v>
      </c>
      <c r="C411" s="1674" t="s">
        <v>198</v>
      </c>
      <c r="D411" s="1675">
        <f>D409*0.5</f>
        <v>48.9</v>
      </c>
      <c r="E411" s="1676" t="s">
        <v>164</v>
      </c>
      <c r="F411" s="1736">
        <v>400</v>
      </c>
      <c r="G411" s="1736">
        <v>0</v>
      </c>
      <c r="H411" s="1669">
        <f t="shared" si="55"/>
        <v>19560</v>
      </c>
      <c r="I411" s="1669">
        <f t="shared" si="56"/>
        <v>0</v>
      </c>
      <c r="J411" s="1669">
        <f t="shared" si="57"/>
        <v>19560</v>
      </c>
      <c r="K411" s="1708"/>
      <c r="L411" s="1721"/>
      <c r="M411" s="1710" t="s">
        <v>1018</v>
      </c>
      <c r="N411" s="1711"/>
    </row>
    <row r="412" spans="1:14" ht="24" customHeight="1">
      <c r="A412" s="1712"/>
      <c r="B412" s="1673" t="s">
        <v>139</v>
      </c>
      <c r="C412" s="1674" t="s">
        <v>166</v>
      </c>
      <c r="D412" s="1675">
        <f>D411*0.3</f>
        <v>14.669999999999998</v>
      </c>
      <c r="E412" s="1676" t="s">
        <v>164</v>
      </c>
      <c r="F412" s="1736">
        <v>400</v>
      </c>
      <c r="G412" s="1736">
        <v>0</v>
      </c>
      <c r="H412" s="1669">
        <f t="shared" si="55"/>
        <v>5867.9999999999991</v>
      </c>
      <c r="I412" s="1669">
        <f t="shared" si="56"/>
        <v>0</v>
      </c>
      <c r="J412" s="1669">
        <f t="shared" si="57"/>
        <v>5867.9999999999991</v>
      </c>
      <c r="K412" s="1708"/>
      <c r="L412" s="1721"/>
      <c r="M412" s="1710" t="s">
        <v>1018</v>
      </c>
      <c r="N412" s="1685"/>
    </row>
    <row r="413" spans="1:14" ht="24" customHeight="1">
      <c r="A413" s="1712"/>
      <c r="B413" s="1673" t="s">
        <v>139</v>
      </c>
      <c r="C413" s="1674" t="s">
        <v>163</v>
      </c>
      <c r="D413" s="1675">
        <f>D409</f>
        <v>97.8</v>
      </c>
      <c r="E413" s="1676" t="s">
        <v>83</v>
      </c>
      <c r="F413" s="1736">
        <v>28</v>
      </c>
      <c r="G413" s="1736">
        <v>0</v>
      </c>
      <c r="H413" s="1669">
        <f t="shared" si="55"/>
        <v>2738.4</v>
      </c>
      <c r="I413" s="1669">
        <f t="shared" si="56"/>
        <v>0</v>
      </c>
      <c r="J413" s="1669">
        <f t="shared" si="57"/>
        <v>2738.4</v>
      </c>
      <c r="K413" s="1708"/>
      <c r="L413" s="1721"/>
      <c r="M413" s="1710" t="s">
        <v>1018</v>
      </c>
      <c r="N413" s="1685"/>
    </row>
    <row r="414" spans="1:14" ht="24" customHeight="1">
      <c r="A414" s="1712"/>
      <c r="B414" s="1673" t="s">
        <v>139</v>
      </c>
      <c r="C414" s="1674" t="s">
        <v>1781</v>
      </c>
      <c r="D414" s="1675">
        <f>D409*0.25</f>
        <v>24.45</v>
      </c>
      <c r="E414" s="1676" t="s">
        <v>87</v>
      </c>
      <c r="F414" s="1736">
        <v>23.89</v>
      </c>
      <c r="G414" s="1736">
        <v>0</v>
      </c>
      <c r="H414" s="1669">
        <f t="shared" si="55"/>
        <v>584.1105</v>
      </c>
      <c r="I414" s="1669">
        <f t="shared" si="56"/>
        <v>0</v>
      </c>
      <c r="J414" s="1669">
        <f t="shared" si="57"/>
        <v>584.1105</v>
      </c>
      <c r="K414" s="1708"/>
      <c r="L414" s="1721"/>
      <c r="M414" s="1710" t="s">
        <v>660</v>
      </c>
      <c r="N414" s="1685"/>
    </row>
    <row r="415" spans="1:14" s="1685" customFormat="1" ht="24" customHeight="1">
      <c r="A415" s="1702"/>
      <c r="B415" s="2369" t="s">
        <v>1041</v>
      </c>
      <c r="C415" s="2369"/>
      <c r="D415" s="1705"/>
      <c r="E415" s="1706"/>
      <c r="F415" s="1707"/>
      <c r="G415" s="1707"/>
      <c r="H415" s="1707"/>
      <c r="I415" s="1707"/>
      <c r="J415" s="1707"/>
      <c r="K415" s="1709"/>
      <c r="L415" s="1721"/>
      <c r="M415" s="1711"/>
      <c r="N415" s="1711"/>
    </row>
    <row r="416" spans="1:14" ht="24" customHeight="1">
      <c r="A416" s="1712"/>
      <c r="B416" s="1673" t="s">
        <v>139</v>
      </c>
      <c r="C416" s="1674" t="s">
        <v>88</v>
      </c>
      <c r="D416" s="1675">
        <v>238.6</v>
      </c>
      <c r="E416" s="1676" t="s">
        <v>87</v>
      </c>
      <c r="F416" s="1677">
        <v>21.4</v>
      </c>
      <c r="G416" s="1677">
        <v>4.4000000000000004</v>
      </c>
      <c r="H416" s="1669">
        <f t="shared" si="55"/>
        <v>5106.04</v>
      </c>
      <c r="I416" s="1669">
        <f t="shared" si="56"/>
        <v>1049.8400000000001</v>
      </c>
      <c r="J416" s="1669">
        <f>SUM(H416:I416)</f>
        <v>6155.88</v>
      </c>
      <c r="K416" s="1708"/>
      <c r="L416" s="1721"/>
      <c r="M416" s="1710" t="s">
        <v>1016</v>
      </c>
      <c r="N416" s="1711" t="s">
        <v>659</v>
      </c>
    </row>
    <row r="417" spans="1:22" ht="24" customHeight="1">
      <c r="A417" s="1712"/>
      <c r="B417" s="1673" t="s">
        <v>139</v>
      </c>
      <c r="C417" s="1674" t="s">
        <v>89</v>
      </c>
      <c r="D417" s="1675">
        <v>549.5</v>
      </c>
      <c r="E417" s="1676" t="s">
        <v>87</v>
      </c>
      <c r="F417" s="1677">
        <v>21.4</v>
      </c>
      <c r="G417" s="1677">
        <v>3.6</v>
      </c>
      <c r="H417" s="1669">
        <f t="shared" si="55"/>
        <v>11759.3</v>
      </c>
      <c r="I417" s="1669">
        <f t="shared" si="56"/>
        <v>1978.2</v>
      </c>
      <c r="J417" s="1669">
        <f>SUM(H417:I417)</f>
        <v>13737.5</v>
      </c>
      <c r="K417" s="1708"/>
      <c r="L417" s="1721"/>
      <c r="M417" s="1710" t="s">
        <v>1016</v>
      </c>
      <c r="N417" s="1711" t="s">
        <v>659</v>
      </c>
    </row>
    <row r="418" spans="1:22" ht="24" customHeight="1">
      <c r="A418" s="1712"/>
      <c r="B418" s="1673" t="s">
        <v>139</v>
      </c>
      <c r="C418" s="1674" t="s">
        <v>90</v>
      </c>
      <c r="D418" s="1675">
        <v>1873</v>
      </c>
      <c r="E418" s="1676" t="s">
        <v>87</v>
      </c>
      <c r="F418" s="1677">
        <v>21.2</v>
      </c>
      <c r="G418" s="1677">
        <v>3.6</v>
      </c>
      <c r="H418" s="1669">
        <f t="shared" si="55"/>
        <v>39707.599999999999</v>
      </c>
      <c r="I418" s="1669">
        <f t="shared" si="56"/>
        <v>6742.8</v>
      </c>
      <c r="J418" s="1669">
        <f>SUM(H418:I418)</f>
        <v>46450.400000000001</v>
      </c>
      <c r="K418" s="1708"/>
      <c r="L418" s="1721"/>
      <c r="M418" s="1710" t="s">
        <v>1016</v>
      </c>
      <c r="N418" s="1711" t="s">
        <v>659</v>
      </c>
    </row>
    <row r="419" spans="1:22" ht="24" customHeight="1">
      <c r="A419" s="1712"/>
      <c r="B419" s="1665" t="s">
        <v>139</v>
      </c>
      <c r="C419" s="1666" t="s">
        <v>1014</v>
      </c>
      <c r="D419" s="1667">
        <v>865.1</v>
      </c>
      <c r="E419" s="1668" t="s">
        <v>87</v>
      </c>
      <c r="F419" s="1744">
        <v>21.2</v>
      </c>
      <c r="G419" s="1744">
        <v>3.1</v>
      </c>
      <c r="H419" s="1670">
        <f t="shared" si="55"/>
        <v>18340.12</v>
      </c>
      <c r="I419" s="1670">
        <f t="shared" si="56"/>
        <v>2681.81</v>
      </c>
      <c r="J419" s="1669">
        <f>SUM(H419:I419)</f>
        <v>21021.93</v>
      </c>
      <c r="K419" s="1708"/>
      <c r="L419" s="1721"/>
      <c r="M419" s="1710" t="s">
        <v>1016</v>
      </c>
      <c r="N419" s="1711" t="s">
        <v>659</v>
      </c>
    </row>
    <row r="420" spans="1:22" ht="24" customHeight="1">
      <c r="A420" s="1672"/>
      <c r="B420" s="1673" t="s">
        <v>139</v>
      </c>
      <c r="C420" s="1674" t="s">
        <v>200</v>
      </c>
      <c r="D420" s="1675">
        <f>SUM(D416:D419)*0.03</f>
        <v>105.78599999999999</v>
      </c>
      <c r="E420" s="1676" t="s">
        <v>87</v>
      </c>
      <c r="F420" s="1677">
        <v>25.83</v>
      </c>
      <c r="G420" s="1677">
        <v>0</v>
      </c>
      <c r="H420" s="1669">
        <f t="shared" si="55"/>
        <v>2732.4523799999993</v>
      </c>
      <c r="I420" s="1669">
        <f t="shared" si="56"/>
        <v>0</v>
      </c>
      <c r="J420" s="1678">
        <f>SUM(H420:I420)</f>
        <v>2732.4523799999993</v>
      </c>
      <c r="K420" s="1708"/>
      <c r="L420" s="1721"/>
      <c r="M420" s="1710" t="s">
        <v>1019</v>
      </c>
      <c r="N420" s="1711"/>
    </row>
    <row r="421" spans="1:22" ht="24" customHeight="1">
      <c r="A421" s="1757"/>
      <c r="B421" s="1716"/>
      <c r="C421" s="1717"/>
      <c r="D421" s="1718"/>
      <c r="E421" s="1719"/>
      <c r="F421" s="1751"/>
      <c r="G421" s="1751"/>
      <c r="H421" s="1720"/>
      <c r="I421" s="1720"/>
      <c r="J421" s="1758"/>
      <c r="K421" s="1752"/>
      <c r="L421" s="1721"/>
      <c r="M421" s="1710"/>
      <c r="N421" s="1711"/>
    </row>
    <row r="422" spans="1:22" ht="24" customHeight="1" thickBot="1">
      <c r="A422" s="1722"/>
      <c r="B422" s="1753"/>
      <c r="C422" s="1724" t="str">
        <f>"รวมราคา "&amp;B172</f>
        <v>รวมราคา งานโครงสร้างชั้น 1</v>
      </c>
      <c r="D422" s="1725"/>
      <c r="E422" s="1726"/>
      <c r="F422" s="1727"/>
      <c r="G422" s="1727"/>
      <c r="H422" s="1727">
        <f>SUM(H173:H420)</f>
        <v>3129597.007398</v>
      </c>
      <c r="I422" s="1727">
        <f>SUM(I173:I420)</f>
        <v>658322.25800000026</v>
      </c>
      <c r="J422" s="1727">
        <f>SUM(J173:J420)</f>
        <v>3787919.2653980004</v>
      </c>
      <c r="K422" s="1727"/>
      <c r="L422" s="1759"/>
      <c r="M422" s="1701"/>
      <c r="N422" s="1701"/>
    </row>
    <row r="423" spans="1:22" ht="24" customHeight="1" thickTop="1">
      <c r="A423" s="1780"/>
      <c r="B423" s="1780"/>
      <c r="C423" s="1827" t="s">
        <v>133</v>
      </c>
      <c r="D423" s="2365"/>
      <c r="E423" s="2365"/>
      <c r="F423" s="2365"/>
      <c r="G423" s="2365"/>
      <c r="H423" s="2365"/>
      <c r="I423" s="2365"/>
      <c r="J423" s="2365"/>
      <c r="K423" s="2365"/>
      <c r="L423" s="1759"/>
      <c r="M423" s="1701"/>
      <c r="N423" s="1701"/>
    </row>
    <row r="424" spans="1:22" ht="24" customHeight="1">
      <c r="A424" s="1780"/>
      <c r="B424" s="2366" t="s">
        <v>1769</v>
      </c>
      <c r="C424" s="2366"/>
      <c r="D424" s="1828"/>
      <c r="E424" s="1769"/>
      <c r="F424" s="1828"/>
      <c r="G424" s="1828" t="s">
        <v>134</v>
      </c>
      <c r="H424" s="1828"/>
      <c r="I424" s="1828"/>
      <c r="J424" s="1828"/>
      <c r="K424" s="1828"/>
      <c r="L424" s="1759"/>
      <c r="M424" s="1701"/>
      <c r="N424" s="1701"/>
    </row>
    <row r="425" spans="1:22" ht="24" customHeight="1">
      <c r="A425" s="1780"/>
      <c r="B425" s="2367" t="s">
        <v>1970</v>
      </c>
      <c r="C425" s="2367"/>
      <c r="D425" s="1831"/>
      <c r="E425" s="1832"/>
      <c r="F425" s="1833"/>
      <c r="G425" s="1833" t="s">
        <v>1971</v>
      </c>
      <c r="H425" s="1833"/>
      <c r="I425" s="1833"/>
      <c r="J425" s="1833"/>
      <c r="K425" s="1833"/>
      <c r="L425" s="1759"/>
      <c r="M425" s="1701"/>
      <c r="N425" s="1701"/>
    </row>
    <row r="426" spans="1:22" ht="24" customHeight="1">
      <c r="A426" s="1830"/>
      <c r="B426" s="1828" t="s">
        <v>2031</v>
      </c>
      <c r="C426" s="1830"/>
      <c r="D426" s="1830"/>
      <c r="E426" s="1830"/>
      <c r="F426" s="1830"/>
      <c r="G426" s="1828" t="s">
        <v>2031</v>
      </c>
      <c r="H426" s="1830"/>
      <c r="I426" s="1830"/>
      <c r="J426" s="1830"/>
      <c r="K426" s="1830"/>
      <c r="L426" s="1759"/>
      <c r="M426" s="1701"/>
      <c r="N426" s="1701"/>
    </row>
    <row r="427" spans="1:22" ht="24" customHeight="1">
      <c r="B427" s="1721" t="s">
        <v>1984</v>
      </c>
      <c r="C427" s="1830"/>
      <c r="D427" s="1685"/>
      <c r="E427" s="1685"/>
      <c r="G427" s="1721" t="s">
        <v>1985</v>
      </c>
      <c r="H427" s="1685"/>
      <c r="I427" s="1685"/>
      <c r="J427" s="1685"/>
      <c r="K427" s="1685"/>
      <c r="L427" s="1759"/>
      <c r="M427" s="1701"/>
      <c r="N427" s="1701"/>
    </row>
    <row r="428" spans="1:22" ht="24" customHeight="1">
      <c r="B428" s="1828" t="s">
        <v>670</v>
      </c>
      <c r="L428" s="1759"/>
      <c r="M428" s="1701"/>
      <c r="N428" s="1701"/>
    </row>
    <row r="429" spans="1:22" ht="24" customHeight="1">
      <c r="B429" s="1721" t="s">
        <v>1972</v>
      </c>
      <c r="L429" s="1759"/>
      <c r="M429" s="1701"/>
      <c r="N429" s="1701"/>
    </row>
    <row r="430" spans="1:22" ht="24" customHeight="1">
      <c r="A430" s="1730">
        <v>1.4</v>
      </c>
      <c r="B430" s="2374" t="s">
        <v>254</v>
      </c>
      <c r="C430" s="2374"/>
      <c r="D430" s="1731"/>
      <c r="E430" s="1732"/>
      <c r="F430" s="1733"/>
      <c r="G430" s="1733"/>
      <c r="H430" s="1733"/>
      <c r="I430" s="1733"/>
      <c r="J430" s="1733"/>
      <c r="K430" s="1733"/>
      <c r="L430" s="1759"/>
      <c r="M430" s="1735"/>
      <c r="N430" s="1735"/>
    </row>
    <row r="431" spans="1:22" ht="24" customHeight="1">
      <c r="A431" s="1702"/>
      <c r="B431" s="2369" t="s">
        <v>245</v>
      </c>
      <c r="C431" s="2369"/>
      <c r="D431" s="1705"/>
      <c r="E431" s="1706"/>
      <c r="F431" s="1707"/>
      <c r="G431" s="1707"/>
      <c r="H431" s="1707"/>
      <c r="I431" s="1707"/>
      <c r="J431" s="1707"/>
      <c r="K431" s="1708"/>
      <c r="L431" s="1721"/>
      <c r="M431" s="1711"/>
      <c r="N431" s="1711"/>
    </row>
    <row r="432" spans="1:22" ht="24" customHeight="1">
      <c r="A432" s="1712"/>
      <c r="B432" s="1673" t="s">
        <v>139</v>
      </c>
      <c r="C432" s="1674" t="s">
        <v>97</v>
      </c>
      <c r="D432" s="1675">
        <v>1129.4000000000001</v>
      </c>
      <c r="E432" s="1676" t="s">
        <v>86</v>
      </c>
      <c r="F432" s="1669">
        <v>430</v>
      </c>
      <c r="G432" s="1669">
        <v>0</v>
      </c>
      <c r="H432" s="1669">
        <f t="shared" ref="H432:H447" si="58">F432*D432</f>
        <v>485642.00000000006</v>
      </c>
      <c r="I432" s="1669">
        <f t="shared" ref="I432:I447" si="59">G432*D432</f>
        <v>0</v>
      </c>
      <c r="J432" s="1669">
        <f t="shared" ref="J432:J440" si="60">SUM(H432:I432)</f>
        <v>485642.00000000006</v>
      </c>
      <c r="K432" s="1708"/>
      <c r="L432" s="1708" t="s">
        <v>1893</v>
      </c>
      <c r="M432" s="1710" t="s">
        <v>1871</v>
      </c>
      <c r="N432" s="1711" t="s">
        <v>663</v>
      </c>
      <c r="V432" s="1711"/>
    </row>
    <row r="433" spans="1:14" ht="24" customHeight="1">
      <c r="A433" s="1712"/>
      <c r="B433" s="2368" t="s">
        <v>423</v>
      </c>
      <c r="C433" s="2368"/>
      <c r="D433" s="1675"/>
      <c r="E433" s="1676"/>
      <c r="F433" s="1669"/>
      <c r="G433" s="1669"/>
      <c r="H433" s="1669"/>
      <c r="I433" s="1669"/>
      <c r="J433" s="1669"/>
      <c r="K433" s="1708"/>
      <c r="L433" s="1721"/>
      <c r="M433" s="1711"/>
      <c r="N433" s="1711"/>
    </row>
    <row r="434" spans="1:14" ht="24" customHeight="1">
      <c r="A434" s="1712"/>
      <c r="B434" s="1673" t="s">
        <v>139</v>
      </c>
      <c r="C434" s="1674" t="s">
        <v>228</v>
      </c>
      <c r="D434" s="1675">
        <v>297.10000000000002</v>
      </c>
      <c r="E434" s="1676" t="s">
        <v>85</v>
      </c>
      <c r="F434" s="1736">
        <v>2679.9</v>
      </c>
      <c r="G434" s="1736">
        <v>519</v>
      </c>
      <c r="H434" s="1669">
        <f t="shared" si="58"/>
        <v>796198.29</v>
      </c>
      <c r="I434" s="1669">
        <f t="shared" si="59"/>
        <v>154194.90000000002</v>
      </c>
      <c r="J434" s="1669">
        <f t="shared" si="60"/>
        <v>950393.19000000006</v>
      </c>
      <c r="K434" s="1708"/>
      <c r="L434" s="1721"/>
      <c r="M434" s="1710" t="s">
        <v>1016</v>
      </c>
      <c r="N434" s="1711" t="s">
        <v>659</v>
      </c>
    </row>
    <row r="435" spans="1:14" ht="24" customHeight="1">
      <c r="A435" s="1712"/>
      <c r="B435" s="2368" t="s">
        <v>225</v>
      </c>
      <c r="C435" s="2368"/>
      <c r="D435" s="1675">
        <v>1185.9000000000001</v>
      </c>
      <c r="E435" s="1676"/>
      <c r="F435" s="1669"/>
      <c r="G435" s="1669"/>
      <c r="H435" s="1669"/>
      <c r="I435" s="1669"/>
      <c r="J435" s="1669"/>
      <c r="K435" s="1708"/>
      <c r="L435" s="1721"/>
      <c r="M435" s="1711"/>
      <c r="N435" s="1711"/>
    </row>
    <row r="436" spans="1:14" ht="24" customHeight="1">
      <c r="A436" s="1712"/>
      <c r="B436" s="1673" t="s">
        <v>139</v>
      </c>
      <c r="C436" s="1674" t="s">
        <v>1784</v>
      </c>
      <c r="D436" s="1675">
        <f>D435</f>
        <v>1185.9000000000001</v>
      </c>
      <c r="E436" s="1676" t="s">
        <v>86</v>
      </c>
      <c r="F436" s="1736"/>
      <c r="G436" s="1736">
        <v>121</v>
      </c>
      <c r="H436" s="1669">
        <f t="shared" si="58"/>
        <v>0</v>
      </c>
      <c r="I436" s="1669">
        <f t="shared" si="59"/>
        <v>143493.90000000002</v>
      </c>
      <c r="J436" s="1669">
        <f t="shared" si="60"/>
        <v>143493.90000000002</v>
      </c>
      <c r="K436" s="1708"/>
      <c r="L436" s="1721"/>
      <c r="M436" s="1710" t="s">
        <v>1017</v>
      </c>
      <c r="N436" s="1711" t="s">
        <v>659</v>
      </c>
    </row>
    <row r="437" spans="1:14" ht="24" customHeight="1">
      <c r="A437" s="1712"/>
      <c r="B437" s="1673" t="s">
        <v>139</v>
      </c>
      <c r="C437" s="1674" t="s">
        <v>198</v>
      </c>
      <c r="D437" s="1675">
        <f>D435*0.5</f>
        <v>592.95000000000005</v>
      </c>
      <c r="E437" s="1676" t="s">
        <v>164</v>
      </c>
      <c r="F437" s="1736">
        <v>400</v>
      </c>
      <c r="G437" s="1736"/>
      <c r="H437" s="1669">
        <f t="shared" si="58"/>
        <v>237180.00000000003</v>
      </c>
      <c r="I437" s="1669">
        <f t="shared" si="59"/>
        <v>0</v>
      </c>
      <c r="J437" s="1669">
        <f t="shared" si="60"/>
        <v>237180.00000000003</v>
      </c>
      <c r="K437" s="1708"/>
      <c r="L437" s="1721"/>
      <c r="M437" s="1710" t="s">
        <v>1018</v>
      </c>
      <c r="N437" s="1711"/>
    </row>
    <row r="438" spans="1:14" s="1685" customFormat="1" ht="24" customHeight="1">
      <c r="A438" s="1712"/>
      <c r="B438" s="1673" t="s">
        <v>139</v>
      </c>
      <c r="C438" s="1674" t="s">
        <v>1782</v>
      </c>
      <c r="D438" s="1675">
        <f>D437*0.3</f>
        <v>177.88500000000002</v>
      </c>
      <c r="E438" s="1676" t="s">
        <v>164</v>
      </c>
      <c r="F438" s="1669">
        <v>400</v>
      </c>
      <c r="G438" s="1669">
        <v>0</v>
      </c>
      <c r="H438" s="1669">
        <f t="shared" si="58"/>
        <v>71154.000000000015</v>
      </c>
      <c r="I438" s="1669">
        <f t="shared" si="59"/>
        <v>0</v>
      </c>
      <c r="J438" s="1669">
        <f t="shared" si="60"/>
        <v>71154.000000000015</v>
      </c>
      <c r="K438" s="1708"/>
      <c r="L438" s="1721"/>
      <c r="M438" s="1710" t="s">
        <v>1018</v>
      </c>
      <c r="N438" s="1711"/>
    </row>
    <row r="439" spans="1:14" ht="24" customHeight="1">
      <c r="A439" s="1712"/>
      <c r="B439" s="1673" t="s">
        <v>139</v>
      </c>
      <c r="C439" s="1674" t="s">
        <v>163</v>
      </c>
      <c r="D439" s="1675">
        <f>D435</f>
        <v>1185.9000000000001</v>
      </c>
      <c r="E439" s="1676" t="s">
        <v>83</v>
      </c>
      <c r="F439" s="1669">
        <v>28</v>
      </c>
      <c r="G439" s="1669">
        <v>0</v>
      </c>
      <c r="H439" s="1669">
        <f t="shared" si="58"/>
        <v>33205.200000000004</v>
      </c>
      <c r="I439" s="1669">
        <f t="shared" si="59"/>
        <v>0</v>
      </c>
      <c r="J439" s="1669">
        <f t="shared" si="60"/>
        <v>33205.200000000004</v>
      </c>
      <c r="K439" s="1708"/>
      <c r="L439" s="1721"/>
      <c r="M439" s="1710" t="s">
        <v>1018</v>
      </c>
      <c r="N439" s="1711"/>
    </row>
    <row r="440" spans="1:14" ht="24" customHeight="1">
      <c r="A440" s="1712"/>
      <c r="B440" s="1673" t="s">
        <v>139</v>
      </c>
      <c r="C440" s="1674" t="s">
        <v>1781</v>
      </c>
      <c r="D440" s="1675">
        <f>D435*0.25</f>
        <v>296.47500000000002</v>
      </c>
      <c r="E440" s="1676" t="s">
        <v>87</v>
      </c>
      <c r="F440" s="1736">
        <v>23.89</v>
      </c>
      <c r="G440" s="1736">
        <v>0</v>
      </c>
      <c r="H440" s="1669">
        <f t="shared" si="58"/>
        <v>7082.7877500000004</v>
      </c>
      <c r="I440" s="1669">
        <f t="shared" si="59"/>
        <v>0</v>
      </c>
      <c r="J440" s="1669">
        <f t="shared" si="60"/>
        <v>7082.7877500000004</v>
      </c>
      <c r="K440" s="1708"/>
      <c r="L440" s="1721"/>
      <c r="M440" s="1710" t="s">
        <v>660</v>
      </c>
      <c r="N440" s="1711"/>
    </row>
    <row r="441" spans="1:14" ht="24" customHeight="1">
      <c r="A441" s="1712"/>
      <c r="B441" s="2368" t="s">
        <v>246</v>
      </c>
      <c r="C441" s="2368"/>
      <c r="D441" s="1675"/>
      <c r="E441" s="1676"/>
      <c r="F441" s="1669"/>
      <c r="G441" s="1669"/>
      <c r="H441" s="1669"/>
      <c r="I441" s="1669"/>
      <c r="J441" s="1669"/>
      <c r="K441" s="1708"/>
      <c r="L441" s="1721"/>
      <c r="M441" s="1711"/>
      <c r="N441" s="1711"/>
    </row>
    <row r="442" spans="1:14" ht="24" customHeight="1">
      <c r="A442" s="1712"/>
      <c r="B442" s="1673" t="s">
        <v>139</v>
      </c>
      <c r="C442" s="1674" t="s">
        <v>88</v>
      </c>
      <c r="D442" s="1675">
        <v>1573.8</v>
      </c>
      <c r="E442" s="1676" t="s">
        <v>87</v>
      </c>
      <c r="F442" s="1677">
        <v>21.4</v>
      </c>
      <c r="G442" s="1677">
        <v>4.4000000000000004</v>
      </c>
      <c r="H442" s="1669">
        <f t="shared" si="58"/>
        <v>33679.32</v>
      </c>
      <c r="I442" s="1669">
        <f t="shared" si="59"/>
        <v>6924.72</v>
      </c>
      <c r="J442" s="1669">
        <f t="shared" ref="J442:J447" si="61">SUM(H442:I442)</f>
        <v>40604.04</v>
      </c>
      <c r="K442" s="1708"/>
      <c r="L442" s="1721"/>
      <c r="M442" s="1710" t="s">
        <v>1016</v>
      </c>
      <c r="N442" s="1711" t="s">
        <v>659</v>
      </c>
    </row>
    <row r="443" spans="1:14" ht="24" customHeight="1">
      <c r="A443" s="1712"/>
      <c r="B443" s="1673" t="s">
        <v>139</v>
      </c>
      <c r="C443" s="1674" t="s">
        <v>89</v>
      </c>
      <c r="D443" s="1675">
        <v>31031.9</v>
      </c>
      <c r="E443" s="1676" t="s">
        <v>87</v>
      </c>
      <c r="F443" s="1677">
        <v>21.4</v>
      </c>
      <c r="G443" s="1677">
        <v>3.6</v>
      </c>
      <c r="H443" s="1669">
        <f t="shared" si="58"/>
        <v>664082.66</v>
      </c>
      <c r="I443" s="1669">
        <f t="shared" si="59"/>
        <v>111714.84000000001</v>
      </c>
      <c r="J443" s="1669">
        <f t="shared" si="61"/>
        <v>775797.5</v>
      </c>
      <c r="K443" s="1708"/>
      <c r="L443" s="1721"/>
      <c r="M443" s="1710" t="s">
        <v>1016</v>
      </c>
      <c r="N443" s="1711" t="s">
        <v>659</v>
      </c>
    </row>
    <row r="444" spans="1:14" ht="24" customHeight="1">
      <c r="A444" s="1712"/>
      <c r="B444" s="1673" t="s">
        <v>139</v>
      </c>
      <c r="C444" s="1674" t="s">
        <v>90</v>
      </c>
      <c r="D444" s="1675">
        <v>4995.5</v>
      </c>
      <c r="E444" s="1676" t="s">
        <v>87</v>
      </c>
      <c r="F444" s="1677">
        <v>21.2</v>
      </c>
      <c r="G444" s="1677">
        <v>3.6</v>
      </c>
      <c r="H444" s="1669">
        <f t="shared" si="58"/>
        <v>105904.59999999999</v>
      </c>
      <c r="I444" s="1669">
        <f t="shared" si="59"/>
        <v>17983.8</v>
      </c>
      <c r="J444" s="1669">
        <f t="shared" si="61"/>
        <v>123888.4</v>
      </c>
      <c r="K444" s="1708"/>
      <c r="L444" s="1721"/>
      <c r="M444" s="1710" t="s">
        <v>1016</v>
      </c>
      <c r="N444" s="1711" t="s">
        <v>659</v>
      </c>
    </row>
    <row r="445" spans="1:14" ht="24" customHeight="1">
      <c r="A445" s="1712"/>
      <c r="B445" s="1665" t="s">
        <v>139</v>
      </c>
      <c r="C445" s="1666" t="s">
        <v>91</v>
      </c>
      <c r="D445" s="1667">
        <v>1963.8</v>
      </c>
      <c r="E445" s="1668" t="s">
        <v>87</v>
      </c>
      <c r="F445" s="1744">
        <v>21.2</v>
      </c>
      <c r="G445" s="1744">
        <v>3.1</v>
      </c>
      <c r="H445" s="1670">
        <f t="shared" si="58"/>
        <v>41632.559999999998</v>
      </c>
      <c r="I445" s="1670">
        <f t="shared" si="59"/>
        <v>6087.78</v>
      </c>
      <c r="J445" s="1670">
        <f t="shared" si="61"/>
        <v>47720.34</v>
      </c>
      <c r="K445" s="1746"/>
      <c r="L445" s="1721"/>
      <c r="M445" s="1710" t="s">
        <v>1016</v>
      </c>
      <c r="N445" s="1711" t="s">
        <v>659</v>
      </c>
    </row>
    <row r="446" spans="1:14" ht="24" customHeight="1">
      <c r="A446" s="1672"/>
      <c r="B446" s="1673" t="s">
        <v>139</v>
      </c>
      <c r="C446" s="1674" t="s">
        <v>1014</v>
      </c>
      <c r="D446" s="1675">
        <v>1813.8</v>
      </c>
      <c r="E446" s="1676" t="s">
        <v>87</v>
      </c>
      <c r="F446" s="1677">
        <v>21.2</v>
      </c>
      <c r="G446" s="1677">
        <v>3.1</v>
      </c>
      <c r="H446" s="1669">
        <f t="shared" si="58"/>
        <v>38452.559999999998</v>
      </c>
      <c r="I446" s="1669">
        <f t="shared" si="59"/>
        <v>5622.78</v>
      </c>
      <c r="J446" s="1669">
        <f t="shared" si="61"/>
        <v>44075.34</v>
      </c>
      <c r="K446" s="1708"/>
      <c r="L446" s="1721"/>
      <c r="M446" s="1710" t="s">
        <v>1016</v>
      </c>
      <c r="N446" s="1711" t="s">
        <v>659</v>
      </c>
    </row>
    <row r="447" spans="1:14" ht="24" customHeight="1">
      <c r="A447" s="1672"/>
      <c r="B447" s="1673" t="s">
        <v>139</v>
      </c>
      <c r="C447" s="1674" t="s">
        <v>200</v>
      </c>
      <c r="D447" s="1675">
        <f>SUM(D442:D446)*0.03</f>
        <v>1241.364</v>
      </c>
      <c r="E447" s="1676" t="s">
        <v>87</v>
      </c>
      <c r="F447" s="1677">
        <v>25.83</v>
      </c>
      <c r="G447" s="1677">
        <v>0</v>
      </c>
      <c r="H447" s="1669">
        <f t="shared" si="58"/>
        <v>32064.432119999998</v>
      </c>
      <c r="I447" s="1669">
        <f t="shared" si="59"/>
        <v>0</v>
      </c>
      <c r="J447" s="1669">
        <f t="shared" si="61"/>
        <v>32064.432119999998</v>
      </c>
      <c r="K447" s="1708"/>
      <c r="L447" s="1721"/>
      <c r="M447" s="1710" t="s">
        <v>1019</v>
      </c>
      <c r="N447" s="1711"/>
    </row>
    <row r="448" spans="1:14" ht="24" customHeight="1">
      <c r="A448" s="1672"/>
      <c r="B448" s="2368" t="s">
        <v>247</v>
      </c>
      <c r="C448" s="2368"/>
      <c r="D448" s="1675"/>
      <c r="E448" s="1676"/>
      <c r="F448" s="1669"/>
      <c r="G448" s="1669"/>
      <c r="H448" s="1669"/>
      <c r="I448" s="1669"/>
      <c r="J448" s="1669"/>
      <c r="K448" s="1708"/>
      <c r="L448" s="1721"/>
      <c r="M448" s="1711"/>
      <c r="N448" s="1711"/>
    </row>
    <row r="449" spans="1:14" ht="24" customHeight="1">
      <c r="A449" s="1672"/>
      <c r="B449" s="2368" t="s">
        <v>415</v>
      </c>
      <c r="C449" s="2368"/>
      <c r="D449" s="1675"/>
      <c r="E449" s="1676"/>
      <c r="F449" s="1669"/>
      <c r="G449" s="1669"/>
      <c r="H449" s="1669"/>
      <c r="I449" s="1669"/>
      <c r="J449" s="1669"/>
      <c r="K449" s="1708"/>
      <c r="L449" s="1721"/>
      <c r="M449" s="1711"/>
      <c r="N449" s="1711"/>
    </row>
    <row r="450" spans="1:14" ht="24" customHeight="1">
      <c r="A450" s="1712"/>
      <c r="B450" s="1673" t="s">
        <v>139</v>
      </c>
      <c r="C450" s="1674" t="s">
        <v>228</v>
      </c>
      <c r="D450" s="1675">
        <v>68.900000000000006</v>
      </c>
      <c r="E450" s="1676" t="s">
        <v>85</v>
      </c>
      <c r="F450" s="1736">
        <v>2679.9</v>
      </c>
      <c r="G450" s="1736">
        <v>519</v>
      </c>
      <c r="H450" s="1669">
        <f t="shared" ref="H450:H456" si="62">F450*D450</f>
        <v>184645.11000000002</v>
      </c>
      <c r="I450" s="1669">
        <f t="shared" ref="I450:I456" si="63">G450*D450</f>
        <v>35759.100000000006</v>
      </c>
      <c r="J450" s="1669">
        <f t="shared" ref="J450:J456" si="64">SUM(H450:I450)</f>
        <v>220404.21000000002</v>
      </c>
      <c r="K450" s="1708"/>
      <c r="L450" s="1721"/>
      <c r="M450" s="1710" t="s">
        <v>1016</v>
      </c>
      <c r="N450" s="1711" t="s">
        <v>659</v>
      </c>
    </row>
    <row r="451" spans="1:14" ht="24" customHeight="1">
      <c r="A451" s="1760"/>
      <c r="B451" s="2368" t="s">
        <v>226</v>
      </c>
      <c r="C451" s="2368"/>
      <c r="D451" s="1675">
        <v>378.4</v>
      </c>
      <c r="E451" s="1676"/>
      <c r="F451" s="1736"/>
      <c r="G451" s="1736"/>
      <c r="H451" s="1669"/>
      <c r="I451" s="1669"/>
      <c r="J451" s="1669"/>
      <c r="K451" s="1708"/>
      <c r="L451" s="1721"/>
      <c r="M451" s="1711"/>
      <c r="N451" s="1711"/>
    </row>
    <row r="452" spans="1:14" s="1701" customFormat="1" ht="24" customHeight="1">
      <c r="A452" s="1672"/>
      <c r="B452" s="1673" t="s">
        <v>139</v>
      </c>
      <c r="C452" s="1674" t="s">
        <v>1784</v>
      </c>
      <c r="D452" s="1675">
        <f>D451</f>
        <v>378.4</v>
      </c>
      <c r="E452" s="1676" t="s">
        <v>86</v>
      </c>
      <c r="F452" s="1736">
        <v>0</v>
      </c>
      <c r="G452" s="1669">
        <v>121</v>
      </c>
      <c r="H452" s="1669">
        <f t="shared" si="62"/>
        <v>0</v>
      </c>
      <c r="I452" s="1669">
        <f t="shared" si="63"/>
        <v>45786.399999999994</v>
      </c>
      <c r="J452" s="1669">
        <f t="shared" si="64"/>
        <v>45786.399999999994</v>
      </c>
      <c r="K452" s="1708"/>
      <c r="L452" s="1721"/>
      <c r="M452" s="1710" t="s">
        <v>1017</v>
      </c>
      <c r="N452" s="1711" t="s">
        <v>659</v>
      </c>
    </row>
    <row r="453" spans="1:14" s="1735" customFormat="1" ht="24" customHeight="1">
      <c r="A453" s="1712"/>
      <c r="B453" s="1703" t="s">
        <v>139</v>
      </c>
      <c r="C453" s="1743" t="s">
        <v>198</v>
      </c>
      <c r="D453" s="1705">
        <f>D451*0.5</f>
        <v>189.2</v>
      </c>
      <c r="E453" s="1706" t="s">
        <v>164</v>
      </c>
      <c r="F453" s="1742">
        <v>400</v>
      </c>
      <c r="G453" s="1742">
        <v>0</v>
      </c>
      <c r="H453" s="1707">
        <f t="shared" si="62"/>
        <v>75680</v>
      </c>
      <c r="I453" s="1707">
        <f t="shared" si="63"/>
        <v>0</v>
      </c>
      <c r="J453" s="1707">
        <f t="shared" si="64"/>
        <v>75680</v>
      </c>
      <c r="K453" s="1709"/>
      <c r="L453" s="1721"/>
      <c r="M453" s="1710" t="s">
        <v>1018</v>
      </c>
      <c r="N453" s="1711"/>
    </row>
    <row r="454" spans="1:14" ht="24" customHeight="1">
      <c r="A454" s="1712"/>
      <c r="B454" s="1673" t="s">
        <v>139</v>
      </c>
      <c r="C454" s="1674" t="s">
        <v>1782</v>
      </c>
      <c r="D454" s="1675">
        <f>D453*0.3</f>
        <v>56.76</v>
      </c>
      <c r="E454" s="1676" t="s">
        <v>164</v>
      </c>
      <c r="F454" s="1736">
        <v>400</v>
      </c>
      <c r="G454" s="1736">
        <v>0</v>
      </c>
      <c r="H454" s="1669">
        <f t="shared" si="62"/>
        <v>22704</v>
      </c>
      <c r="I454" s="1669">
        <f t="shared" si="63"/>
        <v>0</v>
      </c>
      <c r="J454" s="1669">
        <f t="shared" si="64"/>
        <v>22704</v>
      </c>
      <c r="K454" s="1708"/>
      <c r="L454" s="1721"/>
      <c r="M454" s="1710" t="s">
        <v>1018</v>
      </c>
      <c r="N454" s="1685"/>
    </row>
    <row r="455" spans="1:14" ht="24" customHeight="1">
      <c r="A455" s="1702"/>
      <c r="B455" s="1703" t="s">
        <v>139</v>
      </c>
      <c r="C455" s="1743" t="s">
        <v>163</v>
      </c>
      <c r="D455" s="1705">
        <f>D451</f>
        <v>378.4</v>
      </c>
      <c r="E455" s="1706" t="s">
        <v>83</v>
      </c>
      <c r="F455" s="1742">
        <v>28</v>
      </c>
      <c r="G455" s="1742">
        <v>0</v>
      </c>
      <c r="H455" s="1707">
        <f t="shared" si="62"/>
        <v>10595.199999999999</v>
      </c>
      <c r="I455" s="1707">
        <f t="shared" si="63"/>
        <v>0</v>
      </c>
      <c r="J455" s="1707">
        <f t="shared" si="64"/>
        <v>10595.199999999999</v>
      </c>
      <c r="K455" s="1709"/>
      <c r="L455" s="1721"/>
      <c r="M455" s="1710" t="s">
        <v>1018</v>
      </c>
      <c r="N455" s="1685"/>
    </row>
    <row r="456" spans="1:14" ht="24" customHeight="1">
      <c r="A456" s="1712"/>
      <c r="B456" s="1673" t="s">
        <v>139</v>
      </c>
      <c r="C456" s="1674" t="s">
        <v>1781</v>
      </c>
      <c r="D456" s="1675">
        <f>D451*0.25</f>
        <v>94.6</v>
      </c>
      <c r="E456" s="1676" t="s">
        <v>87</v>
      </c>
      <c r="F456" s="1736">
        <v>23.89</v>
      </c>
      <c r="G456" s="1736">
        <v>0</v>
      </c>
      <c r="H456" s="1669">
        <f t="shared" si="62"/>
        <v>2259.9940000000001</v>
      </c>
      <c r="I456" s="1669">
        <f t="shared" si="63"/>
        <v>0</v>
      </c>
      <c r="J456" s="1669">
        <f t="shared" si="64"/>
        <v>2259.9940000000001</v>
      </c>
      <c r="K456" s="1708"/>
      <c r="L456" s="1721"/>
      <c r="M456" s="1710" t="s">
        <v>660</v>
      </c>
      <c r="N456" s="1685"/>
    </row>
    <row r="457" spans="1:14" ht="24" customHeight="1">
      <c r="A457" s="1780"/>
      <c r="B457" s="1780"/>
      <c r="C457" s="1827" t="s">
        <v>133</v>
      </c>
      <c r="D457" s="2365"/>
      <c r="E457" s="2365"/>
      <c r="F457" s="2365"/>
      <c r="G457" s="2365"/>
      <c r="H457" s="2365"/>
      <c r="I457" s="2365"/>
      <c r="J457" s="2365"/>
      <c r="K457" s="2365"/>
      <c r="L457" s="1721"/>
      <c r="M457" s="1710"/>
      <c r="N457" s="1685"/>
    </row>
    <row r="458" spans="1:14" ht="24" customHeight="1">
      <c r="A458" s="1780"/>
      <c r="B458" s="2366" t="s">
        <v>1769</v>
      </c>
      <c r="C458" s="2366"/>
      <c r="D458" s="1828"/>
      <c r="E458" s="1769"/>
      <c r="F458" s="1828"/>
      <c r="G458" s="1828" t="s">
        <v>134</v>
      </c>
      <c r="H458" s="1828"/>
      <c r="I458" s="1828"/>
      <c r="J458" s="1828"/>
      <c r="K458" s="1828"/>
      <c r="L458" s="1721"/>
      <c r="M458" s="1710"/>
      <c r="N458" s="1685"/>
    </row>
    <row r="459" spans="1:14" ht="24" customHeight="1">
      <c r="A459" s="1780"/>
      <c r="B459" s="2367" t="s">
        <v>1970</v>
      </c>
      <c r="C459" s="2367"/>
      <c r="D459" s="1831"/>
      <c r="E459" s="1832"/>
      <c r="F459" s="1833"/>
      <c r="G459" s="1833" t="s">
        <v>1971</v>
      </c>
      <c r="H459" s="1833"/>
      <c r="I459" s="1833"/>
      <c r="J459" s="1833"/>
      <c r="K459" s="1833"/>
      <c r="L459" s="1721"/>
      <c r="M459" s="1710"/>
      <c r="N459" s="1685"/>
    </row>
    <row r="460" spans="1:14" ht="24" customHeight="1">
      <c r="A460" s="1830"/>
      <c r="B460" s="1828" t="s">
        <v>2031</v>
      </c>
      <c r="C460" s="1830"/>
      <c r="D460" s="1830"/>
      <c r="E460" s="1830"/>
      <c r="F460" s="1830"/>
      <c r="G460" s="1828" t="s">
        <v>2031</v>
      </c>
      <c r="H460" s="1830"/>
      <c r="I460" s="1830"/>
      <c r="J460" s="1830"/>
      <c r="K460" s="1830"/>
      <c r="L460" s="1721"/>
      <c r="M460" s="1710"/>
      <c r="N460" s="1685"/>
    </row>
    <row r="461" spans="1:14" ht="24" customHeight="1">
      <c r="B461" s="1721" t="s">
        <v>1984</v>
      </c>
      <c r="C461" s="1830"/>
      <c r="D461" s="1685"/>
      <c r="E461" s="1685"/>
      <c r="G461" s="1721" t="s">
        <v>1985</v>
      </c>
      <c r="H461" s="1685"/>
      <c r="I461" s="1685"/>
      <c r="J461" s="1685"/>
      <c r="K461" s="1685"/>
      <c r="L461" s="1721"/>
      <c r="M461" s="1710"/>
      <c r="N461" s="1685"/>
    </row>
    <row r="462" spans="1:14" ht="24" customHeight="1">
      <c r="B462" s="1828" t="s">
        <v>670</v>
      </c>
      <c r="L462" s="1721"/>
      <c r="M462" s="1710"/>
      <c r="N462" s="1685"/>
    </row>
    <row r="463" spans="1:14" ht="24" customHeight="1">
      <c r="B463" s="1721" t="s">
        <v>1972</v>
      </c>
      <c r="L463" s="1721"/>
      <c r="M463" s="1710"/>
      <c r="N463" s="1685"/>
    </row>
    <row r="464" spans="1:14" ht="24" customHeight="1">
      <c r="A464" s="1712"/>
      <c r="B464" s="2368" t="s">
        <v>248</v>
      </c>
      <c r="C464" s="2368"/>
      <c r="D464" s="1675"/>
      <c r="E464" s="1676"/>
      <c r="F464" s="1669"/>
      <c r="G464" s="1669"/>
      <c r="H464" s="1669"/>
      <c r="I464" s="1669"/>
      <c r="J464" s="1669"/>
      <c r="K464" s="1708"/>
      <c r="L464" s="1721"/>
      <c r="M464" s="1711"/>
      <c r="N464" s="1711"/>
    </row>
    <row r="465" spans="1:14" ht="24" customHeight="1">
      <c r="A465" s="1712"/>
      <c r="B465" s="1673" t="s">
        <v>139</v>
      </c>
      <c r="C465" s="1674" t="s">
        <v>88</v>
      </c>
      <c r="D465" s="1675">
        <v>1868.1</v>
      </c>
      <c r="E465" s="1676" t="s">
        <v>87</v>
      </c>
      <c r="F465" s="1677">
        <v>21.4</v>
      </c>
      <c r="G465" s="1677">
        <v>4.4000000000000004</v>
      </c>
      <c r="H465" s="1669">
        <f>F465*D465</f>
        <v>39977.339999999997</v>
      </c>
      <c r="I465" s="1669">
        <f>G465*D465</f>
        <v>8219.64</v>
      </c>
      <c r="J465" s="1669">
        <f>SUM(H465:I465)</f>
        <v>48196.979999999996</v>
      </c>
      <c r="K465" s="1708"/>
      <c r="L465" s="1721"/>
      <c r="M465" s="1710" t="s">
        <v>1016</v>
      </c>
      <c r="N465" s="1711" t="s">
        <v>659</v>
      </c>
    </row>
    <row r="466" spans="1:14" ht="24" customHeight="1">
      <c r="A466" s="1712"/>
      <c r="B466" s="1673" t="s">
        <v>139</v>
      </c>
      <c r="C466" s="1674" t="s">
        <v>1014</v>
      </c>
      <c r="D466" s="1675">
        <v>8946.4</v>
      </c>
      <c r="E466" s="1676" t="s">
        <v>87</v>
      </c>
      <c r="F466" s="1677">
        <v>21.2</v>
      </c>
      <c r="G466" s="1677">
        <v>3.1</v>
      </c>
      <c r="H466" s="1669">
        <f>F466*D466</f>
        <v>189663.68</v>
      </c>
      <c r="I466" s="1669">
        <f>G466*D466</f>
        <v>27733.84</v>
      </c>
      <c r="J466" s="1669">
        <f>SUM(H466:I466)</f>
        <v>217397.52</v>
      </c>
      <c r="K466" s="1708"/>
      <c r="L466" s="1721"/>
      <c r="M466" s="1710" t="s">
        <v>1016</v>
      </c>
      <c r="N466" s="1711" t="s">
        <v>659</v>
      </c>
    </row>
    <row r="467" spans="1:14" ht="24" customHeight="1">
      <c r="A467" s="1712"/>
      <c r="B467" s="1673" t="s">
        <v>139</v>
      </c>
      <c r="C467" s="1674" t="s">
        <v>200</v>
      </c>
      <c r="D467" s="1675">
        <f>SUM(D465:D466)*0.03</f>
        <v>324.435</v>
      </c>
      <c r="E467" s="1676" t="s">
        <v>87</v>
      </c>
      <c r="F467" s="1677">
        <v>25.83</v>
      </c>
      <c r="G467" s="1677">
        <v>0</v>
      </c>
      <c r="H467" s="1669">
        <f>F467*D467</f>
        <v>8380.1560499999996</v>
      </c>
      <c r="I467" s="1669">
        <f>G467*D467</f>
        <v>0</v>
      </c>
      <c r="J467" s="1669">
        <f>SUM(H467:I467)</f>
        <v>8380.1560499999996</v>
      </c>
      <c r="K467" s="1708"/>
      <c r="L467" s="1721"/>
      <c r="M467" s="1710" t="s">
        <v>1019</v>
      </c>
      <c r="N467" s="1711"/>
    </row>
    <row r="468" spans="1:14" ht="24" customHeight="1">
      <c r="A468" s="1712"/>
      <c r="B468" s="1748" t="s">
        <v>250</v>
      </c>
      <c r="C468" s="1674"/>
      <c r="D468" s="1675"/>
      <c r="E468" s="1676"/>
      <c r="F468" s="1677"/>
      <c r="G468" s="1677"/>
      <c r="H468" s="1669">
        <f t="shared" ref="H468:H481" si="65">F468*D468</f>
        <v>0</v>
      </c>
      <c r="I468" s="1669">
        <f t="shared" ref="I468:I481" si="66">G468*D468</f>
        <v>0</v>
      </c>
      <c r="J468" s="1669">
        <f t="shared" ref="J468:J481" si="67">SUM(H468:I468)</f>
        <v>0</v>
      </c>
      <c r="K468" s="1708"/>
      <c r="L468" s="1721"/>
      <c r="M468" s="1710"/>
      <c r="N468" s="1711"/>
    </row>
    <row r="469" spans="1:14" ht="24" customHeight="1">
      <c r="A469" s="1712"/>
      <c r="B469" s="2368" t="s">
        <v>422</v>
      </c>
      <c r="C469" s="2368"/>
      <c r="D469" s="1675"/>
      <c r="E469" s="1676"/>
      <c r="F469" s="1669"/>
      <c r="G469" s="1669"/>
      <c r="H469" s="1669">
        <f t="shared" si="65"/>
        <v>0</v>
      </c>
      <c r="I469" s="1669">
        <f t="shared" si="66"/>
        <v>0</v>
      </c>
      <c r="J469" s="1669">
        <f t="shared" si="67"/>
        <v>0</v>
      </c>
      <c r="K469" s="1708"/>
      <c r="L469" s="1721"/>
      <c r="M469" s="1711"/>
      <c r="N469" s="1711"/>
    </row>
    <row r="470" spans="1:14" ht="24" customHeight="1">
      <c r="A470" s="1712"/>
      <c r="B470" s="1673" t="s">
        <v>139</v>
      </c>
      <c r="C470" s="1674" t="s">
        <v>228</v>
      </c>
      <c r="D470" s="1675">
        <v>8.1999999999999993</v>
      </c>
      <c r="E470" s="1676" t="s">
        <v>85</v>
      </c>
      <c r="F470" s="1736">
        <v>2679.9</v>
      </c>
      <c r="G470" s="1736">
        <v>519</v>
      </c>
      <c r="H470" s="1669">
        <f t="shared" si="65"/>
        <v>21975.18</v>
      </c>
      <c r="I470" s="1669">
        <f t="shared" si="66"/>
        <v>4255.7999999999993</v>
      </c>
      <c r="J470" s="1669">
        <f t="shared" si="67"/>
        <v>26230.98</v>
      </c>
      <c r="K470" s="1708"/>
      <c r="L470" s="1721"/>
      <c r="M470" s="1710" t="s">
        <v>1016</v>
      </c>
      <c r="N470" s="1711" t="s">
        <v>659</v>
      </c>
    </row>
    <row r="471" spans="1:14" ht="24" customHeight="1">
      <c r="A471" s="1712"/>
      <c r="B471" s="2368" t="s">
        <v>227</v>
      </c>
      <c r="C471" s="2368"/>
      <c r="D471" s="1675">
        <v>73.2</v>
      </c>
      <c r="E471" s="1676"/>
      <c r="F471" s="1669"/>
      <c r="G471" s="1669"/>
      <c r="H471" s="1669"/>
      <c r="I471" s="1669"/>
      <c r="J471" s="1669"/>
      <c r="K471" s="1708"/>
      <c r="L471" s="1721"/>
      <c r="M471" s="1711"/>
      <c r="N471" s="1711"/>
    </row>
    <row r="472" spans="1:14" ht="24" customHeight="1">
      <c r="A472" s="1712"/>
      <c r="B472" s="1673" t="s">
        <v>139</v>
      </c>
      <c r="C472" s="1674" t="s">
        <v>1784</v>
      </c>
      <c r="D472" s="1675">
        <f>D471</f>
        <v>73.2</v>
      </c>
      <c r="E472" s="1676" t="s">
        <v>86</v>
      </c>
      <c r="F472" s="1669"/>
      <c r="G472" s="1669">
        <v>121</v>
      </c>
      <c r="H472" s="1669">
        <f t="shared" si="65"/>
        <v>0</v>
      </c>
      <c r="I472" s="1669">
        <f t="shared" si="66"/>
        <v>8857.2000000000007</v>
      </c>
      <c r="J472" s="1669">
        <f t="shared" si="67"/>
        <v>8857.2000000000007</v>
      </c>
      <c r="K472" s="1708"/>
      <c r="L472" s="1721"/>
      <c r="M472" s="1710" t="s">
        <v>1017</v>
      </c>
      <c r="N472" s="1711" t="s">
        <v>659</v>
      </c>
    </row>
    <row r="473" spans="1:14" ht="24" customHeight="1">
      <c r="A473" s="1712"/>
      <c r="B473" s="1673" t="s">
        <v>139</v>
      </c>
      <c r="C473" s="1674" t="s">
        <v>198</v>
      </c>
      <c r="D473" s="1675">
        <f>D471*0.5</f>
        <v>36.6</v>
      </c>
      <c r="E473" s="1676" t="s">
        <v>164</v>
      </c>
      <c r="F473" s="1669">
        <v>400</v>
      </c>
      <c r="G473" s="1669"/>
      <c r="H473" s="1669">
        <f t="shared" si="65"/>
        <v>14640</v>
      </c>
      <c r="I473" s="1669">
        <f t="shared" si="66"/>
        <v>0</v>
      </c>
      <c r="J473" s="1669">
        <f t="shared" si="67"/>
        <v>14640</v>
      </c>
      <c r="K473" s="1708"/>
      <c r="L473" s="1721"/>
      <c r="M473" s="1710" t="s">
        <v>1018</v>
      </c>
      <c r="N473" s="1711"/>
    </row>
    <row r="474" spans="1:14" ht="24" customHeight="1">
      <c r="A474" s="1712"/>
      <c r="B474" s="1673" t="s">
        <v>139</v>
      </c>
      <c r="C474" s="1674" t="s">
        <v>1782</v>
      </c>
      <c r="D474" s="1675">
        <f>D473*0.3</f>
        <v>10.98</v>
      </c>
      <c r="E474" s="1676" t="s">
        <v>164</v>
      </c>
      <c r="F474" s="1669">
        <v>400</v>
      </c>
      <c r="G474" s="1669">
        <v>0</v>
      </c>
      <c r="H474" s="1669">
        <f t="shared" si="65"/>
        <v>4392</v>
      </c>
      <c r="I474" s="1669">
        <f t="shared" si="66"/>
        <v>0</v>
      </c>
      <c r="J474" s="1669">
        <f t="shared" si="67"/>
        <v>4392</v>
      </c>
      <c r="K474" s="1708"/>
      <c r="L474" s="1721"/>
      <c r="M474" s="1710" t="s">
        <v>1018</v>
      </c>
      <c r="N474" s="1711"/>
    </row>
    <row r="475" spans="1:14" ht="24" customHeight="1">
      <c r="A475" s="1712"/>
      <c r="B475" s="1673" t="s">
        <v>139</v>
      </c>
      <c r="C475" s="1674" t="s">
        <v>1142</v>
      </c>
      <c r="D475" s="1675">
        <v>78</v>
      </c>
      <c r="E475" s="1676" t="s">
        <v>83</v>
      </c>
      <c r="F475" s="1669">
        <v>28</v>
      </c>
      <c r="G475" s="1669">
        <v>0</v>
      </c>
      <c r="H475" s="1669">
        <f t="shared" si="65"/>
        <v>2184</v>
      </c>
      <c r="I475" s="1669">
        <f t="shared" si="66"/>
        <v>0</v>
      </c>
      <c r="J475" s="1669">
        <f t="shared" si="67"/>
        <v>2184</v>
      </c>
      <c r="K475" s="1708"/>
      <c r="L475" s="1721"/>
      <c r="M475" s="1710" t="s">
        <v>1018</v>
      </c>
      <c r="N475" s="1711"/>
    </row>
    <row r="476" spans="1:14" ht="24" customHeight="1">
      <c r="A476" s="1712"/>
      <c r="B476" s="1673" t="s">
        <v>139</v>
      </c>
      <c r="C476" s="1674" t="s">
        <v>1781</v>
      </c>
      <c r="D476" s="1675">
        <f>D471*0.25</f>
        <v>18.3</v>
      </c>
      <c r="E476" s="1676" t="s">
        <v>87</v>
      </c>
      <c r="F476" s="1736">
        <v>23.89</v>
      </c>
      <c r="G476" s="1736">
        <v>0</v>
      </c>
      <c r="H476" s="1669">
        <f t="shared" si="65"/>
        <v>437.18700000000001</v>
      </c>
      <c r="I476" s="1669">
        <f t="shared" si="66"/>
        <v>0</v>
      </c>
      <c r="J476" s="1669">
        <f t="shared" si="67"/>
        <v>437.18700000000001</v>
      </c>
      <c r="K476" s="1708"/>
      <c r="L476" s="1721"/>
      <c r="M476" s="1710" t="s">
        <v>660</v>
      </c>
      <c r="N476" s="1711"/>
    </row>
    <row r="477" spans="1:14" ht="24" customHeight="1">
      <c r="A477" s="1712"/>
      <c r="B477" s="2368" t="s">
        <v>251</v>
      </c>
      <c r="C477" s="2368"/>
      <c r="D477" s="1675"/>
      <c r="E477" s="1676"/>
      <c r="F477" s="1669"/>
      <c r="G477" s="1669"/>
      <c r="H477" s="1669"/>
      <c r="I477" s="1669"/>
      <c r="J477" s="1669"/>
      <c r="K477" s="1708"/>
      <c r="L477" s="1721"/>
      <c r="M477" s="1711"/>
      <c r="N477" s="1711"/>
    </row>
    <row r="478" spans="1:14" ht="24" customHeight="1">
      <c r="A478" s="1712"/>
      <c r="B478" s="1673" t="s">
        <v>139</v>
      </c>
      <c r="C478" s="1674" t="s">
        <v>88</v>
      </c>
      <c r="D478" s="1675">
        <v>190.6</v>
      </c>
      <c r="E478" s="1676" t="s">
        <v>87</v>
      </c>
      <c r="F478" s="1677">
        <v>21.4</v>
      </c>
      <c r="G478" s="1677">
        <v>4.4000000000000004</v>
      </c>
      <c r="H478" s="1669">
        <f t="shared" si="65"/>
        <v>4078.8399999999997</v>
      </c>
      <c r="I478" s="1669">
        <f t="shared" si="66"/>
        <v>838.64</v>
      </c>
      <c r="J478" s="1669">
        <f>SUM(H478:I478)</f>
        <v>4917.4799999999996</v>
      </c>
      <c r="K478" s="1708"/>
      <c r="L478" s="1721"/>
      <c r="M478" s="1710" t="s">
        <v>1016</v>
      </c>
      <c r="N478" s="1711" t="s">
        <v>659</v>
      </c>
    </row>
    <row r="479" spans="1:14" ht="24" customHeight="1">
      <c r="A479" s="1712"/>
      <c r="B479" s="1673" t="s">
        <v>139</v>
      </c>
      <c r="C479" s="1674" t="s">
        <v>89</v>
      </c>
      <c r="D479" s="1675">
        <v>12.9</v>
      </c>
      <c r="E479" s="1676" t="s">
        <v>87</v>
      </c>
      <c r="F479" s="1677">
        <v>21.4</v>
      </c>
      <c r="G479" s="1677">
        <v>3.6</v>
      </c>
      <c r="H479" s="1669">
        <f t="shared" si="65"/>
        <v>276.06</v>
      </c>
      <c r="I479" s="1669">
        <f t="shared" si="66"/>
        <v>46.440000000000005</v>
      </c>
      <c r="J479" s="1669">
        <f>SUM(H479:I479)</f>
        <v>322.5</v>
      </c>
      <c r="K479" s="1708"/>
      <c r="L479" s="1721"/>
      <c r="M479" s="1710" t="s">
        <v>1016</v>
      </c>
      <c r="N479" s="1711" t="s">
        <v>659</v>
      </c>
    </row>
    <row r="480" spans="1:14" ht="24" customHeight="1">
      <c r="A480" s="1712"/>
      <c r="B480" s="1673" t="s">
        <v>139</v>
      </c>
      <c r="C480" s="1674" t="s">
        <v>90</v>
      </c>
      <c r="D480" s="1675">
        <v>589.29999999999995</v>
      </c>
      <c r="E480" s="1676" t="s">
        <v>87</v>
      </c>
      <c r="F480" s="1677">
        <v>21.2</v>
      </c>
      <c r="G480" s="1677">
        <v>3.6</v>
      </c>
      <c r="H480" s="1669">
        <f t="shared" si="65"/>
        <v>12493.159999999998</v>
      </c>
      <c r="I480" s="1669">
        <f t="shared" si="66"/>
        <v>2121.48</v>
      </c>
      <c r="J480" s="1669">
        <f>SUM(H480:I480)</f>
        <v>14614.639999999998</v>
      </c>
      <c r="K480" s="1708"/>
      <c r="L480" s="1721"/>
      <c r="M480" s="1710" t="s">
        <v>1016</v>
      </c>
      <c r="N480" s="1711" t="s">
        <v>659</v>
      </c>
    </row>
    <row r="481" spans="1:14" ht="24" customHeight="1">
      <c r="A481" s="1712"/>
      <c r="B481" s="1673" t="s">
        <v>139</v>
      </c>
      <c r="C481" s="1674" t="s">
        <v>200</v>
      </c>
      <c r="D481" s="1675">
        <f>SUM(D478:D480)*0.03</f>
        <v>23.783999999999999</v>
      </c>
      <c r="E481" s="1676" t="s">
        <v>87</v>
      </c>
      <c r="F481" s="1677">
        <v>25.83</v>
      </c>
      <c r="G481" s="1677">
        <v>0</v>
      </c>
      <c r="H481" s="1669">
        <f t="shared" si="65"/>
        <v>614.34071999999992</v>
      </c>
      <c r="I481" s="1669">
        <f t="shared" si="66"/>
        <v>0</v>
      </c>
      <c r="J481" s="1669">
        <f t="shared" si="67"/>
        <v>614.34071999999992</v>
      </c>
      <c r="K481" s="1708"/>
      <c r="L481" s="1721"/>
      <c r="M481" s="1710" t="s">
        <v>1019</v>
      </c>
      <c r="N481" s="1711"/>
    </row>
    <row r="482" spans="1:14" ht="24" customHeight="1">
      <c r="A482" s="1702"/>
      <c r="B482" s="2369" t="s">
        <v>249</v>
      </c>
      <c r="C482" s="2369"/>
      <c r="D482" s="1705"/>
      <c r="E482" s="1706"/>
      <c r="F482" s="1707"/>
      <c r="G482" s="1707"/>
      <c r="H482" s="1707"/>
      <c r="I482" s="1707"/>
      <c r="J482" s="1707"/>
      <c r="K482" s="1709"/>
      <c r="L482" s="1721"/>
      <c r="M482" s="1711"/>
      <c r="N482" s="1711"/>
    </row>
    <row r="483" spans="1:14" ht="24" customHeight="1">
      <c r="A483" s="1712"/>
      <c r="B483" s="2368" t="s">
        <v>394</v>
      </c>
      <c r="C483" s="2368"/>
      <c r="D483" s="1675"/>
      <c r="E483" s="1676"/>
      <c r="F483" s="1669"/>
      <c r="G483" s="1669"/>
      <c r="H483" s="1669"/>
      <c r="I483" s="1669"/>
      <c r="J483" s="1669"/>
      <c r="K483" s="1708"/>
      <c r="L483" s="1721"/>
      <c r="M483" s="1711"/>
      <c r="N483" s="1711"/>
    </row>
    <row r="484" spans="1:14" ht="24" customHeight="1">
      <c r="A484" s="1712"/>
      <c r="B484" s="2368" t="s">
        <v>416</v>
      </c>
      <c r="C484" s="2368"/>
      <c r="D484" s="1675"/>
      <c r="E484" s="1676"/>
      <c r="F484" s="1669"/>
      <c r="G484" s="1669"/>
      <c r="H484" s="1669"/>
      <c r="I484" s="1669"/>
      <c r="J484" s="1669"/>
      <c r="K484" s="1708"/>
      <c r="L484" s="1721"/>
      <c r="M484" s="1711"/>
      <c r="N484" s="1711"/>
    </row>
    <row r="485" spans="1:14" ht="24" customHeight="1">
      <c r="A485" s="1712"/>
      <c r="B485" s="1673" t="s">
        <v>139</v>
      </c>
      <c r="C485" s="1674" t="s">
        <v>228</v>
      </c>
      <c r="D485" s="1675">
        <v>4.5</v>
      </c>
      <c r="E485" s="1676" t="s">
        <v>85</v>
      </c>
      <c r="F485" s="1736">
        <v>2679.9</v>
      </c>
      <c r="G485" s="1736">
        <v>519</v>
      </c>
      <c r="H485" s="1669">
        <f t="shared" ref="H485:H503" si="68">F485*D485</f>
        <v>12059.550000000001</v>
      </c>
      <c r="I485" s="1669">
        <f t="shared" ref="I485:I503" si="69">G485*D485</f>
        <v>2335.5</v>
      </c>
      <c r="J485" s="1669">
        <f t="shared" ref="J485:J491" si="70">SUM(H485:I485)</f>
        <v>14395.050000000001</v>
      </c>
      <c r="K485" s="1708"/>
      <c r="L485" s="1721"/>
      <c r="M485" s="1710" t="s">
        <v>1016</v>
      </c>
      <c r="N485" s="1711" t="s">
        <v>664</v>
      </c>
    </row>
    <row r="486" spans="1:14" ht="24" customHeight="1">
      <c r="A486" s="1712"/>
      <c r="B486" s="2368" t="s">
        <v>418</v>
      </c>
      <c r="C486" s="2368"/>
      <c r="D486" s="1675">
        <v>22.5</v>
      </c>
      <c r="E486" s="1676"/>
      <c r="F486" s="1669"/>
      <c r="G486" s="1669"/>
      <c r="H486" s="1669"/>
      <c r="I486" s="1669"/>
      <c r="J486" s="1669"/>
      <c r="K486" s="1708"/>
      <c r="L486" s="1721"/>
      <c r="M486" s="1711"/>
      <c r="N486" s="1711"/>
    </row>
    <row r="487" spans="1:14" ht="24" customHeight="1">
      <c r="A487" s="1712"/>
      <c r="B487" s="1673" t="s">
        <v>139</v>
      </c>
      <c r="C487" s="1674" t="s">
        <v>1784</v>
      </c>
      <c r="D487" s="1675">
        <f>D486</f>
        <v>22.5</v>
      </c>
      <c r="E487" s="1676" t="s">
        <v>86</v>
      </c>
      <c r="F487" s="1669"/>
      <c r="G487" s="1669">
        <v>121</v>
      </c>
      <c r="H487" s="1669">
        <f t="shared" si="68"/>
        <v>0</v>
      </c>
      <c r="I487" s="1669">
        <f t="shared" si="69"/>
        <v>2722.5</v>
      </c>
      <c r="J487" s="1669">
        <f t="shared" si="70"/>
        <v>2722.5</v>
      </c>
      <c r="K487" s="1708"/>
      <c r="L487" s="1721"/>
      <c r="M487" s="1710" t="s">
        <v>1017</v>
      </c>
      <c r="N487" s="1711" t="s">
        <v>664</v>
      </c>
    </row>
    <row r="488" spans="1:14" ht="24" customHeight="1">
      <c r="A488" s="1712"/>
      <c r="B488" s="1673" t="s">
        <v>139</v>
      </c>
      <c r="C488" s="1674" t="s">
        <v>198</v>
      </c>
      <c r="D488" s="1675">
        <f>D486*0.5</f>
        <v>11.25</v>
      </c>
      <c r="E488" s="1676" t="s">
        <v>164</v>
      </c>
      <c r="F488" s="1669">
        <v>400</v>
      </c>
      <c r="G488" s="1669"/>
      <c r="H488" s="1669">
        <f t="shared" si="68"/>
        <v>4500</v>
      </c>
      <c r="I488" s="1669">
        <f t="shared" si="69"/>
        <v>0</v>
      </c>
      <c r="J488" s="1669">
        <f t="shared" si="70"/>
        <v>4500</v>
      </c>
      <c r="K488" s="1708"/>
      <c r="L488" s="1721"/>
      <c r="M488" s="1710" t="s">
        <v>1018</v>
      </c>
      <c r="N488" s="1711"/>
    </row>
    <row r="489" spans="1:14" ht="24" customHeight="1">
      <c r="A489" s="1712"/>
      <c r="B489" s="1673" t="s">
        <v>139</v>
      </c>
      <c r="C489" s="1674" t="s">
        <v>1782</v>
      </c>
      <c r="D489" s="1675">
        <f>D488*0.3</f>
        <v>3.375</v>
      </c>
      <c r="E489" s="1676" t="s">
        <v>164</v>
      </c>
      <c r="F489" s="1669">
        <v>400</v>
      </c>
      <c r="G489" s="1669">
        <v>0</v>
      </c>
      <c r="H489" s="1669">
        <f t="shared" si="68"/>
        <v>1350</v>
      </c>
      <c r="I489" s="1669">
        <f t="shared" si="69"/>
        <v>0</v>
      </c>
      <c r="J489" s="1669">
        <f t="shared" si="70"/>
        <v>1350</v>
      </c>
      <c r="K489" s="1708"/>
      <c r="L489" s="1721"/>
      <c r="M489" s="1710" t="s">
        <v>1018</v>
      </c>
      <c r="N489" s="1711"/>
    </row>
    <row r="490" spans="1:14" ht="24" customHeight="1">
      <c r="A490" s="1712"/>
      <c r="B490" s="1673" t="s">
        <v>139</v>
      </c>
      <c r="C490" s="1674" t="s">
        <v>163</v>
      </c>
      <c r="D490" s="1675">
        <f>D486</f>
        <v>22.5</v>
      </c>
      <c r="E490" s="1676" t="s">
        <v>83</v>
      </c>
      <c r="F490" s="1669">
        <v>28</v>
      </c>
      <c r="G490" s="1669">
        <v>0</v>
      </c>
      <c r="H490" s="1669">
        <f t="shared" si="68"/>
        <v>630</v>
      </c>
      <c r="I490" s="1669">
        <f t="shared" si="69"/>
        <v>0</v>
      </c>
      <c r="J490" s="1669">
        <f t="shared" si="70"/>
        <v>630</v>
      </c>
      <c r="K490" s="1708"/>
      <c r="L490" s="1721"/>
      <c r="M490" s="1710" t="s">
        <v>1018</v>
      </c>
      <c r="N490" s="1711"/>
    </row>
    <row r="491" spans="1:14" ht="24" customHeight="1">
      <c r="A491" s="1712"/>
      <c r="B491" s="1673" t="s">
        <v>139</v>
      </c>
      <c r="C491" s="1674" t="s">
        <v>1781</v>
      </c>
      <c r="D491" s="1675">
        <f>D486*0.25</f>
        <v>5.625</v>
      </c>
      <c r="E491" s="1676" t="s">
        <v>87</v>
      </c>
      <c r="F491" s="1669">
        <v>23.89</v>
      </c>
      <c r="G491" s="1669">
        <v>0</v>
      </c>
      <c r="H491" s="1669">
        <f t="shared" si="68"/>
        <v>134.38124999999999</v>
      </c>
      <c r="I491" s="1669">
        <f t="shared" si="69"/>
        <v>0</v>
      </c>
      <c r="J491" s="1669">
        <f t="shared" si="70"/>
        <v>134.38124999999999</v>
      </c>
      <c r="K491" s="1708"/>
      <c r="L491" s="1721"/>
      <c r="M491" s="1710" t="s">
        <v>660</v>
      </c>
      <c r="N491" s="1711"/>
    </row>
    <row r="492" spans="1:14" ht="24" customHeight="1">
      <c r="A492" s="1780"/>
      <c r="B492" s="1780"/>
      <c r="C492" s="1827" t="s">
        <v>133</v>
      </c>
      <c r="D492" s="2365"/>
      <c r="E492" s="2365"/>
      <c r="F492" s="2365"/>
      <c r="G492" s="2365"/>
      <c r="H492" s="2365"/>
      <c r="I492" s="2365"/>
      <c r="J492" s="2365"/>
      <c r="K492" s="2365"/>
      <c r="L492" s="1721"/>
      <c r="M492" s="1710"/>
      <c r="N492" s="1711"/>
    </row>
    <row r="493" spans="1:14" ht="24" customHeight="1">
      <c r="A493" s="1780"/>
      <c r="B493" s="2366" t="s">
        <v>1769</v>
      </c>
      <c r="C493" s="2366"/>
      <c r="D493" s="1828"/>
      <c r="E493" s="1769"/>
      <c r="F493" s="1828"/>
      <c r="G493" s="1828" t="s">
        <v>134</v>
      </c>
      <c r="H493" s="1828"/>
      <c r="I493" s="1828"/>
      <c r="J493" s="1828"/>
      <c r="K493" s="1828"/>
      <c r="L493" s="1721"/>
      <c r="M493" s="1710"/>
      <c r="N493" s="1711"/>
    </row>
    <row r="494" spans="1:14" ht="24" customHeight="1">
      <c r="A494" s="1780"/>
      <c r="B494" s="2367" t="s">
        <v>1970</v>
      </c>
      <c r="C494" s="2367"/>
      <c r="D494" s="1831"/>
      <c r="E494" s="1832"/>
      <c r="F494" s="1833"/>
      <c r="G494" s="1833" t="s">
        <v>1971</v>
      </c>
      <c r="H494" s="1833"/>
      <c r="I494" s="1833"/>
      <c r="J494" s="1833"/>
      <c r="K494" s="1833"/>
      <c r="L494" s="1721"/>
      <c r="M494" s="1710"/>
      <c r="N494" s="1711"/>
    </row>
    <row r="495" spans="1:14" ht="24" customHeight="1">
      <c r="A495" s="1830"/>
      <c r="B495" s="1828" t="s">
        <v>2031</v>
      </c>
      <c r="C495" s="1830"/>
      <c r="D495" s="1830"/>
      <c r="E495" s="1830"/>
      <c r="F495" s="1830"/>
      <c r="G495" s="1828" t="s">
        <v>2031</v>
      </c>
      <c r="H495" s="1830"/>
      <c r="I495" s="1830"/>
      <c r="J495" s="1830"/>
      <c r="K495" s="1830"/>
      <c r="L495" s="1721"/>
      <c r="M495" s="1710"/>
      <c r="N495" s="1711"/>
    </row>
    <row r="496" spans="1:14" ht="24" customHeight="1">
      <c r="B496" s="1721" t="s">
        <v>1984</v>
      </c>
      <c r="C496" s="1830"/>
      <c r="D496" s="1685"/>
      <c r="E496" s="1685"/>
      <c r="G496" s="1721" t="s">
        <v>1985</v>
      </c>
      <c r="H496" s="1685"/>
      <c r="I496" s="1685"/>
      <c r="J496" s="1685"/>
      <c r="K496" s="1685"/>
      <c r="L496" s="1721"/>
      <c r="M496" s="1710"/>
      <c r="N496" s="1711"/>
    </row>
    <row r="497" spans="1:14" ht="24" customHeight="1">
      <c r="B497" s="1828" t="s">
        <v>670</v>
      </c>
      <c r="L497" s="1721"/>
      <c r="M497" s="1710"/>
      <c r="N497" s="1711"/>
    </row>
    <row r="498" spans="1:14" ht="24" customHeight="1">
      <c r="B498" s="1721" t="s">
        <v>1972</v>
      </c>
      <c r="L498" s="1721"/>
      <c r="M498" s="1710"/>
      <c r="N498" s="1711"/>
    </row>
    <row r="499" spans="1:14" ht="24" customHeight="1">
      <c r="A499" s="1712"/>
      <c r="B499" s="1748" t="s">
        <v>417</v>
      </c>
      <c r="C499" s="1674"/>
      <c r="D499" s="1675"/>
      <c r="E499" s="1676"/>
      <c r="F499" s="1669"/>
      <c r="G499" s="1669"/>
      <c r="H499" s="1669"/>
      <c r="I499" s="1669"/>
      <c r="J499" s="1669"/>
      <c r="K499" s="1708"/>
      <c r="L499" s="1721"/>
      <c r="M499" s="1710"/>
      <c r="N499" s="1711"/>
    </row>
    <row r="500" spans="1:14" ht="24" customHeight="1">
      <c r="A500" s="1712"/>
      <c r="B500" s="1665" t="s">
        <v>139</v>
      </c>
      <c r="C500" s="1666" t="s">
        <v>88</v>
      </c>
      <c r="D500" s="1667">
        <v>167.5</v>
      </c>
      <c r="E500" s="1668" t="s">
        <v>87</v>
      </c>
      <c r="F500" s="1744">
        <v>21.4</v>
      </c>
      <c r="G500" s="1744">
        <v>4.4000000000000004</v>
      </c>
      <c r="H500" s="1669">
        <f t="shared" si="68"/>
        <v>3584.4999999999995</v>
      </c>
      <c r="I500" s="1669">
        <f t="shared" si="69"/>
        <v>737.00000000000011</v>
      </c>
      <c r="J500" s="1669">
        <f>SUM(H500:I500)</f>
        <v>4321.5</v>
      </c>
      <c r="K500" s="1708"/>
      <c r="L500" s="1721"/>
      <c r="M500" s="1710" t="s">
        <v>1016</v>
      </c>
      <c r="N500" s="1711" t="s">
        <v>659</v>
      </c>
    </row>
    <row r="501" spans="1:14" ht="24" customHeight="1">
      <c r="A501" s="1672"/>
      <c r="B501" s="1673" t="s">
        <v>139</v>
      </c>
      <c r="C501" s="1674" t="s">
        <v>89</v>
      </c>
      <c r="D501" s="1675">
        <v>98.8</v>
      </c>
      <c r="E501" s="1676" t="s">
        <v>87</v>
      </c>
      <c r="F501" s="1677">
        <v>21.4</v>
      </c>
      <c r="G501" s="1677">
        <v>3.6</v>
      </c>
      <c r="H501" s="1678">
        <f t="shared" si="68"/>
        <v>2114.3199999999997</v>
      </c>
      <c r="I501" s="1669">
        <f t="shared" si="69"/>
        <v>355.68</v>
      </c>
      <c r="J501" s="1669">
        <f>SUM(H501:I501)</f>
        <v>2469.9999999999995</v>
      </c>
      <c r="K501" s="1708"/>
      <c r="L501" s="1721"/>
      <c r="M501" s="1710" t="s">
        <v>1016</v>
      </c>
      <c r="N501" s="1711" t="s">
        <v>659</v>
      </c>
    </row>
    <row r="502" spans="1:14" ht="24" customHeight="1">
      <c r="A502" s="1672"/>
      <c r="B502" s="1673" t="s">
        <v>139</v>
      </c>
      <c r="C502" s="1674" t="s">
        <v>90</v>
      </c>
      <c r="D502" s="1675">
        <v>278.2</v>
      </c>
      <c r="E502" s="1676" t="s">
        <v>87</v>
      </c>
      <c r="F502" s="1677">
        <v>21.2</v>
      </c>
      <c r="G502" s="1677">
        <v>3.6</v>
      </c>
      <c r="H502" s="1678">
        <f t="shared" si="68"/>
        <v>5897.8399999999992</v>
      </c>
      <c r="I502" s="1669">
        <f t="shared" si="69"/>
        <v>1001.52</v>
      </c>
      <c r="J502" s="1669">
        <f>SUM(H502:I502)</f>
        <v>6899.3599999999988</v>
      </c>
      <c r="K502" s="1708"/>
      <c r="L502" s="1721"/>
      <c r="M502" s="1710" t="s">
        <v>1016</v>
      </c>
      <c r="N502" s="1711" t="s">
        <v>659</v>
      </c>
    </row>
    <row r="503" spans="1:14" s="1685" customFormat="1" ht="24" customHeight="1">
      <c r="A503" s="1672"/>
      <c r="B503" s="1673" t="s">
        <v>139</v>
      </c>
      <c r="C503" s="1674" t="s">
        <v>200</v>
      </c>
      <c r="D503" s="1675">
        <f>SUM(D500:D502)*0.03</f>
        <v>16.335000000000001</v>
      </c>
      <c r="E503" s="1676" t="s">
        <v>87</v>
      </c>
      <c r="F503" s="1677">
        <v>25.83</v>
      </c>
      <c r="G503" s="1677">
        <v>0</v>
      </c>
      <c r="H503" s="1678">
        <f t="shared" si="68"/>
        <v>421.93304999999998</v>
      </c>
      <c r="I503" s="1669">
        <f t="shared" si="69"/>
        <v>0</v>
      </c>
      <c r="J503" s="1669">
        <f>SUM(H503:I503)</f>
        <v>421.93304999999998</v>
      </c>
      <c r="K503" s="1708"/>
      <c r="L503" s="1721"/>
      <c r="M503" s="1710" t="s">
        <v>1019</v>
      </c>
      <c r="N503" s="1711"/>
    </row>
    <row r="504" spans="1:14" s="1685" customFormat="1" ht="24" customHeight="1">
      <c r="A504" s="1672"/>
      <c r="B504" s="2368" t="s">
        <v>395</v>
      </c>
      <c r="C504" s="2368"/>
      <c r="D504" s="1675"/>
      <c r="E504" s="1676"/>
      <c r="F504" s="1669"/>
      <c r="G504" s="1669"/>
      <c r="H504" s="1678"/>
      <c r="I504" s="1669"/>
      <c r="J504" s="1669"/>
      <c r="K504" s="1708"/>
      <c r="L504" s="1721"/>
      <c r="M504" s="1711"/>
      <c r="N504" s="1711"/>
    </row>
    <row r="505" spans="1:14" s="1685" customFormat="1" ht="24" customHeight="1">
      <c r="A505" s="1672"/>
      <c r="B505" s="2368" t="s">
        <v>420</v>
      </c>
      <c r="C505" s="2368"/>
      <c r="D505" s="1675"/>
      <c r="E505" s="1676"/>
      <c r="F505" s="1669"/>
      <c r="G505" s="1669"/>
      <c r="H505" s="1678"/>
      <c r="I505" s="1669"/>
      <c r="J505" s="1669"/>
      <c r="K505" s="1708"/>
      <c r="L505" s="1721"/>
      <c r="M505" s="1711"/>
      <c r="N505" s="1711"/>
    </row>
    <row r="506" spans="1:14" s="1685" customFormat="1" ht="24" customHeight="1">
      <c r="A506" s="1712"/>
      <c r="B506" s="1703" t="s">
        <v>139</v>
      </c>
      <c r="C506" s="1743" t="s">
        <v>228</v>
      </c>
      <c r="D506" s="1705">
        <v>5.5</v>
      </c>
      <c r="E506" s="1706" t="s">
        <v>85</v>
      </c>
      <c r="F506" s="1742">
        <v>2679.9</v>
      </c>
      <c r="G506" s="1742">
        <v>519</v>
      </c>
      <c r="H506" s="1669">
        <f t="shared" ref="H506:H517" si="71">F506*D506</f>
        <v>14739.45</v>
      </c>
      <c r="I506" s="1669">
        <f t="shared" ref="I506:I517" si="72">G506*D506</f>
        <v>2854.5</v>
      </c>
      <c r="J506" s="1669">
        <f t="shared" ref="J506:J512" si="73">SUM(H506:I506)</f>
        <v>17593.95</v>
      </c>
      <c r="K506" s="1708"/>
      <c r="L506" s="1721"/>
      <c r="M506" s="1710" t="s">
        <v>1016</v>
      </c>
      <c r="N506" s="1711" t="s">
        <v>664</v>
      </c>
    </row>
    <row r="507" spans="1:14" ht="24" customHeight="1">
      <c r="A507" s="1712"/>
      <c r="B507" s="2368" t="s">
        <v>421</v>
      </c>
      <c r="C507" s="2368"/>
      <c r="D507" s="1675">
        <v>28.6</v>
      </c>
      <c r="E507" s="1676"/>
      <c r="F507" s="1669"/>
      <c r="G507" s="1669"/>
      <c r="H507" s="1669"/>
      <c r="I507" s="1669"/>
      <c r="J507" s="1669"/>
      <c r="K507" s="1708"/>
      <c r="L507" s="1721"/>
      <c r="M507" s="1711"/>
      <c r="N507" s="1711"/>
    </row>
    <row r="508" spans="1:14" ht="24" customHeight="1">
      <c r="A508" s="1712"/>
      <c r="B508" s="1673" t="s">
        <v>139</v>
      </c>
      <c r="C508" s="1674" t="s">
        <v>1784</v>
      </c>
      <c r="D508" s="1675">
        <f>D507</f>
        <v>28.6</v>
      </c>
      <c r="E508" s="1676" t="s">
        <v>86</v>
      </c>
      <c r="F508" s="1669"/>
      <c r="G508" s="1669">
        <v>121</v>
      </c>
      <c r="H508" s="1669">
        <f t="shared" si="71"/>
        <v>0</v>
      </c>
      <c r="I508" s="1669">
        <f t="shared" si="72"/>
        <v>3460.6000000000004</v>
      </c>
      <c r="J508" s="1669">
        <f t="shared" si="73"/>
        <v>3460.6000000000004</v>
      </c>
      <c r="K508" s="1708"/>
      <c r="L508" s="1721"/>
      <c r="M508" s="1710" t="s">
        <v>1017</v>
      </c>
      <c r="N508" s="1711" t="s">
        <v>664</v>
      </c>
    </row>
    <row r="509" spans="1:14" ht="24" customHeight="1">
      <c r="A509" s="1712"/>
      <c r="B509" s="1673" t="s">
        <v>139</v>
      </c>
      <c r="C509" s="1674" t="s">
        <v>198</v>
      </c>
      <c r="D509" s="1675">
        <f>D507*0.5</f>
        <v>14.3</v>
      </c>
      <c r="E509" s="1676" t="s">
        <v>164</v>
      </c>
      <c r="F509" s="1669">
        <v>400</v>
      </c>
      <c r="G509" s="1669"/>
      <c r="H509" s="1669">
        <f t="shared" si="71"/>
        <v>5720</v>
      </c>
      <c r="I509" s="1669">
        <f t="shared" si="72"/>
        <v>0</v>
      </c>
      <c r="J509" s="1669">
        <f t="shared" si="73"/>
        <v>5720</v>
      </c>
      <c r="K509" s="1708"/>
      <c r="L509" s="1721"/>
      <c r="M509" s="1710" t="s">
        <v>1018</v>
      </c>
      <c r="N509" s="1711"/>
    </row>
    <row r="510" spans="1:14" ht="24" customHeight="1">
      <c r="A510" s="1712"/>
      <c r="B510" s="1673" t="s">
        <v>139</v>
      </c>
      <c r="C510" s="1674" t="s">
        <v>1782</v>
      </c>
      <c r="D510" s="1675">
        <f>D509*0.3</f>
        <v>4.29</v>
      </c>
      <c r="E510" s="1676" t="s">
        <v>164</v>
      </c>
      <c r="F510" s="1669">
        <v>400</v>
      </c>
      <c r="G510" s="1669">
        <v>0</v>
      </c>
      <c r="H510" s="1669">
        <f t="shared" si="71"/>
        <v>1716</v>
      </c>
      <c r="I510" s="1669">
        <f t="shared" si="72"/>
        <v>0</v>
      </c>
      <c r="J510" s="1669">
        <f t="shared" si="73"/>
        <v>1716</v>
      </c>
      <c r="K510" s="1708"/>
      <c r="L510" s="1721"/>
      <c r="M510" s="1710" t="s">
        <v>1018</v>
      </c>
      <c r="N510" s="1711"/>
    </row>
    <row r="511" spans="1:14" ht="24" customHeight="1">
      <c r="A511" s="1664"/>
      <c r="B511" s="1665" t="s">
        <v>139</v>
      </c>
      <c r="C511" s="1666" t="s">
        <v>163</v>
      </c>
      <c r="D511" s="1667">
        <f>D507</f>
        <v>28.6</v>
      </c>
      <c r="E511" s="1668" t="s">
        <v>83</v>
      </c>
      <c r="F511" s="1670">
        <v>28</v>
      </c>
      <c r="G511" s="1670">
        <v>0</v>
      </c>
      <c r="H511" s="1670">
        <f t="shared" si="71"/>
        <v>800.80000000000007</v>
      </c>
      <c r="I511" s="1670">
        <f t="shared" si="72"/>
        <v>0</v>
      </c>
      <c r="J511" s="1670">
        <f t="shared" si="73"/>
        <v>800.80000000000007</v>
      </c>
      <c r="K511" s="1746"/>
      <c r="L511" s="1721"/>
      <c r="M511" s="1710" t="s">
        <v>1018</v>
      </c>
      <c r="N511" s="1711"/>
    </row>
    <row r="512" spans="1:14" ht="24" customHeight="1">
      <c r="A512" s="1712"/>
      <c r="B512" s="1673" t="s">
        <v>139</v>
      </c>
      <c r="C512" s="1674" t="s">
        <v>1781</v>
      </c>
      <c r="D512" s="1675">
        <f>D507*0.25</f>
        <v>7.15</v>
      </c>
      <c r="E512" s="1676" t="s">
        <v>87</v>
      </c>
      <c r="F512" s="1736">
        <v>23.89</v>
      </c>
      <c r="G512" s="1736">
        <v>0</v>
      </c>
      <c r="H512" s="1669">
        <f t="shared" si="71"/>
        <v>170.8135</v>
      </c>
      <c r="I512" s="1669">
        <f t="shared" si="72"/>
        <v>0</v>
      </c>
      <c r="J512" s="1669">
        <f t="shared" si="73"/>
        <v>170.8135</v>
      </c>
      <c r="K512" s="1708"/>
      <c r="L512" s="1721"/>
      <c r="M512" s="1710" t="s">
        <v>660</v>
      </c>
      <c r="N512" s="1711"/>
    </row>
    <row r="513" spans="1:14" ht="24" customHeight="1">
      <c r="A513" s="1712"/>
      <c r="B513" s="2368" t="s">
        <v>419</v>
      </c>
      <c r="C513" s="2368"/>
      <c r="D513" s="1675"/>
      <c r="E513" s="1676"/>
      <c r="F513" s="1669"/>
      <c r="G513" s="1669"/>
      <c r="H513" s="1669"/>
      <c r="I513" s="1669"/>
      <c r="J513" s="1669"/>
      <c r="K513" s="1708"/>
      <c r="L513" s="1721"/>
      <c r="M513" s="1711"/>
      <c r="N513" s="1711"/>
    </row>
    <row r="514" spans="1:14" ht="24" customHeight="1">
      <c r="A514" s="1712"/>
      <c r="B514" s="1673" t="s">
        <v>139</v>
      </c>
      <c r="C514" s="1674" t="s">
        <v>88</v>
      </c>
      <c r="D514" s="1675">
        <v>240.6</v>
      </c>
      <c r="E514" s="1676" t="s">
        <v>87</v>
      </c>
      <c r="F514" s="1677">
        <v>21.4</v>
      </c>
      <c r="G514" s="1677">
        <v>4.4000000000000004</v>
      </c>
      <c r="H514" s="1669">
        <f t="shared" si="71"/>
        <v>5148.8399999999992</v>
      </c>
      <c r="I514" s="1669">
        <f t="shared" si="72"/>
        <v>1058.6400000000001</v>
      </c>
      <c r="J514" s="1669">
        <f>SUM(H514:I514)</f>
        <v>6207.48</v>
      </c>
      <c r="K514" s="1708"/>
      <c r="L514" s="1721"/>
      <c r="M514" s="1710" t="s">
        <v>1016</v>
      </c>
      <c r="N514" s="1711" t="s">
        <v>659</v>
      </c>
    </row>
    <row r="515" spans="1:14" ht="24" customHeight="1">
      <c r="A515" s="1712"/>
      <c r="B515" s="1673" t="s">
        <v>139</v>
      </c>
      <c r="C515" s="1674" t="s">
        <v>89</v>
      </c>
      <c r="D515" s="1675">
        <v>116.5</v>
      </c>
      <c r="E515" s="1676" t="s">
        <v>87</v>
      </c>
      <c r="F515" s="1677">
        <v>21.4</v>
      </c>
      <c r="G515" s="1677">
        <v>3.6</v>
      </c>
      <c r="H515" s="1669">
        <f t="shared" si="71"/>
        <v>2493.1</v>
      </c>
      <c r="I515" s="1669">
        <f t="shared" si="72"/>
        <v>419.40000000000003</v>
      </c>
      <c r="J515" s="1669">
        <f>SUM(H515:I515)</f>
        <v>2912.5</v>
      </c>
      <c r="K515" s="1708"/>
      <c r="L515" s="1721"/>
      <c r="M515" s="1710" t="s">
        <v>1016</v>
      </c>
      <c r="N515" s="1711" t="s">
        <v>659</v>
      </c>
    </row>
    <row r="516" spans="1:14" ht="24" customHeight="1">
      <c r="A516" s="1712"/>
      <c r="B516" s="1673" t="s">
        <v>139</v>
      </c>
      <c r="C516" s="1674" t="s">
        <v>90</v>
      </c>
      <c r="D516" s="1675">
        <v>437.3</v>
      </c>
      <c r="E516" s="1676" t="s">
        <v>87</v>
      </c>
      <c r="F516" s="1677">
        <v>21.2</v>
      </c>
      <c r="G516" s="1677">
        <v>3.6</v>
      </c>
      <c r="H516" s="1669">
        <f t="shared" si="71"/>
        <v>9270.76</v>
      </c>
      <c r="I516" s="1669">
        <f t="shared" si="72"/>
        <v>1574.28</v>
      </c>
      <c r="J516" s="1669">
        <f>SUM(H516:I516)</f>
        <v>10845.04</v>
      </c>
      <c r="K516" s="1708"/>
      <c r="L516" s="1721"/>
      <c r="M516" s="1710" t="s">
        <v>1016</v>
      </c>
      <c r="N516" s="1711" t="s">
        <v>659</v>
      </c>
    </row>
    <row r="517" spans="1:14" ht="24" customHeight="1">
      <c r="A517" s="1712"/>
      <c r="B517" s="1673" t="s">
        <v>139</v>
      </c>
      <c r="C517" s="1674" t="s">
        <v>200</v>
      </c>
      <c r="D517" s="1675">
        <f>SUM(D514:D516)*0.03</f>
        <v>23.832000000000001</v>
      </c>
      <c r="E517" s="1676" t="s">
        <v>87</v>
      </c>
      <c r="F517" s="1677">
        <v>25.83</v>
      </c>
      <c r="G517" s="1677">
        <v>0</v>
      </c>
      <c r="H517" s="1669">
        <f t="shared" si="71"/>
        <v>615.58055999999999</v>
      </c>
      <c r="I517" s="1669">
        <f t="shared" si="72"/>
        <v>0</v>
      </c>
      <c r="J517" s="1669">
        <f>SUM(H517:I517)</f>
        <v>615.58055999999999</v>
      </c>
      <c r="K517" s="1708"/>
      <c r="L517" s="1721"/>
      <c r="M517" s="1710" t="s">
        <v>1019</v>
      </c>
      <c r="N517" s="1711"/>
    </row>
    <row r="518" spans="1:14" ht="24" customHeight="1">
      <c r="A518" s="1712"/>
      <c r="B518" s="1673" t="s">
        <v>107</v>
      </c>
      <c r="C518" s="1713" t="s">
        <v>424</v>
      </c>
      <c r="D518" s="1675">
        <v>4</v>
      </c>
      <c r="E518" s="1676" t="s">
        <v>86</v>
      </c>
      <c r="F518" s="1669">
        <v>53</v>
      </c>
      <c r="G518" s="1669">
        <v>30</v>
      </c>
      <c r="H518" s="1669">
        <f>F518*D518</f>
        <v>212</v>
      </c>
      <c r="I518" s="1669">
        <f>G518*D518</f>
        <v>120</v>
      </c>
      <c r="J518" s="1669">
        <f>SUM(H518:I518)</f>
        <v>332</v>
      </c>
      <c r="K518" s="1761"/>
      <c r="M518" s="1763" t="s">
        <v>643</v>
      </c>
      <c r="N518" s="1711" t="s">
        <v>664</v>
      </c>
    </row>
    <row r="519" spans="1:14" s="1769" customFormat="1" ht="24" customHeight="1">
      <c r="A519" s="1737"/>
      <c r="B519" s="1672" t="s">
        <v>107</v>
      </c>
      <c r="C519" s="1764" t="s">
        <v>1065</v>
      </c>
      <c r="D519" s="1765">
        <v>145.19999999999999</v>
      </c>
      <c r="E519" s="1766" t="s">
        <v>87</v>
      </c>
      <c r="F519" s="1767">
        <v>31</v>
      </c>
      <c r="G519" s="1767">
        <v>10</v>
      </c>
      <c r="H519" s="1736">
        <f>+F519*D519</f>
        <v>4501.2</v>
      </c>
      <c r="I519" s="1736">
        <f>+G519*D519</f>
        <v>1452</v>
      </c>
      <c r="J519" s="1736">
        <f>+H519+I519</f>
        <v>5953.2</v>
      </c>
      <c r="K519" s="1708"/>
      <c r="L519" s="1721"/>
      <c r="M519" s="1763" t="s">
        <v>1021</v>
      </c>
      <c r="N519" s="1768">
        <v>5.0999999999999996</v>
      </c>
    </row>
    <row r="520" spans="1:14" s="1769" customFormat="1" ht="24" customHeight="1">
      <c r="A520" s="1737"/>
      <c r="B520" s="1672" t="s">
        <v>107</v>
      </c>
      <c r="C520" s="1764" t="s">
        <v>1064</v>
      </c>
      <c r="D520" s="1765">
        <v>334.6</v>
      </c>
      <c r="E520" s="1766" t="s">
        <v>87</v>
      </c>
      <c r="F520" s="1767">
        <v>31</v>
      </c>
      <c r="G520" s="1767">
        <v>10</v>
      </c>
      <c r="H520" s="1736">
        <f>+F520*D520</f>
        <v>10372.6</v>
      </c>
      <c r="I520" s="1736">
        <f>+G520*D520</f>
        <v>3346</v>
      </c>
      <c r="J520" s="1736">
        <f>+H520+I520</f>
        <v>13718.6</v>
      </c>
      <c r="K520" s="1708"/>
      <c r="L520" s="1721"/>
      <c r="M520" s="1770"/>
      <c r="N520" s="1768">
        <v>14.8</v>
      </c>
    </row>
    <row r="521" spans="1:14" s="1769" customFormat="1" ht="24" customHeight="1">
      <c r="A521" s="1737"/>
      <c r="B521" s="1672" t="s">
        <v>107</v>
      </c>
      <c r="C521" s="1764" t="s">
        <v>424</v>
      </c>
      <c r="D521" s="1765">
        <v>4</v>
      </c>
      <c r="E521" s="1766" t="s">
        <v>86</v>
      </c>
      <c r="F521" s="1767">
        <v>53</v>
      </c>
      <c r="G521" s="1767">
        <v>30</v>
      </c>
      <c r="H521" s="1736">
        <f>F521*D521</f>
        <v>212</v>
      </c>
      <c r="I521" s="1736">
        <f>G521*D521</f>
        <v>120</v>
      </c>
      <c r="J521" s="1736">
        <f>SUM(H521:I521)</f>
        <v>332</v>
      </c>
      <c r="K521" s="1708"/>
      <c r="L521" s="1721"/>
      <c r="M521" s="1763" t="s">
        <v>643</v>
      </c>
      <c r="N521" s="1768" t="s">
        <v>664</v>
      </c>
    </row>
    <row r="522" spans="1:14" s="1769" customFormat="1" ht="24" customHeight="1">
      <c r="A522" s="1737"/>
      <c r="B522" s="1771" t="s">
        <v>1051</v>
      </c>
      <c r="C522" s="1764"/>
      <c r="D522" s="1765"/>
      <c r="E522" s="1766"/>
      <c r="F522" s="1767"/>
      <c r="G522" s="1767"/>
      <c r="H522" s="1736"/>
      <c r="I522" s="1736"/>
      <c r="J522" s="1736"/>
      <c r="K522" s="1708"/>
      <c r="L522" s="1721"/>
      <c r="M522" s="1763"/>
      <c r="N522" s="1768"/>
    </row>
    <row r="523" spans="1:14" s="1685" customFormat="1" ht="24" customHeight="1">
      <c r="A523" s="1712"/>
      <c r="B523" s="2368" t="s">
        <v>1052</v>
      </c>
      <c r="C523" s="2368"/>
      <c r="D523" s="1675"/>
      <c r="E523" s="1676"/>
      <c r="F523" s="1669"/>
      <c r="G523" s="1669"/>
      <c r="H523" s="1669"/>
      <c r="I523" s="1669"/>
      <c r="J523" s="1669"/>
      <c r="K523" s="1708"/>
      <c r="L523" s="1721"/>
      <c r="M523" s="1711"/>
      <c r="N523" s="1711"/>
    </row>
    <row r="524" spans="1:14" ht="24" customHeight="1">
      <c r="A524" s="1712"/>
      <c r="B524" s="1673" t="s">
        <v>139</v>
      </c>
      <c r="C524" s="1674" t="s">
        <v>228</v>
      </c>
      <c r="D524" s="1675">
        <v>4.2</v>
      </c>
      <c r="E524" s="1676" t="s">
        <v>85</v>
      </c>
      <c r="F524" s="1736">
        <v>2679.9</v>
      </c>
      <c r="G524" s="1736">
        <v>519</v>
      </c>
      <c r="H524" s="1669">
        <f t="shared" ref="H524:H542" si="74">F524*D524</f>
        <v>11255.580000000002</v>
      </c>
      <c r="I524" s="1669">
        <f t="shared" ref="I524:I542" si="75">G524*D524</f>
        <v>2179.8000000000002</v>
      </c>
      <c r="J524" s="1669">
        <f t="shared" ref="J524:J537" si="76">SUM(H524:I524)</f>
        <v>13435.380000000001</v>
      </c>
      <c r="K524" s="1708"/>
      <c r="L524" s="1721"/>
      <c r="M524" s="1710" t="s">
        <v>1016</v>
      </c>
      <c r="N524" s="1711" t="s">
        <v>664</v>
      </c>
    </row>
    <row r="525" spans="1:14" ht="24" customHeight="1">
      <c r="A525" s="1780"/>
      <c r="B525" s="1780"/>
      <c r="C525" s="1827" t="s">
        <v>133</v>
      </c>
      <c r="D525" s="2365"/>
      <c r="E525" s="2365"/>
      <c r="F525" s="2365"/>
      <c r="G525" s="2365"/>
      <c r="H525" s="2365"/>
      <c r="I525" s="2365"/>
      <c r="J525" s="2365"/>
      <c r="K525" s="2365"/>
      <c r="L525" s="1721"/>
      <c r="M525" s="1710"/>
      <c r="N525" s="1711"/>
    </row>
    <row r="526" spans="1:14" ht="24" customHeight="1">
      <c r="A526" s="1780"/>
      <c r="B526" s="2366" t="s">
        <v>1769</v>
      </c>
      <c r="C526" s="2366"/>
      <c r="D526" s="1828"/>
      <c r="E526" s="1769"/>
      <c r="F526" s="1828"/>
      <c r="G526" s="1828" t="s">
        <v>134</v>
      </c>
      <c r="H526" s="1828"/>
      <c r="I526" s="1828"/>
      <c r="J526" s="1828"/>
      <c r="K526" s="1828"/>
      <c r="L526" s="1721"/>
      <c r="M526" s="1710"/>
      <c r="N526" s="1711"/>
    </row>
    <row r="527" spans="1:14" ht="24" customHeight="1">
      <c r="A527" s="1780"/>
      <c r="B527" s="2367" t="s">
        <v>1970</v>
      </c>
      <c r="C527" s="2367"/>
      <c r="D527" s="1831"/>
      <c r="E527" s="1832"/>
      <c r="F527" s="1833"/>
      <c r="G527" s="1833" t="s">
        <v>1971</v>
      </c>
      <c r="H527" s="1833"/>
      <c r="I527" s="1833"/>
      <c r="J527" s="1833"/>
      <c r="K527" s="1833"/>
      <c r="L527" s="1721"/>
      <c r="M527" s="1710"/>
      <c r="N527" s="1711"/>
    </row>
    <row r="528" spans="1:14" ht="24" customHeight="1">
      <c r="A528" s="1830"/>
      <c r="B528" s="1828" t="s">
        <v>2031</v>
      </c>
      <c r="C528" s="1830"/>
      <c r="D528" s="1830"/>
      <c r="E528" s="1830"/>
      <c r="F528" s="1830"/>
      <c r="G528" s="1828" t="s">
        <v>2031</v>
      </c>
      <c r="H528" s="1830"/>
      <c r="I528" s="1830"/>
      <c r="J528" s="1830"/>
      <c r="K528" s="1830"/>
      <c r="L528" s="1721"/>
      <c r="M528" s="1710"/>
      <c r="N528" s="1711"/>
    </row>
    <row r="529" spans="1:14" ht="24" customHeight="1">
      <c r="B529" s="1721" t="s">
        <v>1984</v>
      </c>
      <c r="C529" s="1830"/>
      <c r="D529" s="1685"/>
      <c r="E529" s="1685"/>
      <c r="G529" s="1721" t="s">
        <v>1985</v>
      </c>
      <c r="H529" s="1685"/>
      <c r="I529" s="1685"/>
      <c r="J529" s="1685"/>
      <c r="K529" s="1685"/>
      <c r="L529" s="1721"/>
      <c r="M529" s="1710"/>
      <c r="N529" s="1711"/>
    </row>
    <row r="530" spans="1:14" ht="24" customHeight="1">
      <c r="B530" s="1828" t="s">
        <v>670</v>
      </c>
      <c r="L530" s="1721"/>
      <c r="M530" s="1710"/>
      <c r="N530" s="1711"/>
    </row>
    <row r="531" spans="1:14" ht="24" customHeight="1">
      <c r="B531" s="1721" t="s">
        <v>1972</v>
      </c>
      <c r="L531" s="1721"/>
      <c r="M531" s="1710"/>
      <c r="N531" s="1711"/>
    </row>
    <row r="532" spans="1:14" ht="24" customHeight="1">
      <c r="A532" s="1712"/>
      <c r="B532" s="2368" t="s">
        <v>1053</v>
      </c>
      <c r="C532" s="2368"/>
      <c r="D532" s="1675">
        <v>20.8</v>
      </c>
      <c r="E532" s="1676"/>
      <c r="F532" s="1669"/>
      <c r="G532" s="1669"/>
      <c r="H532" s="1669"/>
      <c r="I532" s="1669"/>
      <c r="J532" s="1669"/>
      <c r="K532" s="1708"/>
      <c r="L532" s="1721"/>
      <c r="M532" s="1711"/>
      <c r="N532" s="1711"/>
    </row>
    <row r="533" spans="1:14" ht="24" customHeight="1">
      <c r="A533" s="1712"/>
      <c r="B533" s="1673" t="s">
        <v>139</v>
      </c>
      <c r="C533" s="1674" t="s">
        <v>1784</v>
      </c>
      <c r="D533" s="1675">
        <f>D532</f>
        <v>20.8</v>
      </c>
      <c r="E533" s="1676" t="s">
        <v>86</v>
      </c>
      <c r="F533" s="1669"/>
      <c r="G533" s="1669">
        <v>121</v>
      </c>
      <c r="H533" s="1669">
        <f t="shared" si="74"/>
        <v>0</v>
      </c>
      <c r="I533" s="1669">
        <f t="shared" si="75"/>
        <v>2516.8000000000002</v>
      </c>
      <c r="J533" s="1669">
        <f t="shared" si="76"/>
        <v>2516.8000000000002</v>
      </c>
      <c r="K533" s="1708"/>
      <c r="L533" s="1721"/>
      <c r="M533" s="1710" t="s">
        <v>1017</v>
      </c>
      <c r="N533" s="1711" t="s">
        <v>664</v>
      </c>
    </row>
    <row r="534" spans="1:14" ht="24" customHeight="1">
      <c r="A534" s="1712"/>
      <c r="B534" s="1673" t="s">
        <v>139</v>
      </c>
      <c r="C534" s="1674" t="s">
        <v>198</v>
      </c>
      <c r="D534" s="1675">
        <f>D532*0.5</f>
        <v>10.4</v>
      </c>
      <c r="E534" s="1676" t="s">
        <v>164</v>
      </c>
      <c r="F534" s="1669">
        <v>400</v>
      </c>
      <c r="G534" s="1669"/>
      <c r="H534" s="1669">
        <f t="shared" si="74"/>
        <v>4160</v>
      </c>
      <c r="I534" s="1669">
        <f t="shared" si="75"/>
        <v>0</v>
      </c>
      <c r="J534" s="1669">
        <f t="shared" si="76"/>
        <v>4160</v>
      </c>
      <c r="K534" s="1708"/>
      <c r="L534" s="1721"/>
      <c r="M534" s="1710" t="s">
        <v>1018</v>
      </c>
      <c r="N534" s="1711"/>
    </row>
    <row r="535" spans="1:14" ht="24" customHeight="1">
      <c r="A535" s="1712"/>
      <c r="B535" s="1673" t="s">
        <v>139</v>
      </c>
      <c r="C535" s="1674" t="s">
        <v>1782</v>
      </c>
      <c r="D535" s="1675">
        <f>D534*0.3</f>
        <v>3.12</v>
      </c>
      <c r="E535" s="1676" t="s">
        <v>164</v>
      </c>
      <c r="F535" s="1669">
        <v>400</v>
      </c>
      <c r="G535" s="1669">
        <v>0</v>
      </c>
      <c r="H535" s="1669">
        <f t="shared" si="74"/>
        <v>1248</v>
      </c>
      <c r="I535" s="1669">
        <f t="shared" si="75"/>
        <v>0</v>
      </c>
      <c r="J535" s="1669">
        <f t="shared" si="76"/>
        <v>1248</v>
      </c>
      <c r="K535" s="1708"/>
      <c r="L535" s="1721"/>
      <c r="M535" s="1710" t="s">
        <v>1018</v>
      </c>
      <c r="N535" s="1711"/>
    </row>
    <row r="536" spans="1:14" ht="24" customHeight="1">
      <c r="A536" s="1712"/>
      <c r="B536" s="1673" t="s">
        <v>139</v>
      </c>
      <c r="C536" s="1674" t="s">
        <v>163</v>
      </c>
      <c r="D536" s="1675">
        <f>D532</f>
        <v>20.8</v>
      </c>
      <c r="E536" s="1676" t="s">
        <v>83</v>
      </c>
      <c r="F536" s="1669">
        <v>28</v>
      </c>
      <c r="G536" s="1669">
        <v>0</v>
      </c>
      <c r="H536" s="1669">
        <f t="shared" si="74"/>
        <v>582.4</v>
      </c>
      <c r="I536" s="1669">
        <f t="shared" si="75"/>
        <v>0</v>
      </c>
      <c r="J536" s="1669">
        <f t="shared" si="76"/>
        <v>582.4</v>
      </c>
      <c r="K536" s="1708"/>
      <c r="L536" s="1721"/>
      <c r="M536" s="1710" t="s">
        <v>1018</v>
      </c>
      <c r="N536" s="1711"/>
    </row>
    <row r="537" spans="1:14" ht="24" customHeight="1">
      <c r="A537" s="1712"/>
      <c r="B537" s="1673" t="s">
        <v>139</v>
      </c>
      <c r="C537" s="1674" t="s">
        <v>1781</v>
      </c>
      <c r="D537" s="1675">
        <f>D532*0.25</f>
        <v>5.2</v>
      </c>
      <c r="E537" s="1676" t="s">
        <v>87</v>
      </c>
      <c r="F537" s="1736">
        <v>23.89</v>
      </c>
      <c r="G537" s="1736">
        <v>0</v>
      </c>
      <c r="H537" s="1669">
        <f t="shared" si="74"/>
        <v>124.22800000000001</v>
      </c>
      <c r="I537" s="1669">
        <f t="shared" si="75"/>
        <v>0</v>
      </c>
      <c r="J537" s="1669">
        <f t="shared" si="76"/>
        <v>124.22800000000001</v>
      </c>
      <c r="K537" s="1708"/>
      <c r="L537" s="1721"/>
      <c r="M537" s="1710" t="s">
        <v>660</v>
      </c>
      <c r="N537" s="1711"/>
    </row>
    <row r="538" spans="1:14" ht="24" customHeight="1">
      <c r="A538" s="1712"/>
      <c r="B538" s="2368" t="s">
        <v>1054</v>
      </c>
      <c r="C538" s="2368"/>
      <c r="D538" s="1675"/>
      <c r="E538" s="1676"/>
      <c r="F538" s="1669"/>
      <c r="G538" s="1669"/>
      <c r="H538" s="1669"/>
      <c r="I538" s="1669"/>
      <c r="J538" s="1669"/>
      <c r="K538" s="1708"/>
      <c r="L538" s="1721"/>
      <c r="M538" s="1711"/>
      <c r="N538" s="1711"/>
    </row>
    <row r="539" spans="1:14" ht="24" customHeight="1">
      <c r="A539" s="1712"/>
      <c r="B539" s="1673" t="s">
        <v>139</v>
      </c>
      <c r="C539" s="1674" t="s">
        <v>88</v>
      </c>
      <c r="D539" s="1675">
        <v>164.4</v>
      </c>
      <c r="E539" s="1676" t="s">
        <v>87</v>
      </c>
      <c r="F539" s="1677">
        <v>21.4</v>
      </c>
      <c r="G539" s="1677">
        <v>4.4000000000000004</v>
      </c>
      <c r="H539" s="1669">
        <f t="shared" si="74"/>
        <v>3518.16</v>
      </c>
      <c r="I539" s="1669">
        <f t="shared" si="75"/>
        <v>723.36000000000013</v>
      </c>
      <c r="J539" s="1669">
        <f>SUM(H539:I539)</f>
        <v>4241.5200000000004</v>
      </c>
      <c r="K539" s="1708"/>
      <c r="L539" s="1721"/>
      <c r="M539" s="1710" t="s">
        <v>1016</v>
      </c>
      <c r="N539" s="1711" t="s">
        <v>659</v>
      </c>
    </row>
    <row r="540" spans="1:14" ht="24" customHeight="1">
      <c r="A540" s="1664"/>
      <c r="B540" s="1665" t="s">
        <v>139</v>
      </c>
      <c r="C540" s="1666" t="s">
        <v>89</v>
      </c>
      <c r="D540" s="1667">
        <v>72.900000000000006</v>
      </c>
      <c r="E540" s="1668" t="s">
        <v>87</v>
      </c>
      <c r="F540" s="1744">
        <v>21.4</v>
      </c>
      <c r="G540" s="1744">
        <v>3.6</v>
      </c>
      <c r="H540" s="1670">
        <f t="shared" si="74"/>
        <v>1560.06</v>
      </c>
      <c r="I540" s="1670">
        <f t="shared" si="75"/>
        <v>262.44000000000005</v>
      </c>
      <c r="J540" s="1670">
        <f>SUM(H540:I540)</f>
        <v>1822.5</v>
      </c>
      <c r="K540" s="1746"/>
      <c r="L540" s="1721"/>
      <c r="M540" s="1710" t="s">
        <v>1016</v>
      </c>
      <c r="N540" s="1711" t="s">
        <v>659</v>
      </c>
    </row>
    <row r="541" spans="1:14" ht="24" customHeight="1">
      <c r="A541" s="1712"/>
      <c r="B541" s="1673" t="s">
        <v>139</v>
      </c>
      <c r="C541" s="1674" t="s">
        <v>90</v>
      </c>
      <c r="D541" s="1675">
        <v>222.6</v>
      </c>
      <c r="E541" s="1676" t="s">
        <v>87</v>
      </c>
      <c r="F541" s="1677">
        <v>21.2</v>
      </c>
      <c r="G541" s="1677">
        <v>3.6</v>
      </c>
      <c r="H541" s="1669">
        <f t="shared" si="74"/>
        <v>4719.12</v>
      </c>
      <c r="I541" s="1669">
        <f t="shared" si="75"/>
        <v>801.36</v>
      </c>
      <c r="J541" s="1669">
        <f>SUM(H541:I541)</f>
        <v>5520.48</v>
      </c>
      <c r="K541" s="1708"/>
      <c r="L541" s="1721"/>
      <c r="M541" s="1710" t="s">
        <v>1016</v>
      </c>
      <c r="N541" s="1711" t="s">
        <v>659</v>
      </c>
    </row>
    <row r="542" spans="1:14" ht="24" customHeight="1">
      <c r="A542" s="1712"/>
      <c r="B542" s="1673" t="s">
        <v>139</v>
      </c>
      <c r="C542" s="1674" t="s">
        <v>200</v>
      </c>
      <c r="D542" s="1675">
        <f>SUM(D539:D541)*0.03</f>
        <v>13.796999999999999</v>
      </c>
      <c r="E542" s="1676" t="s">
        <v>87</v>
      </c>
      <c r="F542" s="1677">
        <v>25.83</v>
      </c>
      <c r="G542" s="1677">
        <v>0</v>
      </c>
      <c r="H542" s="1669">
        <f t="shared" si="74"/>
        <v>356.37650999999994</v>
      </c>
      <c r="I542" s="1669">
        <f t="shared" si="75"/>
        <v>0</v>
      </c>
      <c r="J542" s="1669">
        <f>SUM(H542:I542)</f>
        <v>356.37650999999994</v>
      </c>
      <c r="K542" s="1708"/>
      <c r="L542" s="1721"/>
      <c r="M542" s="1710" t="s">
        <v>1019</v>
      </c>
      <c r="N542" s="1711"/>
    </row>
    <row r="543" spans="1:14" s="1685" customFormat="1" ht="24" customHeight="1">
      <c r="A543" s="1712"/>
      <c r="B543" s="2368" t="s">
        <v>1055</v>
      </c>
      <c r="C543" s="2368"/>
      <c r="D543" s="1675"/>
      <c r="E543" s="1676"/>
      <c r="F543" s="1669"/>
      <c r="G543" s="1669"/>
      <c r="H543" s="1669"/>
      <c r="I543" s="1669"/>
      <c r="J543" s="1669"/>
      <c r="K543" s="1708"/>
      <c r="L543" s="1721"/>
      <c r="M543" s="1711"/>
      <c r="N543" s="1711"/>
    </row>
    <row r="544" spans="1:14" s="1685" customFormat="1" ht="24" customHeight="1">
      <c r="A544" s="1712"/>
      <c r="B544" s="2368" t="s">
        <v>1056</v>
      </c>
      <c r="C544" s="2368"/>
      <c r="D544" s="1675"/>
      <c r="E544" s="1676"/>
      <c r="F544" s="1669"/>
      <c r="G544" s="1669"/>
      <c r="H544" s="1669"/>
      <c r="I544" s="1669"/>
      <c r="J544" s="1669"/>
      <c r="K544" s="1708"/>
      <c r="L544" s="1721"/>
      <c r="M544" s="1711"/>
      <c r="N544" s="1711"/>
    </row>
    <row r="545" spans="1:14" ht="24" customHeight="1">
      <c r="A545" s="1712"/>
      <c r="B545" s="1673" t="s">
        <v>139</v>
      </c>
      <c r="C545" s="1674" t="s">
        <v>228</v>
      </c>
      <c r="D545" s="1675">
        <v>4.5</v>
      </c>
      <c r="E545" s="1676" t="s">
        <v>85</v>
      </c>
      <c r="F545" s="1736">
        <v>2679.9</v>
      </c>
      <c r="G545" s="1736">
        <v>519</v>
      </c>
      <c r="H545" s="1669">
        <f t="shared" ref="H545:H556" si="77">F545*D545</f>
        <v>12059.550000000001</v>
      </c>
      <c r="I545" s="1669">
        <f t="shared" ref="I545:I556" si="78">G545*D545</f>
        <v>2335.5</v>
      </c>
      <c r="J545" s="1669">
        <f t="shared" ref="J545:J551" si="79">SUM(H545:I545)</f>
        <v>14395.050000000001</v>
      </c>
      <c r="K545" s="1708"/>
      <c r="L545" s="1721"/>
      <c r="M545" s="1710" t="s">
        <v>1016</v>
      </c>
      <c r="N545" s="1711" t="s">
        <v>664</v>
      </c>
    </row>
    <row r="546" spans="1:14" ht="24" customHeight="1">
      <c r="A546" s="1712"/>
      <c r="B546" s="2368" t="s">
        <v>1057</v>
      </c>
      <c r="C546" s="2368"/>
      <c r="D546" s="1675">
        <v>22.9</v>
      </c>
      <c r="E546" s="1676"/>
      <c r="F546" s="1669"/>
      <c r="G546" s="1669"/>
      <c r="H546" s="1669"/>
      <c r="I546" s="1669"/>
      <c r="J546" s="1669"/>
      <c r="K546" s="1708"/>
      <c r="L546" s="1721"/>
      <c r="M546" s="1711"/>
      <c r="N546" s="1711"/>
    </row>
    <row r="547" spans="1:14" ht="24" customHeight="1">
      <c r="A547" s="1712"/>
      <c r="B547" s="1673" t="s">
        <v>139</v>
      </c>
      <c r="C547" s="1674" t="s">
        <v>1784</v>
      </c>
      <c r="D547" s="1675">
        <f>D546</f>
        <v>22.9</v>
      </c>
      <c r="E547" s="1676" t="s">
        <v>86</v>
      </c>
      <c r="F547" s="1669"/>
      <c r="G547" s="1669">
        <v>121</v>
      </c>
      <c r="H547" s="1669">
        <f t="shared" si="77"/>
        <v>0</v>
      </c>
      <c r="I547" s="1669">
        <f t="shared" si="78"/>
        <v>2770.8999999999996</v>
      </c>
      <c r="J547" s="1669">
        <f t="shared" si="79"/>
        <v>2770.8999999999996</v>
      </c>
      <c r="K547" s="1708"/>
      <c r="L547" s="1721"/>
      <c r="M547" s="1710" t="s">
        <v>1017</v>
      </c>
      <c r="N547" s="1711" t="s">
        <v>664</v>
      </c>
    </row>
    <row r="548" spans="1:14" ht="24" customHeight="1">
      <c r="A548" s="1702"/>
      <c r="B548" s="1703" t="s">
        <v>139</v>
      </c>
      <c r="C548" s="1743" t="s">
        <v>198</v>
      </c>
      <c r="D548" s="1705">
        <f>D546*0.5</f>
        <v>11.45</v>
      </c>
      <c r="E548" s="1706" t="s">
        <v>164</v>
      </c>
      <c r="F548" s="1707">
        <v>400</v>
      </c>
      <c r="G548" s="1707"/>
      <c r="H548" s="1707">
        <f t="shared" si="77"/>
        <v>4580</v>
      </c>
      <c r="I548" s="1707">
        <f t="shared" si="78"/>
        <v>0</v>
      </c>
      <c r="J548" s="1707">
        <f t="shared" si="79"/>
        <v>4580</v>
      </c>
      <c r="K548" s="1709"/>
      <c r="L548" s="1721"/>
      <c r="M548" s="1710" t="s">
        <v>1018</v>
      </c>
      <c r="N548" s="1711"/>
    </row>
    <row r="549" spans="1:14" ht="24" customHeight="1">
      <c r="A549" s="1712"/>
      <c r="B549" s="1673" t="s">
        <v>139</v>
      </c>
      <c r="C549" s="1674" t="s">
        <v>1782</v>
      </c>
      <c r="D549" s="1675">
        <f>D548*0.3</f>
        <v>3.4349999999999996</v>
      </c>
      <c r="E549" s="1676" t="s">
        <v>164</v>
      </c>
      <c r="F549" s="1669">
        <v>400</v>
      </c>
      <c r="G549" s="1669">
        <v>0</v>
      </c>
      <c r="H549" s="1669">
        <f t="shared" si="77"/>
        <v>1373.9999999999998</v>
      </c>
      <c r="I549" s="1669">
        <f t="shared" si="78"/>
        <v>0</v>
      </c>
      <c r="J549" s="1669">
        <f t="shared" si="79"/>
        <v>1373.9999999999998</v>
      </c>
      <c r="K549" s="1708"/>
      <c r="L549" s="1721"/>
      <c r="M549" s="1710" t="s">
        <v>1018</v>
      </c>
      <c r="N549" s="1711"/>
    </row>
    <row r="550" spans="1:14" ht="24" customHeight="1">
      <c r="A550" s="1712"/>
      <c r="B550" s="1673" t="s">
        <v>139</v>
      </c>
      <c r="C550" s="1674" t="s">
        <v>163</v>
      </c>
      <c r="D550" s="1675">
        <f>D546</f>
        <v>22.9</v>
      </c>
      <c r="E550" s="1676" t="s">
        <v>83</v>
      </c>
      <c r="F550" s="1669">
        <v>28</v>
      </c>
      <c r="G550" s="1669">
        <v>0</v>
      </c>
      <c r="H550" s="1669">
        <f t="shared" si="77"/>
        <v>641.19999999999993</v>
      </c>
      <c r="I550" s="1669">
        <f t="shared" si="78"/>
        <v>0</v>
      </c>
      <c r="J550" s="1669">
        <f t="shared" si="79"/>
        <v>641.19999999999993</v>
      </c>
      <c r="K550" s="1708"/>
      <c r="L550" s="1721"/>
      <c r="M550" s="1710" t="s">
        <v>1018</v>
      </c>
      <c r="N550" s="1711"/>
    </row>
    <row r="551" spans="1:14" ht="24" customHeight="1">
      <c r="A551" s="1712"/>
      <c r="B551" s="1673" t="s">
        <v>139</v>
      </c>
      <c r="C551" s="1674" t="s">
        <v>1781</v>
      </c>
      <c r="D551" s="1675">
        <f>D546*0.25</f>
        <v>5.7249999999999996</v>
      </c>
      <c r="E551" s="1676" t="s">
        <v>87</v>
      </c>
      <c r="F551" s="1669">
        <v>23.89</v>
      </c>
      <c r="G551" s="1669">
        <v>0</v>
      </c>
      <c r="H551" s="1669">
        <f t="shared" si="77"/>
        <v>136.77025</v>
      </c>
      <c r="I551" s="1669">
        <f t="shared" si="78"/>
        <v>0</v>
      </c>
      <c r="J551" s="1669">
        <f t="shared" si="79"/>
        <v>136.77025</v>
      </c>
      <c r="K551" s="1708"/>
      <c r="L551" s="1721"/>
      <c r="M551" s="1710" t="s">
        <v>660</v>
      </c>
      <c r="N551" s="1711"/>
    </row>
    <row r="552" spans="1:14" ht="24" customHeight="1">
      <c r="A552" s="1712"/>
      <c r="B552" s="1748" t="s">
        <v>1058</v>
      </c>
      <c r="C552" s="1674"/>
      <c r="D552" s="1675"/>
      <c r="E552" s="1676"/>
      <c r="F552" s="1669"/>
      <c r="G552" s="1669"/>
      <c r="H552" s="1669"/>
      <c r="I552" s="1669"/>
      <c r="J552" s="1669"/>
      <c r="K552" s="1708"/>
      <c r="L552" s="1721"/>
      <c r="M552" s="1710"/>
      <c r="N552" s="1711"/>
    </row>
    <row r="553" spans="1:14" ht="24" customHeight="1">
      <c r="A553" s="1712"/>
      <c r="B553" s="1673" t="s">
        <v>139</v>
      </c>
      <c r="C553" s="1674" t="s">
        <v>88</v>
      </c>
      <c r="D553" s="1675">
        <v>181.2</v>
      </c>
      <c r="E553" s="1676" t="s">
        <v>87</v>
      </c>
      <c r="F553" s="1677">
        <v>21.4</v>
      </c>
      <c r="G553" s="1677">
        <v>4.4000000000000004</v>
      </c>
      <c r="H553" s="1669">
        <f t="shared" si="77"/>
        <v>3877.6799999999994</v>
      </c>
      <c r="I553" s="1669">
        <f t="shared" si="78"/>
        <v>797.28</v>
      </c>
      <c r="J553" s="1669">
        <f>SUM(H553:I553)</f>
        <v>4674.9599999999991</v>
      </c>
      <c r="K553" s="1708"/>
      <c r="L553" s="1721"/>
      <c r="M553" s="1710" t="s">
        <v>1016</v>
      </c>
      <c r="N553" s="1711" t="s">
        <v>659</v>
      </c>
    </row>
    <row r="554" spans="1:14" ht="24" customHeight="1">
      <c r="A554" s="1712"/>
      <c r="B554" s="1665" t="s">
        <v>139</v>
      </c>
      <c r="C554" s="1666" t="s">
        <v>89</v>
      </c>
      <c r="D554" s="1667">
        <v>91.4</v>
      </c>
      <c r="E554" s="1668" t="s">
        <v>87</v>
      </c>
      <c r="F554" s="1744">
        <v>21.4</v>
      </c>
      <c r="G554" s="1744">
        <v>3.6</v>
      </c>
      <c r="H554" s="1670">
        <f t="shared" si="77"/>
        <v>1955.96</v>
      </c>
      <c r="I554" s="1670">
        <f t="shared" si="78"/>
        <v>329.04</v>
      </c>
      <c r="J554" s="1670">
        <f>SUM(H554:I554)</f>
        <v>2285</v>
      </c>
      <c r="K554" s="1746"/>
      <c r="L554" s="1721"/>
      <c r="M554" s="1710" t="s">
        <v>1016</v>
      </c>
      <c r="N554" s="1711" t="s">
        <v>659</v>
      </c>
    </row>
    <row r="555" spans="1:14" ht="24" customHeight="1">
      <c r="A555" s="1672"/>
      <c r="B555" s="1673" t="s">
        <v>139</v>
      </c>
      <c r="C555" s="1674" t="s">
        <v>90</v>
      </c>
      <c r="D555" s="1675">
        <v>244.6</v>
      </c>
      <c r="E555" s="1676" t="s">
        <v>87</v>
      </c>
      <c r="F555" s="1677">
        <v>21.2</v>
      </c>
      <c r="G555" s="1677">
        <v>3.6</v>
      </c>
      <c r="H555" s="1669">
        <f t="shared" si="77"/>
        <v>5185.5199999999995</v>
      </c>
      <c r="I555" s="1669">
        <f t="shared" si="78"/>
        <v>880.56</v>
      </c>
      <c r="J555" s="1669">
        <f>SUM(H555:I555)</f>
        <v>6066.08</v>
      </c>
      <c r="K555" s="1708"/>
      <c r="L555" s="1721"/>
      <c r="M555" s="1710" t="s">
        <v>1016</v>
      </c>
      <c r="N555" s="1711" t="s">
        <v>659</v>
      </c>
    </row>
    <row r="556" spans="1:14" ht="24" customHeight="1">
      <c r="A556" s="1672"/>
      <c r="B556" s="1673" t="s">
        <v>139</v>
      </c>
      <c r="C556" s="1674" t="s">
        <v>200</v>
      </c>
      <c r="D556" s="1675">
        <f>SUM(D553:D555)*0.03</f>
        <v>15.516</v>
      </c>
      <c r="E556" s="1676" t="s">
        <v>87</v>
      </c>
      <c r="F556" s="1677">
        <v>25.83</v>
      </c>
      <c r="G556" s="1677">
        <v>0</v>
      </c>
      <c r="H556" s="1669">
        <f t="shared" si="77"/>
        <v>400.77828</v>
      </c>
      <c r="I556" s="1669">
        <f t="shared" si="78"/>
        <v>0</v>
      </c>
      <c r="J556" s="1669">
        <f>SUM(H556:I556)</f>
        <v>400.77828</v>
      </c>
      <c r="K556" s="1708"/>
      <c r="L556" s="1721"/>
      <c r="M556" s="1710" t="s">
        <v>1019</v>
      </c>
      <c r="N556" s="1711"/>
    </row>
    <row r="557" spans="1:14" ht="24" customHeight="1">
      <c r="A557" s="1780"/>
      <c r="B557" s="1780"/>
      <c r="C557" s="1827" t="s">
        <v>133</v>
      </c>
      <c r="D557" s="2365"/>
      <c r="E557" s="2365"/>
      <c r="F557" s="2365"/>
      <c r="G557" s="2365"/>
      <c r="H557" s="2365"/>
      <c r="I557" s="2365"/>
      <c r="J557" s="2365"/>
      <c r="K557" s="2365"/>
      <c r="L557" s="1721"/>
      <c r="M557" s="1710"/>
      <c r="N557" s="1711"/>
    </row>
    <row r="558" spans="1:14" ht="24" customHeight="1">
      <c r="A558" s="1780"/>
      <c r="B558" s="2366" t="s">
        <v>1769</v>
      </c>
      <c r="C558" s="2366"/>
      <c r="D558" s="1828"/>
      <c r="E558" s="1769"/>
      <c r="F558" s="1828"/>
      <c r="G558" s="1828" t="s">
        <v>134</v>
      </c>
      <c r="H558" s="1828"/>
      <c r="I558" s="1828"/>
      <c r="J558" s="1828"/>
      <c r="K558" s="1828"/>
      <c r="L558" s="1721"/>
      <c r="M558" s="1710"/>
      <c r="N558" s="1711"/>
    </row>
    <row r="559" spans="1:14" ht="24" customHeight="1">
      <c r="A559" s="1780"/>
      <c r="B559" s="2367" t="s">
        <v>1970</v>
      </c>
      <c r="C559" s="2367"/>
      <c r="D559" s="1831"/>
      <c r="E559" s="1832"/>
      <c r="F559" s="1833"/>
      <c r="G559" s="1833" t="s">
        <v>1971</v>
      </c>
      <c r="H559" s="1833"/>
      <c r="I559" s="1833"/>
      <c r="J559" s="1833"/>
      <c r="K559" s="1833"/>
      <c r="L559" s="1721"/>
      <c r="M559" s="1710"/>
      <c r="N559" s="1711"/>
    </row>
    <row r="560" spans="1:14" ht="24" customHeight="1">
      <c r="A560" s="1830"/>
      <c r="B560" s="1828" t="s">
        <v>2031</v>
      </c>
      <c r="C560" s="1830"/>
      <c r="D560" s="1830"/>
      <c r="E560" s="1830"/>
      <c r="F560" s="1830"/>
      <c r="G560" s="1828" t="s">
        <v>2031</v>
      </c>
      <c r="H560" s="1830"/>
      <c r="I560" s="1830"/>
      <c r="J560" s="1830"/>
      <c r="K560" s="1830"/>
      <c r="L560" s="1721"/>
      <c r="M560" s="1710"/>
      <c r="N560" s="1711"/>
    </row>
    <row r="561" spans="1:14" ht="24" customHeight="1">
      <c r="B561" s="1721" t="s">
        <v>1984</v>
      </c>
      <c r="C561" s="1830"/>
      <c r="D561" s="1685"/>
      <c r="E561" s="1685"/>
      <c r="G561" s="1721" t="s">
        <v>1985</v>
      </c>
      <c r="H561" s="1685"/>
      <c r="I561" s="1685"/>
      <c r="J561" s="1685"/>
      <c r="K561" s="1685"/>
      <c r="L561" s="1721"/>
      <c r="M561" s="1710"/>
      <c r="N561" s="1711"/>
    </row>
    <row r="562" spans="1:14" ht="24" customHeight="1">
      <c r="B562" s="1828" t="s">
        <v>670</v>
      </c>
      <c r="L562" s="1721"/>
      <c r="M562" s="1710"/>
      <c r="N562" s="1711"/>
    </row>
    <row r="563" spans="1:14" ht="24" customHeight="1">
      <c r="B563" s="1721" t="s">
        <v>1972</v>
      </c>
      <c r="L563" s="1721"/>
      <c r="M563" s="1710"/>
      <c r="N563" s="1711"/>
    </row>
    <row r="564" spans="1:14" ht="24" customHeight="1">
      <c r="A564" s="1672"/>
      <c r="B564" s="2368" t="s">
        <v>1030</v>
      </c>
      <c r="C564" s="2370"/>
      <c r="D564" s="1675"/>
      <c r="E564" s="1676"/>
      <c r="F564" s="1669"/>
      <c r="G564" s="1669"/>
      <c r="H564" s="1678"/>
      <c r="I564" s="1669"/>
      <c r="J564" s="1669"/>
      <c r="K564" s="1708"/>
      <c r="L564" s="1721"/>
      <c r="M564" s="1711"/>
      <c r="N564" s="1711"/>
    </row>
    <row r="565" spans="1:14" ht="24" customHeight="1">
      <c r="A565" s="1672"/>
      <c r="B565" s="2368" t="s">
        <v>1031</v>
      </c>
      <c r="C565" s="2370"/>
      <c r="D565" s="1675"/>
      <c r="E565" s="1676"/>
      <c r="F565" s="1669"/>
      <c r="G565" s="1669"/>
      <c r="H565" s="1678"/>
      <c r="I565" s="1669"/>
      <c r="J565" s="1669"/>
      <c r="K565" s="1708"/>
      <c r="L565" s="1721"/>
      <c r="M565" s="1711"/>
      <c r="N565" s="1711"/>
    </row>
    <row r="566" spans="1:14" ht="24" customHeight="1">
      <c r="A566" s="1712"/>
      <c r="B566" s="1703" t="s">
        <v>139</v>
      </c>
      <c r="C566" s="1743" t="s">
        <v>228</v>
      </c>
      <c r="D566" s="1705">
        <v>15.9</v>
      </c>
      <c r="E566" s="1706" t="s">
        <v>85</v>
      </c>
      <c r="F566" s="1742">
        <v>2679.9</v>
      </c>
      <c r="G566" s="1742">
        <v>519</v>
      </c>
      <c r="H566" s="1669">
        <f>F566*D566</f>
        <v>42610.41</v>
      </c>
      <c r="I566" s="1669">
        <f>G566*D566</f>
        <v>8252.1</v>
      </c>
      <c r="J566" s="1669">
        <f>SUM(H566:I566)</f>
        <v>50862.51</v>
      </c>
      <c r="K566" s="1708"/>
      <c r="L566" s="1721"/>
      <c r="M566" s="1763" t="s">
        <v>1016</v>
      </c>
      <c r="N566" s="1711" t="s">
        <v>659</v>
      </c>
    </row>
    <row r="567" spans="1:14" ht="24" customHeight="1">
      <c r="A567" s="1712"/>
      <c r="B567" s="2368" t="s">
        <v>1033</v>
      </c>
      <c r="C567" s="2370"/>
      <c r="D567" s="1675">
        <v>65.400000000000006</v>
      </c>
      <c r="E567" s="1676"/>
      <c r="F567" s="1669"/>
      <c r="G567" s="1669"/>
      <c r="H567" s="1669"/>
      <c r="I567" s="1669"/>
      <c r="J567" s="1669"/>
      <c r="K567" s="1708"/>
      <c r="L567" s="1721"/>
      <c r="M567" s="1711"/>
      <c r="N567" s="1711"/>
    </row>
    <row r="568" spans="1:14" ht="24" customHeight="1">
      <c r="A568" s="1712"/>
      <c r="B568" s="1673" t="s">
        <v>139</v>
      </c>
      <c r="C568" s="1674" t="s">
        <v>1784</v>
      </c>
      <c r="D568" s="1675">
        <f>D567</f>
        <v>65.400000000000006</v>
      </c>
      <c r="E568" s="1676" t="s">
        <v>86</v>
      </c>
      <c r="F568" s="1736">
        <v>0</v>
      </c>
      <c r="G568" s="1669">
        <v>121</v>
      </c>
      <c r="H568" s="1669">
        <f>F568*D568</f>
        <v>0</v>
      </c>
      <c r="I568" s="1669">
        <f>G568*D568</f>
        <v>7913.4000000000005</v>
      </c>
      <c r="J568" s="1669">
        <f>SUM(H568:I568)</f>
        <v>7913.4000000000005</v>
      </c>
      <c r="K568" s="1708"/>
      <c r="L568" s="1721"/>
      <c r="M568" s="1763" t="s">
        <v>1017</v>
      </c>
      <c r="N568" s="1711" t="s">
        <v>659</v>
      </c>
    </row>
    <row r="569" spans="1:14" ht="24" customHeight="1">
      <c r="A569" s="1712"/>
      <c r="B569" s="1673" t="s">
        <v>139</v>
      </c>
      <c r="C569" s="1674" t="s">
        <v>198</v>
      </c>
      <c r="D569" s="1675">
        <f>D567*0.5</f>
        <v>32.700000000000003</v>
      </c>
      <c r="E569" s="1676" t="s">
        <v>164</v>
      </c>
      <c r="F569" s="1736">
        <v>400</v>
      </c>
      <c r="G569" s="1736">
        <v>0</v>
      </c>
      <c r="H569" s="1669">
        <f>F569*D569</f>
        <v>13080.000000000002</v>
      </c>
      <c r="I569" s="1669">
        <f>G569*D569</f>
        <v>0</v>
      </c>
      <c r="J569" s="1669">
        <f>SUM(H569:I569)</f>
        <v>13080.000000000002</v>
      </c>
      <c r="K569" s="1708"/>
      <c r="L569" s="1721"/>
      <c r="M569" s="1763" t="s">
        <v>1018</v>
      </c>
      <c r="N569" s="1711"/>
    </row>
    <row r="570" spans="1:14" ht="24" customHeight="1">
      <c r="A570" s="1712"/>
      <c r="B570" s="1673" t="s">
        <v>139</v>
      </c>
      <c r="C570" s="1674" t="s">
        <v>1782</v>
      </c>
      <c r="D570" s="1675">
        <f>D569*0.3</f>
        <v>9.81</v>
      </c>
      <c r="E570" s="1676" t="s">
        <v>164</v>
      </c>
      <c r="F570" s="1736">
        <v>400</v>
      </c>
      <c r="G570" s="1736">
        <v>0</v>
      </c>
      <c r="H570" s="1669">
        <f>F570*D570</f>
        <v>3924</v>
      </c>
      <c r="I570" s="1669">
        <f>G570*D570</f>
        <v>0</v>
      </c>
      <c r="J570" s="1669">
        <f>SUM(H570:I570)</f>
        <v>3924</v>
      </c>
      <c r="K570" s="1708"/>
      <c r="L570" s="1721"/>
      <c r="M570" s="1763" t="s">
        <v>1018</v>
      </c>
      <c r="N570" s="1685"/>
    </row>
    <row r="571" spans="1:14" s="1685" customFormat="1" ht="24" customHeight="1">
      <c r="A571" s="1712"/>
      <c r="B571" s="1673" t="s">
        <v>139</v>
      </c>
      <c r="C571" s="1674" t="s">
        <v>163</v>
      </c>
      <c r="D571" s="1675">
        <f>D567</f>
        <v>65.400000000000006</v>
      </c>
      <c r="E571" s="1676" t="s">
        <v>83</v>
      </c>
      <c r="F571" s="1736">
        <v>28</v>
      </c>
      <c r="G571" s="1736">
        <v>0</v>
      </c>
      <c r="H571" s="1669">
        <f>F571*D571</f>
        <v>1831.2000000000003</v>
      </c>
      <c r="I571" s="1669">
        <f>G571*D571</f>
        <v>0</v>
      </c>
      <c r="J571" s="1669">
        <f>SUM(H571:I571)</f>
        <v>1831.2000000000003</v>
      </c>
      <c r="K571" s="1708"/>
      <c r="L571" s="1721"/>
      <c r="M571" s="1763" t="s">
        <v>1018</v>
      </c>
    </row>
    <row r="572" spans="1:14" s="1685" customFormat="1" ht="24" customHeight="1">
      <c r="A572" s="1712"/>
      <c r="B572" s="1673" t="s">
        <v>139</v>
      </c>
      <c r="C572" s="1674" t="s">
        <v>1781</v>
      </c>
      <c r="D572" s="1675">
        <f>D567*0.25</f>
        <v>16.350000000000001</v>
      </c>
      <c r="E572" s="1676" t="s">
        <v>87</v>
      </c>
      <c r="F572" s="1736">
        <v>23.89</v>
      </c>
      <c r="G572" s="1736">
        <v>0</v>
      </c>
      <c r="H572" s="1669">
        <f>F572*D572</f>
        <v>390.60150000000004</v>
      </c>
      <c r="I572" s="1669">
        <f>G572*D572</f>
        <v>0</v>
      </c>
      <c r="J572" s="1669">
        <f>SUM(H572:I572)</f>
        <v>390.60150000000004</v>
      </c>
      <c r="K572" s="1708"/>
      <c r="L572" s="1721"/>
      <c r="M572" s="1763" t="s">
        <v>660</v>
      </c>
    </row>
    <row r="573" spans="1:14" ht="24" customHeight="1">
      <c r="A573" s="1712"/>
      <c r="B573" s="2368" t="s">
        <v>1032</v>
      </c>
      <c r="C573" s="2370"/>
      <c r="D573" s="1675"/>
      <c r="E573" s="1676"/>
      <c r="F573" s="1669"/>
      <c r="G573" s="1669"/>
      <c r="H573" s="1669"/>
      <c r="I573" s="1669"/>
      <c r="J573" s="1669"/>
      <c r="K573" s="1708"/>
      <c r="L573" s="1721"/>
      <c r="M573" s="1711"/>
      <c r="N573" s="1711"/>
    </row>
    <row r="574" spans="1:14" ht="24" customHeight="1">
      <c r="A574" s="1712"/>
      <c r="B574" s="1673" t="s">
        <v>139</v>
      </c>
      <c r="C574" s="1674" t="s">
        <v>88</v>
      </c>
      <c r="D574" s="1675">
        <v>336.7</v>
      </c>
      <c r="E574" s="1676" t="s">
        <v>87</v>
      </c>
      <c r="F574" s="1677">
        <v>21.4</v>
      </c>
      <c r="G574" s="1677">
        <v>4.4000000000000004</v>
      </c>
      <c r="H574" s="1669">
        <f t="shared" ref="H574:H579" si="80">F574*D574</f>
        <v>7205.3799999999992</v>
      </c>
      <c r="I574" s="1669">
        <f t="shared" ref="I574:I579" si="81">G574*D574</f>
        <v>1481.48</v>
      </c>
      <c r="J574" s="1669">
        <f t="shared" ref="J574:J580" si="82">SUM(H574:I574)</f>
        <v>8686.8599999999988</v>
      </c>
      <c r="K574" s="1708"/>
      <c r="L574" s="1721"/>
      <c r="M574" s="1710" t="s">
        <v>1016</v>
      </c>
      <c r="N574" s="1711" t="s">
        <v>659</v>
      </c>
    </row>
    <row r="575" spans="1:14" ht="24" customHeight="1">
      <c r="A575" s="1712"/>
      <c r="B575" s="1673" t="s">
        <v>139</v>
      </c>
      <c r="C575" s="1674" t="s">
        <v>89</v>
      </c>
      <c r="D575" s="1675">
        <v>833.5</v>
      </c>
      <c r="E575" s="1676" t="s">
        <v>87</v>
      </c>
      <c r="F575" s="1677">
        <v>21.4</v>
      </c>
      <c r="G575" s="1677">
        <v>3.6</v>
      </c>
      <c r="H575" s="1669">
        <f t="shared" si="80"/>
        <v>17836.899999999998</v>
      </c>
      <c r="I575" s="1669">
        <f t="shared" si="81"/>
        <v>3000.6</v>
      </c>
      <c r="J575" s="1669">
        <f t="shared" si="82"/>
        <v>20837.499999999996</v>
      </c>
      <c r="K575" s="1708"/>
      <c r="L575" s="1721"/>
      <c r="M575" s="1710" t="s">
        <v>1016</v>
      </c>
      <c r="N575" s="1711" t="s">
        <v>659</v>
      </c>
    </row>
    <row r="576" spans="1:14" ht="24" customHeight="1">
      <c r="A576" s="1664"/>
      <c r="B576" s="1665" t="s">
        <v>139</v>
      </c>
      <c r="C576" s="1666" t="s">
        <v>91</v>
      </c>
      <c r="D576" s="1667">
        <v>757.6</v>
      </c>
      <c r="E576" s="1668" t="s">
        <v>87</v>
      </c>
      <c r="F576" s="1744">
        <v>21.2</v>
      </c>
      <c r="G576" s="1744">
        <v>3.1</v>
      </c>
      <c r="H576" s="1670">
        <f t="shared" si="80"/>
        <v>16061.12</v>
      </c>
      <c r="I576" s="1670">
        <f t="shared" si="81"/>
        <v>2348.56</v>
      </c>
      <c r="J576" s="1670">
        <f t="shared" si="82"/>
        <v>18409.68</v>
      </c>
      <c r="K576" s="1746"/>
      <c r="L576" s="1721"/>
      <c r="M576" s="1710" t="s">
        <v>1016</v>
      </c>
      <c r="N576" s="1711" t="s">
        <v>659</v>
      </c>
    </row>
    <row r="577" spans="1:14" ht="24" customHeight="1">
      <c r="A577" s="1712"/>
      <c r="B577" s="1673" t="s">
        <v>139</v>
      </c>
      <c r="C577" s="1674" t="s">
        <v>200</v>
      </c>
      <c r="D577" s="1675">
        <f>SUM(D574:D576)*0.03</f>
        <v>57.834000000000003</v>
      </c>
      <c r="E577" s="1676" t="s">
        <v>87</v>
      </c>
      <c r="F577" s="1677">
        <v>25.83</v>
      </c>
      <c r="G577" s="1677">
        <v>0</v>
      </c>
      <c r="H577" s="1669">
        <f t="shared" si="80"/>
        <v>1493.85222</v>
      </c>
      <c r="I577" s="1669">
        <f t="shared" si="81"/>
        <v>0</v>
      </c>
      <c r="J577" s="1669">
        <f t="shared" si="82"/>
        <v>1493.85222</v>
      </c>
      <c r="K577" s="1708"/>
      <c r="L577" s="1721"/>
      <c r="M577" s="1710" t="s">
        <v>1019</v>
      </c>
      <c r="N577" s="1711"/>
    </row>
    <row r="578" spans="1:14" ht="24" customHeight="1">
      <c r="A578" s="1712"/>
      <c r="B578" s="1673" t="s">
        <v>139</v>
      </c>
      <c r="C578" s="1713" t="s">
        <v>1104</v>
      </c>
      <c r="D578" s="1675">
        <v>4140</v>
      </c>
      <c r="E578" s="1676" t="s">
        <v>87</v>
      </c>
      <c r="F578" s="1669">
        <v>38.799999999999997</v>
      </c>
      <c r="G578" s="1669">
        <v>12</v>
      </c>
      <c r="H578" s="1669">
        <f t="shared" si="80"/>
        <v>160632</v>
      </c>
      <c r="I578" s="1669">
        <f t="shared" si="81"/>
        <v>49680</v>
      </c>
      <c r="J578" s="1669">
        <f t="shared" si="82"/>
        <v>210312</v>
      </c>
      <c r="K578" s="1708"/>
      <c r="L578" s="1721"/>
      <c r="M578" s="1710" t="s">
        <v>1020</v>
      </c>
      <c r="N578" s="1711" t="s">
        <v>664</v>
      </c>
    </row>
    <row r="579" spans="1:14" ht="24" customHeight="1">
      <c r="A579" s="1712"/>
      <c r="B579" s="1673" t="s">
        <v>139</v>
      </c>
      <c r="C579" s="1713" t="s">
        <v>1105</v>
      </c>
      <c r="D579" s="1675">
        <v>410.4</v>
      </c>
      <c r="E579" s="1676" t="s">
        <v>87</v>
      </c>
      <c r="F579" s="1736">
        <v>36.4</v>
      </c>
      <c r="G579" s="1669">
        <v>12</v>
      </c>
      <c r="H579" s="1669">
        <f t="shared" si="80"/>
        <v>14938.56</v>
      </c>
      <c r="I579" s="1669">
        <f t="shared" si="81"/>
        <v>4924.7999999999993</v>
      </c>
      <c r="J579" s="1669">
        <f t="shared" si="82"/>
        <v>19863.36</v>
      </c>
      <c r="K579" s="1708"/>
      <c r="L579" s="1721"/>
      <c r="M579" s="1710" t="s">
        <v>1020</v>
      </c>
      <c r="N579" s="1711" t="s">
        <v>664</v>
      </c>
    </row>
    <row r="580" spans="1:14" ht="24" customHeight="1">
      <c r="A580" s="1702"/>
      <c r="B580" s="1703" t="s">
        <v>139</v>
      </c>
      <c r="C580" s="1704" t="s">
        <v>1207</v>
      </c>
      <c r="D580" s="1705">
        <v>155.69999999999999</v>
      </c>
      <c r="E580" s="1706" t="s">
        <v>87</v>
      </c>
      <c r="F580" s="1707">
        <v>30.1</v>
      </c>
      <c r="G580" s="1707">
        <v>12</v>
      </c>
      <c r="H580" s="1707">
        <f>F580*D580</f>
        <v>4686.57</v>
      </c>
      <c r="I580" s="1707">
        <f>G580*D580</f>
        <v>1868.3999999999999</v>
      </c>
      <c r="J580" s="1707">
        <f t="shared" si="82"/>
        <v>6554.9699999999993</v>
      </c>
      <c r="K580" s="1709"/>
      <c r="L580" s="1721"/>
      <c r="M580" s="1710" t="s">
        <v>1020</v>
      </c>
      <c r="N580" s="1711" t="s">
        <v>664</v>
      </c>
    </row>
    <row r="581" spans="1:14" ht="24" customHeight="1">
      <c r="A581" s="1702"/>
      <c r="B581" s="1703" t="s">
        <v>139</v>
      </c>
      <c r="C581" s="1704" t="s">
        <v>90</v>
      </c>
      <c r="D581" s="1705">
        <v>22.8</v>
      </c>
      <c r="E581" s="1706" t="s">
        <v>87</v>
      </c>
      <c r="F581" s="1707">
        <v>21.2</v>
      </c>
      <c r="G581" s="1707">
        <v>3.6</v>
      </c>
      <c r="H581" s="1707">
        <f>F581*D581</f>
        <v>483.36</v>
      </c>
      <c r="I581" s="1707">
        <f>G581*D581</f>
        <v>82.08</v>
      </c>
      <c r="J581" s="1707">
        <f>SUM(H581:I581)</f>
        <v>565.44000000000005</v>
      </c>
      <c r="K581" s="1709"/>
      <c r="L581" s="1721"/>
      <c r="M581" s="1710" t="s">
        <v>1016</v>
      </c>
      <c r="N581" s="1711" t="s">
        <v>659</v>
      </c>
    </row>
    <row r="582" spans="1:14" ht="24" customHeight="1">
      <c r="A582" s="1702"/>
      <c r="B582" s="1756" t="s">
        <v>1035</v>
      </c>
      <c r="C582" s="1704"/>
      <c r="D582" s="1705"/>
      <c r="E582" s="1706"/>
      <c r="F582" s="1707"/>
      <c r="G582" s="1707"/>
      <c r="H582" s="1707"/>
      <c r="I582" s="1707"/>
      <c r="J582" s="1707"/>
      <c r="K582" s="1709"/>
      <c r="L582" s="1721"/>
      <c r="M582" s="1710"/>
      <c r="N582" s="1711"/>
    </row>
    <row r="583" spans="1:14" ht="24" customHeight="1">
      <c r="A583" s="1712"/>
      <c r="B583" s="2368" t="s">
        <v>1034</v>
      </c>
      <c r="C583" s="2370"/>
      <c r="D583" s="1675"/>
      <c r="E583" s="1676"/>
      <c r="F583" s="1669"/>
      <c r="G583" s="1669"/>
      <c r="H583" s="1669"/>
      <c r="I583" s="1669"/>
      <c r="J583" s="1669"/>
      <c r="K583" s="1708"/>
      <c r="L583" s="1721"/>
      <c r="M583" s="1711"/>
      <c r="N583" s="1711"/>
    </row>
    <row r="584" spans="1:14" ht="24" customHeight="1">
      <c r="A584" s="1712"/>
      <c r="B584" s="1673" t="s">
        <v>139</v>
      </c>
      <c r="C584" s="1674" t="s">
        <v>228</v>
      </c>
      <c r="D584" s="1675">
        <v>17</v>
      </c>
      <c r="E584" s="1676" t="s">
        <v>85</v>
      </c>
      <c r="F584" s="1736">
        <v>2679.9</v>
      </c>
      <c r="G584" s="1736">
        <v>519</v>
      </c>
      <c r="H584" s="1669">
        <f t="shared" ref="H584:H602" si="83">F584*D584</f>
        <v>45558.3</v>
      </c>
      <c r="I584" s="1669">
        <f t="shared" ref="I584:I602" si="84">G584*D584</f>
        <v>8823</v>
      </c>
      <c r="J584" s="1669">
        <f t="shared" ref="J584:J590" si="85">SUM(H584:I584)</f>
        <v>54381.3</v>
      </c>
      <c r="K584" s="1708"/>
      <c r="L584" s="1721"/>
      <c r="M584" s="1710" t="s">
        <v>1016</v>
      </c>
      <c r="N584" s="1711" t="s">
        <v>659</v>
      </c>
    </row>
    <row r="585" spans="1:14" ht="24" customHeight="1">
      <c r="A585" s="1712"/>
      <c r="B585" s="2368" t="s">
        <v>1036</v>
      </c>
      <c r="C585" s="2370"/>
      <c r="D585" s="1675">
        <v>93.9</v>
      </c>
      <c r="E585" s="1676"/>
      <c r="F585" s="1669"/>
      <c r="G585" s="1669"/>
      <c r="H585" s="1669"/>
      <c r="I585" s="1669"/>
      <c r="J585" s="1669"/>
      <c r="K585" s="1708"/>
      <c r="L585" s="1721"/>
      <c r="M585" s="1711"/>
      <c r="N585" s="1711"/>
    </row>
    <row r="586" spans="1:14" ht="24" customHeight="1">
      <c r="A586" s="1712"/>
      <c r="B586" s="1673" t="s">
        <v>139</v>
      </c>
      <c r="C586" s="1674" t="s">
        <v>1784</v>
      </c>
      <c r="D586" s="1675">
        <f>D585</f>
        <v>93.9</v>
      </c>
      <c r="E586" s="1676" t="s">
        <v>86</v>
      </c>
      <c r="F586" s="1736">
        <v>0</v>
      </c>
      <c r="G586" s="1669">
        <v>121</v>
      </c>
      <c r="H586" s="1669">
        <f t="shared" si="83"/>
        <v>0</v>
      </c>
      <c r="I586" s="1669">
        <f t="shared" si="84"/>
        <v>11361.900000000001</v>
      </c>
      <c r="J586" s="1669">
        <f t="shared" si="85"/>
        <v>11361.900000000001</v>
      </c>
      <c r="K586" s="1708"/>
      <c r="L586" s="1721"/>
      <c r="M586" s="1710" t="s">
        <v>1017</v>
      </c>
      <c r="N586" s="1711" t="s">
        <v>659</v>
      </c>
    </row>
    <row r="587" spans="1:14" ht="24" customHeight="1">
      <c r="A587" s="1712"/>
      <c r="B587" s="1673" t="s">
        <v>139</v>
      </c>
      <c r="C587" s="1674" t="s">
        <v>198</v>
      </c>
      <c r="D587" s="1675">
        <f>D585*0.5</f>
        <v>46.95</v>
      </c>
      <c r="E587" s="1676" t="s">
        <v>164</v>
      </c>
      <c r="F587" s="1736">
        <v>400</v>
      </c>
      <c r="G587" s="1736">
        <v>0</v>
      </c>
      <c r="H587" s="1669">
        <f t="shared" si="83"/>
        <v>18780</v>
      </c>
      <c r="I587" s="1669">
        <f t="shared" si="84"/>
        <v>0</v>
      </c>
      <c r="J587" s="1669">
        <f t="shared" si="85"/>
        <v>18780</v>
      </c>
      <c r="K587" s="1708"/>
      <c r="L587" s="1721"/>
      <c r="M587" s="1710" t="s">
        <v>1018</v>
      </c>
      <c r="N587" s="1711"/>
    </row>
    <row r="588" spans="1:14" ht="24" customHeight="1">
      <c r="A588" s="1712"/>
      <c r="B588" s="1673" t="s">
        <v>139</v>
      </c>
      <c r="C588" s="1674" t="s">
        <v>1782</v>
      </c>
      <c r="D588" s="1675">
        <f>D587*0.3</f>
        <v>14.085000000000001</v>
      </c>
      <c r="E588" s="1676" t="s">
        <v>164</v>
      </c>
      <c r="F588" s="1736">
        <v>400</v>
      </c>
      <c r="G588" s="1736">
        <v>0</v>
      </c>
      <c r="H588" s="1669">
        <f t="shared" si="83"/>
        <v>5634</v>
      </c>
      <c r="I588" s="1669">
        <f t="shared" si="84"/>
        <v>0</v>
      </c>
      <c r="J588" s="1669">
        <f t="shared" si="85"/>
        <v>5634</v>
      </c>
      <c r="K588" s="1708"/>
      <c r="L588" s="1721"/>
      <c r="M588" s="1710" t="s">
        <v>1018</v>
      </c>
      <c r="N588" s="1685"/>
    </row>
    <row r="589" spans="1:14" ht="24" customHeight="1">
      <c r="A589" s="1712"/>
      <c r="B589" s="1673" t="s">
        <v>139</v>
      </c>
      <c r="C589" s="1674" t="s">
        <v>163</v>
      </c>
      <c r="D589" s="1675">
        <f>D585</f>
        <v>93.9</v>
      </c>
      <c r="E589" s="1676" t="s">
        <v>83</v>
      </c>
      <c r="F589" s="1736">
        <v>28</v>
      </c>
      <c r="G589" s="1736">
        <v>0</v>
      </c>
      <c r="H589" s="1669">
        <f t="shared" si="83"/>
        <v>2629.2000000000003</v>
      </c>
      <c r="I589" s="1669">
        <f t="shared" si="84"/>
        <v>0</v>
      </c>
      <c r="J589" s="1669">
        <f t="shared" si="85"/>
        <v>2629.2000000000003</v>
      </c>
      <c r="K589" s="1708"/>
      <c r="L589" s="1721"/>
      <c r="M589" s="1710" t="s">
        <v>1018</v>
      </c>
      <c r="N589" s="1685"/>
    </row>
    <row r="590" spans="1:14" ht="24" customHeight="1">
      <c r="A590" s="1712"/>
      <c r="B590" s="1673" t="s">
        <v>139</v>
      </c>
      <c r="C590" s="1674" t="s">
        <v>1781</v>
      </c>
      <c r="D590" s="1675">
        <f>D585*0.25</f>
        <v>23.475000000000001</v>
      </c>
      <c r="E590" s="1676" t="s">
        <v>87</v>
      </c>
      <c r="F590" s="1736">
        <v>23.89</v>
      </c>
      <c r="G590" s="1736">
        <v>0</v>
      </c>
      <c r="H590" s="1669">
        <f t="shared" si="83"/>
        <v>560.81775000000005</v>
      </c>
      <c r="I590" s="1669">
        <f t="shared" si="84"/>
        <v>0</v>
      </c>
      <c r="J590" s="1669">
        <f t="shared" si="85"/>
        <v>560.81775000000005</v>
      </c>
      <c r="K590" s="1708"/>
      <c r="L590" s="1721"/>
      <c r="M590" s="1710" t="s">
        <v>660</v>
      </c>
      <c r="N590" s="1685"/>
    </row>
    <row r="591" spans="1:14" ht="24" customHeight="1">
      <c r="A591" s="1780"/>
      <c r="B591" s="1780"/>
      <c r="C591" s="1827" t="s">
        <v>133</v>
      </c>
      <c r="D591" s="2365"/>
      <c r="E591" s="2365"/>
      <c r="F591" s="2365"/>
      <c r="G591" s="2365"/>
      <c r="H591" s="2365"/>
      <c r="I591" s="2365"/>
      <c r="J591" s="2365"/>
      <c r="K591" s="2365"/>
      <c r="L591" s="1721"/>
      <c r="M591" s="1710"/>
      <c r="N591" s="1685"/>
    </row>
    <row r="592" spans="1:14" ht="24" customHeight="1">
      <c r="A592" s="1780"/>
      <c r="B592" s="2366" t="s">
        <v>1769</v>
      </c>
      <c r="C592" s="2366"/>
      <c r="D592" s="1828"/>
      <c r="E592" s="1769"/>
      <c r="F592" s="1828"/>
      <c r="G592" s="1828" t="s">
        <v>134</v>
      </c>
      <c r="H592" s="1828"/>
      <c r="I592" s="1828"/>
      <c r="J592" s="1828"/>
      <c r="K592" s="1828"/>
      <c r="L592" s="1721"/>
      <c r="M592" s="1710"/>
      <c r="N592" s="1685"/>
    </row>
    <row r="593" spans="1:14" ht="24" customHeight="1">
      <c r="A593" s="1780"/>
      <c r="B593" s="2367" t="s">
        <v>1970</v>
      </c>
      <c r="C593" s="2367"/>
      <c r="D593" s="1831"/>
      <c r="E593" s="1832"/>
      <c r="F593" s="1833"/>
      <c r="G593" s="1833" t="s">
        <v>1971</v>
      </c>
      <c r="H593" s="1833"/>
      <c r="I593" s="1833"/>
      <c r="J593" s="1833"/>
      <c r="K593" s="1833"/>
      <c r="L593" s="1721"/>
      <c r="M593" s="1710"/>
      <c r="N593" s="1685"/>
    </row>
    <row r="594" spans="1:14" ht="24" customHeight="1">
      <c r="A594" s="1830"/>
      <c r="B594" s="1828" t="s">
        <v>2031</v>
      </c>
      <c r="C594" s="1830"/>
      <c r="D594" s="1830"/>
      <c r="E594" s="1830"/>
      <c r="F594" s="1830"/>
      <c r="G594" s="1828" t="s">
        <v>2031</v>
      </c>
      <c r="H594" s="1830"/>
      <c r="I594" s="1830"/>
      <c r="J594" s="1830"/>
      <c r="K594" s="1830"/>
      <c r="L594" s="1721"/>
      <c r="M594" s="1710"/>
      <c r="N594" s="1685"/>
    </row>
    <row r="595" spans="1:14" ht="24" customHeight="1">
      <c r="B595" s="1721" t="s">
        <v>1984</v>
      </c>
      <c r="C595" s="1830"/>
      <c r="D595" s="1685"/>
      <c r="E595" s="1685"/>
      <c r="G595" s="1721" t="s">
        <v>1985</v>
      </c>
      <c r="H595" s="1685"/>
      <c r="I595" s="1685"/>
      <c r="J595" s="1685"/>
      <c r="K595" s="1685"/>
      <c r="L595" s="1721"/>
      <c r="M595" s="1710"/>
      <c r="N595" s="1685"/>
    </row>
    <row r="596" spans="1:14" ht="24" customHeight="1">
      <c r="B596" s="1828" t="s">
        <v>670</v>
      </c>
      <c r="L596" s="1721"/>
      <c r="M596" s="1710"/>
      <c r="N596" s="1685"/>
    </row>
    <row r="597" spans="1:14" ht="24" customHeight="1">
      <c r="B597" s="1721" t="s">
        <v>1972</v>
      </c>
      <c r="L597" s="1721"/>
      <c r="M597" s="1710"/>
      <c r="N597" s="1685"/>
    </row>
    <row r="598" spans="1:14" ht="24" customHeight="1">
      <c r="A598" s="1712"/>
      <c r="B598" s="2368" t="s">
        <v>1037</v>
      </c>
      <c r="C598" s="2370"/>
      <c r="D598" s="1675"/>
      <c r="E598" s="1676"/>
      <c r="F598" s="1669"/>
      <c r="G598" s="1669"/>
      <c r="H598" s="1669"/>
      <c r="I598" s="1669"/>
      <c r="J598" s="1669"/>
      <c r="K598" s="1708"/>
      <c r="L598" s="1721"/>
      <c r="M598" s="1711"/>
      <c r="N598" s="1711"/>
    </row>
    <row r="599" spans="1:14" s="1685" customFormat="1" ht="24" customHeight="1">
      <c r="A599" s="1712"/>
      <c r="B599" s="1673" t="s">
        <v>139</v>
      </c>
      <c r="C599" s="1674" t="s">
        <v>88</v>
      </c>
      <c r="D599" s="1675">
        <v>345.2</v>
      </c>
      <c r="E599" s="1676" t="s">
        <v>87</v>
      </c>
      <c r="F599" s="1677">
        <v>21.4</v>
      </c>
      <c r="G599" s="1677">
        <v>4.4000000000000004</v>
      </c>
      <c r="H599" s="1669">
        <f t="shared" si="83"/>
        <v>7387.2799999999988</v>
      </c>
      <c r="I599" s="1669">
        <f t="shared" si="84"/>
        <v>1518.88</v>
      </c>
      <c r="J599" s="1669">
        <f>SUM(H599:I599)</f>
        <v>8906.16</v>
      </c>
      <c r="K599" s="1708"/>
      <c r="L599" s="1721"/>
      <c r="M599" s="1710" t="s">
        <v>1016</v>
      </c>
      <c r="N599" s="1711" t="s">
        <v>659</v>
      </c>
    </row>
    <row r="600" spans="1:14" ht="24" customHeight="1">
      <c r="A600" s="1712"/>
      <c r="B600" s="1673" t="s">
        <v>139</v>
      </c>
      <c r="C600" s="1674" t="s">
        <v>89</v>
      </c>
      <c r="D600" s="1675">
        <v>1067.2</v>
      </c>
      <c r="E600" s="1676" t="s">
        <v>87</v>
      </c>
      <c r="F600" s="1677">
        <v>21.4</v>
      </c>
      <c r="G600" s="1677">
        <v>3.6</v>
      </c>
      <c r="H600" s="1669">
        <f t="shared" si="83"/>
        <v>22838.079999999998</v>
      </c>
      <c r="I600" s="1669">
        <f t="shared" si="84"/>
        <v>3841.92</v>
      </c>
      <c r="J600" s="1669">
        <f>SUM(H600:I600)</f>
        <v>26680</v>
      </c>
      <c r="K600" s="1708"/>
      <c r="L600" s="1721"/>
      <c r="M600" s="1710" t="s">
        <v>1016</v>
      </c>
      <c r="N600" s="1711" t="s">
        <v>659</v>
      </c>
    </row>
    <row r="601" spans="1:14" ht="24" customHeight="1">
      <c r="A601" s="1664"/>
      <c r="B601" s="1665" t="s">
        <v>139</v>
      </c>
      <c r="C601" s="1666" t="s">
        <v>91</v>
      </c>
      <c r="D601" s="1667">
        <v>628.1</v>
      </c>
      <c r="E601" s="1668" t="s">
        <v>87</v>
      </c>
      <c r="F601" s="1744">
        <v>21.2</v>
      </c>
      <c r="G601" s="1744">
        <v>3.1</v>
      </c>
      <c r="H601" s="1670">
        <f t="shared" si="83"/>
        <v>13315.72</v>
      </c>
      <c r="I601" s="1670">
        <f t="shared" si="84"/>
        <v>1947.1100000000001</v>
      </c>
      <c r="J601" s="1670">
        <f>SUM(H601:I601)</f>
        <v>15262.83</v>
      </c>
      <c r="K601" s="1708"/>
      <c r="L601" s="1721"/>
      <c r="M601" s="1710" t="s">
        <v>1016</v>
      </c>
      <c r="N601" s="1711" t="s">
        <v>659</v>
      </c>
    </row>
    <row r="602" spans="1:14" ht="24" customHeight="1">
      <c r="A602" s="1712"/>
      <c r="B602" s="1673" t="s">
        <v>139</v>
      </c>
      <c r="C602" s="1674" t="s">
        <v>200</v>
      </c>
      <c r="D602" s="1675">
        <f>SUM(D599:D601)*0.03</f>
        <v>61.214999999999996</v>
      </c>
      <c r="E602" s="1676" t="s">
        <v>87</v>
      </c>
      <c r="F602" s="1677">
        <v>25.83</v>
      </c>
      <c r="G602" s="1677">
        <v>0</v>
      </c>
      <c r="H602" s="1669">
        <f t="shared" si="83"/>
        <v>1581.1834499999998</v>
      </c>
      <c r="I602" s="1669">
        <f t="shared" si="84"/>
        <v>0</v>
      </c>
      <c r="J602" s="1669">
        <f>SUM(H602:I602)</f>
        <v>1581.1834499999998</v>
      </c>
      <c r="K602" s="1708"/>
      <c r="L602" s="1721"/>
      <c r="M602" s="1710" t="s">
        <v>1019</v>
      </c>
      <c r="N602" s="1711"/>
    </row>
    <row r="603" spans="1:14" ht="24" customHeight="1">
      <c r="A603" s="1712"/>
      <c r="B603" s="2368" t="s">
        <v>1038</v>
      </c>
      <c r="C603" s="2370"/>
      <c r="D603" s="1675"/>
      <c r="E603" s="1676"/>
      <c r="F603" s="1669"/>
      <c r="G603" s="1669"/>
      <c r="H603" s="1669"/>
      <c r="I603" s="1669"/>
      <c r="J603" s="1669"/>
      <c r="K603" s="1708"/>
      <c r="L603" s="1721"/>
      <c r="M603" s="1711"/>
      <c r="N603" s="1711"/>
    </row>
    <row r="604" spans="1:14" ht="24" customHeight="1">
      <c r="A604" s="1712"/>
      <c r="B604" s="2368" t="s">
        <v>1039</v>
      </c>
      <c r="C604" s="2370"/>
      <c r="D604" s="1675"/>
      <c r="E604" s="1676"/>
      <c r="F604" s="1669"/>
      <c r="G604" s="1669"/>
      <c r="H604" s="1669"/>
      <c r="I604" s="1669"/>
      <c r="J604" s="1669"/>
      <c r="K604" s="1708"/>
      <c r="L604" s="1721"/>
      <c r="M604" s="1711"/>
      <c r="N604" s="1711"/>
    </row>
    <row r="605" spans="1:14" ht="24" customHeight="1">
      <c r="A605" s="1702"/>
      <c r="B605" s="1703" t="s">
        <v>139</v>
      </c>
      <c r="C605" s="1743" t="s">
        <v>228</v>
      </c>
      <c r="D605" s="1705">
        <v>14.2</v>
      </c>
      <c r="E605" s="1706" t="s">
        <v>85</v>
      </c>
      <c r="F605" s="1742">
        <v>2679.9</v>
      </c>
      <c r="G605" s="1742">
        <v>519</v>
      </c>
      <c r="H605" s="1707">
        <f t="shared" ref="H605:H616" si="86">F605*D605</f>
        <v>38054.58</v>
      </c>
      <c r="I605" s="1707">
        <f t="shared" ref="I605:I616" si="87">G605*D605</f>
        <v>7369.7999999999993</v>
      </c>
      <c r="J605" s="1707">
        <f t="shared" ref="J605:J611" si="88">SUM(H605:I605)</f>
        <v>45424.380000000005</v>
      </c>
      <c r="K605" s="1708"/>
      <c r="L605" s="1721"/>
      <c r="M605" s="1710" t="s">
        <v>1016</v>
      </c>
      <c r="N605" s="1711" t="s">
        <v>659</v>
      </c>
    </row>
    <row r="606" spans="1:14" ht="24" customHeight="1">
      <c r="A606" s="1712"/>
      <c r="B606" s="2368" t="s">
        <v>1040</v>
      </c>
      <c r="C606" s="2370"/>
      <c r="D606" s="1675">
        <v>95</v>
      </c>
      <c r="E606" s="1676"/>
      <c r="F606" s="1669"/>
      <c r="G606" s="1669"/>
      <c r="H606" s="1669"/>
      <c r="I606" s="1669"/>
      <c r="J606" s="1669"/>
      <c r="K606" s="1708"/>
      <c r="L606" s="1721"/>
      <c r="M606" s="1711"/>
      <c r="N606" s="1711"/>
    </row>
    <row r="607" spans="1:14" ht="24" customHeight="1">
      <c r="A607" s="1712"/>
      <c r="B607" s="1673" t="s">
        <v>139</v>
      </c>
      <c r="C607" s="1674" t="s">
        <v>1784</v>
      </c>
      <c r="D607" s="1675">
        <f>D606</f>
        <v>95</v>
      </c>
      <c r="E607" s="1676" t="s">
        <v>86</v>
      </c>
      <c r="F607" s="1736">
        <v>0</v>
      </c>
      <c r="G607" s="1669">
        <v>121</v>
      </c>
      <c r="H607" s="1669">
        <f t="shared" si="86"/>
        <v>0</v>
      </c>
      <c r="I607" s="1669">
        <f t="shared" si="87"/>
        <v>11495</v>
      </c>
      <c r="J607" s="1669">
        <f t="shared" si="88"/>
        <v>11495</v>
      </c>
      <c r="K607" s="1708"/>
      <c r="L607" s="1721"/>
      <c r="M607" s="1710" t="s">
        <v>1017</v>
      </c>
      <c r="N607" s="1711" t="s">
        <v>659</v>
      </c>
    </row>
    <row r="608" spans="1:14" ht="24" customHeight="1">
      <c r="A608" s="1712"/>
      <c r="B608" s="1673" t="s">
        <v>139</v>
      </c>
      <c r="C608" s="1674" t="s">
        <v>198</v>
      </c>
      <c r="D608" s="1675">
        <f>D606*0.5</f>
        <v>47.5</v>
      </c>
      <c r="E608" s="1676" t="s">
        <v>164</v>
      </c>
      <c r="F608" s="1736">
        <v>400</v>
      </c>
      <c r="G608" s="1736">
        <v>0</v>
      </c>
      <c r="H608" s="1669">
        <f t="shared" si="86"/>
        <v>19000</v>
      </c>
      <c r="I608" s="1669">
        <f t="shared" si="87"/>
        <v>0</v>
      </c>
      <c r="J608" s="1669">
        <f t="shared" si="88"/>
        <v>19000</v>
      </c>
      <c r="K608" s="1708"/>
      <c r="L608" s="1721"/>
      <c r="M608" s="1710" t="s">
        <v>1018</v>
      </c>
      <c r="N608" s="1711"/>
    </row>
    <row r="609" spans="1:14" ht="24" customHeight="1">
      <c r="A609" s="1664"/>
      <c r="B609" s="1665" t="s">
        <v>139</v>
      </c>
      <c r="C609" s="1666" t="s">
        <v>1782</v>
      </c>
      <c r="D609" s="1667">
        <f>D608*0.3</f>
        <v>14.25</v>
      </c>
      <c r="E609" s="1668" t="s">
        <v>164</v>
      </c>
      <c r="F609" s="1745">
        <v>400</v>
      </c>
      <c r="G609" s="1745">
        <v>0</v>
      </c>
      <c r="H609" s="1670">
        <f t="shared" si="86"/>
        <v>5700</v>
      </c>
      <c r="I609" s="1670">
        <f t="shared" si="87"/>
        <v>0</v>
      </c>
      <c r="J609" s="1670">
        <f t="shared" si="88"/>
        <v>5700</v>
      </c>
      <c r="K609" s="1746"/>
      <c r="L609" s="1721"/>
      <c r="M609" s="1710" t="s">
        <v>1018</v>
      </c>
      <c r="N609" s="1685"/>
    </row>
    <row r="610" spans="1:14" ht="24" customHeight="1">
      <c r="A610" s="1712"/>
      <c r="B610" s="1673" t="s">
        <v>139</v>
      </c>
      <c r="C610" s="1674" t="s">
        <v>163</v>
      </c>
      <c r="D610" s="1675">
        <f>D606</f>
        <v>95</v>
      </c>
      <c r="E610" s="1676" t="s">
        <v>83</v>
      </c>
      <c r="F610" s="1736">
        <v>28</v>
      </c>
      <c r="G610" s="1736">
        <v>0</v>
      </c>
      <c r="H610" s="1669">
        <f t="shared" si="86"/>
        <v>2660</v>
      </c>
      <c r="I610" s="1669">
        <f t="shared" si="87"/>
        <v>0</v>
      </c>
      <c r="J610" s="1669">
        <f t="shared" si="88"/>
        <v>2660</v>
      </c>
      <c r="K610" s="1708"/>
      <c r="L610" s="1721"/>
      <c r="M610" s="1710" t="s">
        <v>1018</v>
      </c>
      <c r="N610" s="1685"/>
    </row>
    <row r="611" spans="1:14" ht="24" customHeight="1">
      <c r="A611" s="1712"/>
      <c r="B611" s="1673" t="s">
        <v>139</v>
      </c>
      <c r="C611" s="1674" t="s">
        <v>1781</v>
      </c>
      <c r="D611" s="1675">
        <f>D606*0.25</f>
        <v>23.75</v>
      </c>
      <c r="E611" s="1676" t="s">
        <v>87</v>
      </c>
      <c r="F611" s="1736">
        <v>23.89</v>
      </c>
      <c r="G611" s="1736">
        <v>0</v>
      </c>
      <c r="H611" s="1669">
        <f t="shared" si="86"/>
        <v>567.38750000000005</v>
      </c>
      <c r="I611" s="1669">
        <f t="shared" si="87"/>
        <v>0</v>
      </c>
      <c r="J611" s="1669">
        <f t="shared" si="88"/>
        <v>567.38750000000005</v>
      </c>
      <c r="K611" s="1708"/>
      <c r="L611" s="1721"/>
      <c r="M611" s="1710" t="s">
        <v>660</v>
      </c>
      <c r="N611" s="1685"/>
    </row>
    <row r="612" spans="1:14" ht="24" customHeight="1">
      <c r="A612" s="1712"/>
      <c r="B612" s="1748" t="s">
        <v>1041</v>
      </c>
      <c r="C612" s="1674"/>
      <c r="D612" s="1675"/>
      <c r="E612" s="1676"/>
      <c r="F612" s="1736"/>
      <c r="G612" s="1736"/>
      <c r="H612" s="1669"/>
      <c r="I612" s="1669"/>
      <c r="J612" s="1669"/>
      <c r="K612" s="1708"/>
      <c r="L612" s="1721"/>
      <c r="M612" s="1710"/>
      <c r="N612" s="1685"/>
    </row>
    <row r="613" spans="1:14" s="1685" customFormat="1" ht="24" customHeight="1">
      <c r="A613" s="1712"/>
      <c r="B613" s="1673" t="s">
        <v>139</v>
      </c>
      <c r="C613" s="1674" t="s">
        <v>88</v>
      </c>
      <c r="D613" s="1675">
        <v>288.60000000000002</v>
      </c>
      <c r="E613" s="1676" t="s">
        <v>87</v>
      </c>
      <c r="F613" s="1677">
        <v>21.4</v>
      </c>
      <c r="G613" s="1677">
        <v>4.4000000000000004</v>
      </c>
      <c r="H613" s="1669">
        <f t="shared" si="86"/>
        <v>6176.04</v>
      </c>
      <c r="I613" s="1669">
        <f t="shared" si="87"/>
        <v>1269.8400000000001</v>
      </c>
      <c r="J613" s="1669">
        <f>SUM(H613:I613)</f>
        <v>7445.88</v>
      </c>
      <c r="K613" s="1708"/>
      <c r="L613" s="1721"/>
      <c r="M613" s="1710" t="s">
        <v>1016</v>
      </c>
      <c r="N613" s="1711" t="s">
        <v>659</v>
      </c>
    </row>
    <row r="614" spans="1:14" ht="24" customHeight="1">
      <c r="A614" s="1712"/>
      <c r="B614" s="1673" t="s">
        <v>139</v>
      </c>
      <c r="C614" s="1674" t="s">
        <v>89</v>
      </c>
      <c r="D614" s="1675">
        <v>1118.7</v>
      </c>
      <c r="E614" s="1676" t="s">
        <v>87</v>
      </c>
      <c r="F614" s="1677">
        <v>21.4</v>
      </c>
      <c r="G614" s="1677">
        <v>3.6</v>
      </c>
      <c r="H614" s="1669">
        <f t="shared" si="86"/>
        <v>23940.18</v>
      </c>
      <c r="I614" s="1669">
        <f t="shared" si="87"/>
        <v>4027.32</v>
      </c>
      <c r="J614" s="1669">
        <f>SUM(H614:I614)</f>
        <v>27967.5</v>
      </c>
      <c r="K614" s="1708"/>
      <c r="L614" s="1721"/>
      <c r="M614" s="1710" t="s">
        <v>1016</v>
      </c>
      <c r="N614" s="1711" t="s">
        <v>659</v>
      </c>
    </row>
    <row r="615" spans="1:14" ht="24" customHeight="1">
      <c r="A615" s="1712"/>
      <c r="B615" s="1673" t="s">
        <v>139</v>
      </c>
      <c r="C615" s="1674" t="s">
        <v>1014</v>
      </c>
      <c r="D615" s="1675">
        <v>841.5</v>
      </c>
      <c r="E615" s="1676" t="s">
        <v>87</v>
      </c>
      <c r="F615" s="1677">
        <v>21.2</v>
      </c>
      <c r="G615" s="1677">
        <v>3.1</v>
      </c>
      <c r="H615" s="1669">
        <f t="shared" si="86"/>
        <v>17839.8</v>
      </c>
      <c r="I615" s="1669">
        <f t="shared" si="87"/>
        <v>2608.65</v>
      </c>
      <c r="J615" s="1669">
        <f>SUM(H615:I615)</f>
        <v>20448.45</v>
      </c>
      <c r="K615" s="1708"/>
      <c r="L615" s="1721"/>
      <c r="M615" s="1710" t="s">
        <v>1016</v>
      </c>
      <c r="N615" s="1711" t="s">
        <v>659</v>
      </c>
    </row>
    <row r="616" spans="1:14" ht="24" customHeight="1">
      <c r="A616" s="1712"/>
      <c r="B616" s="1673" t="s">
        <v>139</v>
      </c>
      <c r="C616" s="1674" t="s">
        <v>200</v>
      </c>
      <c r="D616" s="1675">
        <f>SUM(D613:D615)*0.03</f>
        <v>67.463999999999999</v>
      </c>
      <c r="E616" s="1676" t="s">
        <v>87</v>
      </c>
      <c r="F616" s="1677">
        <v>25.83</v>
      </c>
      <c r="G616" s="1677">
        <v>0</v>
      </c>
      <c r="H616" s="1669">
        <f t="shared" si="86"/>
        <v>1742.59512</v>
      </c>
      <c r="I616" s="1669">
        <f t="shared" si="87"/>
        <v>0</v>
      </c>
      <c r="J616" s="1669">
        <f>SUM(H616:I616)</f>
        <v>1742.59512</v>
      </c>
      <c r="K616" s="1708"/>
      <c r="L616" s="1721"/>
      <c r="M616" s="1710" t="s">
        <v>1019</v>
      </c>
      <c r="N616" s="1711"/>
    </row>
    <row r="617" spans="1:14" ht="24" customHeight="1">
      <c r="A617" s="1715"/>
      <c r="B617" s="1716"/>
      <c r="C617" s="1717"/>
      <c r="D617" s="1718"/>
      <c r="E617" s="1719"/>
      <c r="F617" s="1751"/>
      <c r="G617" s="1751"/>
      <c r="H617" s="1720"/>
      <c r="I617" s="1720"/>
      <c r="J617" s="1720"/>
      <c r="K617" s="1752"/>
      <c r="L617" s="1721"/>
      <c r="M617" s="1710"/>
      <c r="N617" s="1711"/>
    </row>
    <row r="618" spans="1:14" ht="24" customHeight="1" thickBot="1">
      <c r="A618" s="1722"/>
      <c r="B618" s="1753"/>
      <c r="C618" s="1724" t="str">
        <f>"รวมราคา "&amp;B430</f>
        <v>รวมราคา งานโครงสร้างชั้น 2</v>
      </c>
      <c r="D618" s="1725"/>
      <c r="E618" s="1726"/>
      <c r="F618" s="1727"/>
      <c r="G618" s="1727"/>
      <c r="H618" s="1727">
        <f>SUM(H432:H616)</f>
        <v>3804814.826580001</v>
      </c>
      <c r="I618" s="1727">
        <f>SUM(I432:I616)</f>
        <v>748610.76000000036</v>
      </c>
      <c r="J618" s="1727">
        <f>SUM(J432:J616)</f>
        <v>4553425.5865800017</v>
      </c>
      <c r="K618" s="1727"/>
      <c r="L618" s="1759"/>
      <c r="M618" s="1772"/>
      <c r="N618" s="1701"/>
    </row>
    <row r="619" spans="1:14" ht="24" customHeight="1" thickTop="1">
      <c r="A619" s="1780"/>
      <c r="B619" s="1780"/>
      <c r="C619" s="1827" t="s">
        <v>133</v>
      </c>
      <c r="D619" s="2365"/>
      <c r="E619" s="2365"/>
      <c r="F619" s="2365"/>
      <c r="G619" s="2365"/>
      <c r="H619" s="2365"/>
      <c r="I619" s="2365"/>
      <c r="J619" s="2365"/>
      <c r="K619" s="2365"/>
      <c r="L619" s="1759"/>
      <c r="M619" s="1772"/>
      <c r="N619" s="1701"/>
    </row>
    <row r="620" spans="1:14" ht="24" customHeight="1">
      <c r="A620" s="1780"/>
      <c r="B620" s="2366" t="s">
        <v>1769</v>
      </c>
      <c r="C620" s="2366"/>
      <c r="D620" s="1828"/>
      <c r="E620" s="1769"/>
      <c r="F620" s="1828"/>
      <c r="G620" s="1828" t="s">
        <v>134</v>
      </c>
      <c r="H620" s="1828"/>
      <c r="I620" s="1828"/>
      <c r="J620" s="1828"/>
      <c r="K620" s="1828"/>
      <c r="L620" s="1759"/>
      <c r="M620" s="1772"/>
      <c r="N620" s="1701"/>
    </row>
    <row r="621" spans="1:14" ht="24" customHeight="1">
      <c r="A621" s="1780"/>
      <c r="B621" s="2367" t="s">
        <v>1970</v>
      </c>
      <c r="C621" s="2367"/>
      <c r="D621" s="1831"/>
      <c r="E621" s="1832"/>
      <c r="F621" s="1833"/>
      <c r="G621" s="1833" t="s">
        <v>1971</v>
      </c>
      <c r="H621" s="1833"/>
      <c r="I621" s="1833"/>
      <c r="J621" s="1833"/>
      <c r="K621" s="1833"/>
      <c r="L621" s="1759"/>
      <c r="M621" s="1772"/>
      <c r="N621" s="1701"/>
    </row>
    <row r="622" spans="1:14" ht="24" customHeight="1">
      <c r="A622" s="1830"/>
      <c r="B622" s="1828" t="s">
        <v>2031</v>
      </c>
      <c r="C622" s="1830"/>
      <c r="D622" s="1830"/>
      <c r="E622" s="1830"/>
      <c r="F622" s="1830"/>
      <c r="G622" s="1828" t="s">
        <v>2031</v>
      </c>
      <c r="H622" s="1830"/>
      <c r="I622" s="1830"/>
      <c r="J622" s="1830"/>
      <c r="K622" s="1830"/>
      <c r="L622" s="1759"/>
      <c r="M622" s="1772"/>
      <c r="N622" s="1701"/>
    </row>
    <row r="623" spans="1:14" ht="24" customHeight="1">
      <c r="B623" s="1721" t="s">
        <v>1984</v>
      </c>
      <c r="C623" s="1830"/>
      <c r="D623" s="1685"/>
      <c r="E623" s="1685"/>
      <c r="G623" s="1721" t="s">
        <v>1985</v>
      </c>
      <c r="H623" s="1685"/>
      <c r="I623" s="1685"/>
      <c r="J623" s="1685"/>
      <c r="K623" s="1685"/>
      <c r="L623" s="1759"/>
      <c r="M623" s="1772"/>
      <c r="N623" s="1701"/>
    </row>
    <row r="624" spans="1:14" ht="24" customHeight="1">
      <c r="B624" s="1828" t="s">
        <v>670</v>
      </c>
      <c r="L624" s="1759"/>
      <c r="M624" s="1772"/>
      <c r="N624" s="1701"/>
    </row>
    <row r="625" spans="1:22" ht="24" customHeight="1">
      <c r="B625" s="1721" t="s">
        <v>1972</v>
      </c>
      <c r="L625" s="1759"/>
      <c r="M625" s="1772"/>
      <c r="N625" s="1701"/>
    </row>
    <row r="626" spans="1:22" ht="19.5" customHeight="1">
      <c r="A626" s="1730">
        <v>1.5</v>
      </c>
      <c r="B626" s="2374" t="s">
        <v>255</v>
      </c>
      <c r="C626" s="2375"/>
      <c r="D626" s="1731"/>
      <c r="E626" s="1732"/>
      <c r="F626" s="1733"/>
      <c r="G626" s="1733"/>
      <c r="H626" s="1733"/>
      <c r="I626" s="1733"/>
      <c r="J626" s="1733"/>
      <c r="K626" s="1733"/>
      <c r="L626" s="1759"/>
      <c r="M626" s="1772"/>
      <c r="N626" s="1735"/>
    </row>
    <row r="627" spans="1:22" ht="24" customHeight="1">
      <c r="A627" s="1702"/>
      <c r="B627" s="2369" t="s">
        <v>245</v>
      </c>
      <c r="C627" s="2373"/>
      <c r="D627" s="1705"/>
      <c r="E627" s="1706"/>
      <c r="F627" s="1707"/>
      <c r="G627" s="1707"/>
      <c r="H627" s="1707"/>
      <c r="I627" s="1707"/>
      <c r="J627" s="1707"/>
      <c r="K627" s="1709"/>
      <c r="L627" s="1721"/>
      <c r="M627" s="1711"/>
      <c r="N627" s="1711"/>
    </row>
    <row r="628" spans="1:22" ht="24" customHeight="1">
      <c r="A628" s="1664"/>
      <c r="B628" s="1665" t="s">
        <v>139</v>
      </c>
      <c r="C628" s="1666" t="s">
        <v>97</v>
      </c>
      <c r="D628" s="1667">
        <v>1122.0999999999999</v>
      </c>
      <c r="E628" s="1668" t="s">
        <v>86</v>
      </c>
      <c r="F628" s="1669">
        <v>430</v>
      </c>
      <c r="G628" s="1670">
        <v>0</v>
      </c>
      <c r="H628" s="1670">
        <f t="shared" ref="H628:H643" si="89">F628*D628</f>
        <v>482502.99999999994</v>
      </c>
      <c r="I628" s="1670">
        <f t="shared" ref="I628:I643" si="90">G628*D628</f>
        <v>0</v>
      </c>
      <c r="J628" s="1670">
        <f t="shared" ref="J628:J636" si="91">SUM(H628:I628)</f>
        <v>482502.99999999994</v>
      </c>
      <c r="K628" s="1671"/>
      <c r="L628" s="1746" t="s">
        <v>1893</v>
      </c>
      <c r="M628" s="1710" t="s">
        <v>1871</v>
      </c>
      <c r="N628" s="1711" t="s">
        <v>663</v>
      </c>
      <c r="V628" s="1711"/>
    </row>
    <row r="629" spans="1:22" ht="24" customHeight="1">
      <c r="A629" s="1712"/>
      <c r="B629" s="2368" t="s">
        <v>423</v>
      </c>
      <c r="C629" s="2370"/>
      <c r="D629" s="1675"/>
      <c r="E629" s="1676"/>
      <c r="F629" s="1669"/>
      <c r="G629" s="1669"/>
      <c r="H629" s="1669">
        <f t="shared" si="89"/>
        <v>0</v>
      </c>
      <c r="I629" s="1669">
        <f t="shared" si="90"/>
        <v>0</v>
      </c>
      <c r="J629" s="1669">
        <f t="shared" si="91"/>
        <v>0</v>
      </c>
      <c r="K629" s="1708"/>
      <c r="L629" s="1721"/>
      <c r="M629" s="1711"/>
      <c r="N629" s="1711"/>
    </row>
    <row r="630" spans="1:22" ht="24" customHeight="1">
      <c r="A630" s="1712"/>
      <c r="B630" s="1673" t="s">
        <v>139</v>
      </c>
      <c r="C630" s="1674" t="s">
        <v>228</v>
      </c>
      <c r="D630" s="1675">
        <v>295.7</v>
      </c>
      <c r="E630" s="1676" t="s">
        <v>85</v>
      </c>
      <c r="F630" s="1736">
        <v>2679.9</v>
      </c>
      <c r="G630" s="1736">
        <v>519</v>
      </c>
      <c r="H630" s="1669">
        <f t="shared" si="89"/>
        <v>792446.43</v>
      </c>
      <c r="I630" s="1669">
        <f t="shared" si="90"/>
        <v>153468.29999999999</v>
      </c>
      <c r="J630" s="1669">
        <f t="shared" si="91"/>
        <v>945914.73</v>
      </c>
      <c r="K630" s="1708"/>
      <c r="L630" s="1721"/>
      <c r="M630" s="1710" t="s">
        <v>1016</v>
      </c>
      <c r="N630" s="1711" t="s">
        <v>659</v>
      </c>
    </row>
    <row r="631" spans="1:22" ht="24" customHeight="1">
      <c r="A631" s="1712"/>
      <c r="B631" s="2368" t="s">
        <v>225</v>
      </c>
      <c r="C631" s="2370"/>
      <c r="D631" s="1675">
        <v>11886</v>
      </c>
      <c r="E631" s="1676"/>
      <c r="F631" s="1669"/>
      <c r="G631" s="1669"/>
      <c r="H631" s="1669"/>
      <c r="I631" s="1669"/>
      <c r="J631" s="1669"/>
      <c r="K631" s="1708"/>
      <c r="L631" s="1721"/>
      <c r="M631" s="1711"/>
      <c r="N631" s="1711"/>
    </row>
    <row r="632" spans="1:22" ht="24" customHeight="1">
      <c r="A632" s="1712"/>
      <c r="B632" s="1673" t="s">
        <v>139</v>
      </c>
      <c r="C632" s="1674" t="s">
        <v>1784</v>
      </c>
      <c r="D632" s="1675">
        <f>D631</f>
        <v>11886</v>
      </c>
      <c r="E632" s="1676" t="s">
        <v>86</v>
      </c>
      <c r="F632" s="1669"/>
      <c r="G632" s="1669">
        <v>121</v>
      </c>
      <c r="H632" s="1669">
        <f t="shared" si="89"/>
        <v>0</v>
      </c>
      <c r="I632" s="1669">
        <f t="shared" si="90"/>
        <v>1438206</v>
      </c>
      <c r="J632" s="1669">
        <f t="shared" si="91"/>
        <v>1438206</v>
      </c>
      <c r="K632" s="1708"/>
      <c r="L632" s="1721"/>
      <c r="M632" s="1710" t="s">
        <v>1017</v>
      </c>
      <c r="N632" s="1711" t="s">
        <v>659</v>
      </c>
    </row>
    <row r="633" spans="1:22" ht="24" customHeight="1">
      <c r="A633" s="1702"/>
      <c r="B633" s="1703" t="s">
        <v>139</v>
      </c>
      <c r="C633" s="1743" t="s">
        <v>198</v>
      </c>
      <c r="D633" s="1705">
        <f>D631*0.5</f>
        <v>5943</v>
      </c>
      <c r="E633" s="1706" t="s">
        <v>164</v>
      </c>
      <c r="F633" s="1707">
        <v>400</v>
      </c>
      <c r="G633" s="1707"/>
      <c r="H633" s="1707">
        <f t="shared" si="89"/>
        <v>2377200</v>
      </c>
      <c r="I633" s="1707">
        <f t="shared" si="90"/>
        <v>0</v>
      </c>
      <c r="J633" s="1707">
        <f t="shared" si="91"/>
        <v>2377200</v>
      </c>
      <c r="K633" s="1709"/>
      <c r="L633" s="1721"/>
      <c r="M633" s="1710" t="s">
        <v>1018</v>
      </c>
      <c r="N633" s="1711"/>
    </row>
    <row r="634" spans="1:22" ht="24" customHeight="1">
      <c r="A634" s="1712"/>
      <c r="B634" s="1673" t="s">
        <v>139</v>
      </c>
      <c r="C634" s="1674" t="s">
        <v>1782</v>
      </c>
      <c r="D634" s="1675">
        <f>D633*0.3</f>
        <v>1782.8999999999999</v>
      </c>
      <c r="E634" s="1676" t="s">
        <v>164</v>
      </c>
      <c r="F634" s="1669">
        <v>400</v>
      </c>
      <c r="G634" s="1669">
        <v>0</v>
      </c>
      <c r="H634" s="1669">
        <f t="shared" si="89"/>
        <v>713160</v>
      </c>
      <c r="I634" s="1669">
        <f t="shared" si="90"/>
        <v>0</v>
      </c>
      <c r="J634" s="1669">
        <f t="shared" si="91"/>
        <v>713160</v>
      </c>
      <c r="K634" s="1708"/>
      <c r="L634" s="1721"/>
      <c r="M634" s="1710" t="s">
        <v>1018</v>
      </c>
      <c r="N634" s="1711"/>
    </row>
    <row r="635" spans="1:22" s="1685" customFormat="1" ht="24" customHeight="1">
      <c r="A635" s="1712"/>
      <c r="B635" s="1673" t="s">
        <v>139</v>
      </c>
      <c r="C635" s="1674" t="s">
        <v>163</v>
      </c>
      <c r="D635" s="1675">
        <f>D631</f>
        <v>11886</v>
      </c>
      <c r="E635" s="1676" t="s">
        <v>83</v>
      </c>
      <c r="F635" s="1669">
        <v>28</v>
      </c>
      <c r="G635" s="1669">
        <v>0</v>
      </c>
      <c r="H635" s="1669">
        <f t="shared" si="89"/>
        <v>332808</v>
      </c>
      <c r="I635" s="1669">
        <f t="shared" si="90"/>
        <v>0</v>
      </c>
      <c r="J635" s="1669">
        <f t="shared" si="91"/>
        <v>332808</v>
      </c>
      <c r="K635" s="1708"/>
      <c r="L635" s="1721"/>
      <c r="M635" s="1710" t="s">
        <v>1018</v>
      </c>
      <c r="N635" s="1711"/>
    </row>
    <row r="636" spans="1:22" s="1685" customFormat="1" ht="24" customHeight="1">
      <c r="A636" s="1712"/>
      <c r="B636" s="1673" t="s">
        <v>139</v>
      </c>
      <c r="C636" s="1674" t="s">
        <v>1781</v>
      </c>
      <c r="D636" s="1675">
        <f>D631*0.25</f>
        <v>2971.5</v>
      </c>
      <c r="E636" s="1676" t="s">
        <v>87</v>
      </c>
      <c r="F636" s="1736">
        <v>23.89</v>
      </c>
      <c r="G636" s="1736">
        <v>0</v>
      </c>
      <c r="H636" s="1669">
        <f t="shared" si="89"/>
        <v>70989.134999999995</v>
      </c>
      <c r="I636" s="1669">
        <f t="shared" si="90"/>
        <v>0</v>
      </c>
      <c r="J636" s="1669">
        <f t="shared" si="91"/>
        <v>70989.134999999995</v>
      </c>
      <c r="K636" s="1708"/>
      <c r="L636" s="1721"/>
      <c r="M636" s="1710" t="s">
        <v>660</v>
      </c>
      <c r="N636" s="1711"/>
    </row>
    <row r="637" spans="1:22" ht="24" customHeight="1">
      <c r="A637" s="1712"/>
      <c r="B637" s="2368" t="s">
        <v>246</v>
      </c>
      <c r="C637" s="2370"/>
      <c r="D637" s="1675"/>
      <c r="E637" s="1676"/>
      <c r="F637" s="1669"/>
      <c r="G637" s="1669"/>
      <c r="H637" s="1669"/>
      <c r="I637" s="1669"/>
      <c r="J637" s="1669"/>
      <c r="K637" s="1708"/>
      <c r="L637" s="1721"/>
      <c r="M637" s="1711"/>
      <c r="N637" s="1711"/>
    </row>
    <row r="638" spans="1:22" ht="24" customHeight="1">
      <c r="A638" s="1712"/>
      <c r="B638" s="1673" t="s">
        <v>139</v>
      </c>
      <c r="C638" s="1674" t="s">
        <v>88</v>
      </c>
      <c r="D638" s="1675">
        <v>1563</v>
      </c>
      <c r="E638" s="1676" t="s">
        <v>87</v>
      </c>
      <c r="F638" s="1677">
        <v>21.4</v>
      </c>
      <c r="G638" s="1677">
        <v>4.4000000000000004</v>
      </c>
      <c r="H638" s="1669">
        <f t="shared" si="89"/>
        <v>33448.199999999997</v>
      </c>
      <c r="I638" s="1669">
        <f t="shared" si="90"/>
        <v>6877.2000000000007</v>
      </c>
      <c r="J638" s="1669">
        <f t="shared" ref="J638:J643" si="92">SUM(H638:I638)</f>
        <v>40325.399999999994</v>
      </c>
      <c r="K638" s="1708"/>
      <c r="L638" s="1721"/>
      <c r="M638" s="1710" t="s">
        <v>1016</v>
      </c>
      <c r="N638" s="1711" t="s">
        <v>659</v>
      </c>
    </row>
    <row r="639" spans="1:22" ht="24" customHeight="1">
      <c r="A639" s="1712"/>
      <c r="B639" s="1673" t="s">
        <v>139</v>
      </c>
      <c r="C639" s="1674" t="s">
        <v>89</v>
      </c>
      <c r="D639" s="1675">
        <v>29644.7</v>
      </c>
      <c r="E639" s="1676" t="s">
        <v>87</v>
      </c>
      <c r="F639" s="1677">
        <v>21.4</v>
      </c>
      <c r="G639" s="1677">
        <v>3.6</v>
      </c>
      <c r="H639" s="1669">
        <f t="shared" si="89"/>
        <v>634396.57999999996</v>
      </c>
      <c r="I639" s="1669">
        <f t="shared" si="90"/>
        <v>106720.92</v>
      </c>
      <c r="J639" s="1669">
        <f t="shared" si="92"/>
        <v>741117.5</v>
      </c>
      <c r="K639" s="1708"/>
      <c r="L639" s="1721"/>
      <c r="M639" s="1710" t="s">
        <v>1016</v>
      </c>
      <c r="N639" s="1711" t="s">
        <v>659</v>
      </c>
    </row>
    <row r="640" spans="1:22" ht="24" customHeight="1">
      <c r="A640" s="1712"/>
      <c r="B640" s="1673" t="s">
        <v>139</v>
      </c>
      <c r="C640" s="1674" t="s">
        <v>90</v>
      </c>
      <c r="D640" s="1675">
        <v>7909.8</v>
      </c>
      <c r="E640" s="1676" t="s">
        <v>87</v>
      </c>
      <c r="F640" s="1677">
        <v>21.2</v>
      </c>
      <c r="G640" s="1677">
        <v>3.6</v>
      </c>
      <c r="H640" s="1669">
        <f t="shared" si="89"/>
        <v>167687.76</v>
      </c>
      <c r="I640" s="1669">
        <f t="shared" si="90"/>
        <v>28475.280000000002</v>
      </c>
      <c r="J640" s="1669">
        <f t="shared" si="92"/>
        <v>196163.04</v>
      </c>
      <c r="K640" s="1708"/>
      <c r="L640" s="1721"/>
      <c r="M640" s="1710" t="s">
        <v>1016</v>
      </c>
      <c r="N640" s="1711" t="s">
        <v>659</v>
      </c>
    </row>
    <row r="641" spans="1:14" ht="24" customHeight="1">
      <c r="A641" s="1712"/>
      <c r="B641" s="1665" t="s">
        <v>139</v>
      </c>
      <c r="C641" s="1666" t="s">
        <v>91</v>
      </c>
      <c r="D641" s="1667">
        <v>2479.9</v>
      </c>
      <c r="E641" s="1668" t="s">
        <v>87</v>
      </c>
      <c r="F641" s="1744">
        <v>21.2</v>
      </c>
      <c r="G641" s="1744">
        <v>3.1</v>
      </c>
      <c r="H641" s="1670">
        <f t="shared" si="89"/>
        <v>52573.88</v>
      </c>
      <c r="I641" s="1670">
        <f t="shared" si="90"/>
        <v>7687.6900000000005</v>
      </c>
      <c r="J641" s="1670">
        <f t="shared" si="92"/>
        <v>60261.57</v>
      </c>
      <c r="K641" s="1708"/>
      <c r="L641" s="1721"/>
      <c r="M641" s="1710" t="s">
        <v>1016</v>
      </c>
      <c r="N641" s="1711" t="s">
        <v>659</v>
      </c>
    </row>
    <row r="642" spans="1:14" ht="24" customHeight="1">
      <c r="A642" s="1712"/>
      <c r="B642" s="1673" t="s">
        <v>139</v>
      </c>
      <c r="C642" s="1674" t="s">
        <v>1014</v>
      </c>
      <c r="D642" s="1675">
        <v>1780.7</v>
      </c>
      <c r="E642" s="1676" t="s">
        <v>87</v>
      </c>
      <c r="F642" s="1677">
        <v>21.2</v>
      </c>
      <c r="G642" s="1677">
        <v>3.1</v>
      </c>
      <c r="H642" s="1669">
        <f t="shared" si="89"/>
        <v>37750.839999999997</v>
      </c>
      <c r="I642" s="1669">
        <f t="shared" si="90"/>
        <v>5520.17</v>
      </c>
      <c r="J642" s="1669">
        <f t="shared" si="92"/>
        <v>43271.009999999995</v>
      </c>
      <c r="K642" s="1708"/>
      <c r="L642" s="1721"/>
      <c r="M642" s="1710" t="s">
        <v>1016</v>
      </c>
      <c r="N642" s="1711" t="s">
        <v>659</v>
      </c>
    </row>
    <row r="643" spans="1:14" ht="24" customHeight="1">
      <c r="A643" s="1712"/>
      <c r="B643" s="1673" t="s">
        <v>139</v>
      </c>
      <c r="C643" s="1674" t="s">
        <v>200</v>
      </c>
      <c r="D643" s="1675">
        <f>SUM(D638:D642)*0.03</f>
        <v>1301.3429999999998</v>
      </c>
      <c r="E643" s="1676" t="s">
        <v>87</v>
      </c>
      <c r="F643" s="1677">
        <v>25.83</v>
      </c>
      <c r="G643" s="1677">
        <v>0</v>
      </c>
      <c r="H643" s="1669">
        <f t="shared" si="89"/>
        <v>33613.689689999992</v>
      </c>
      <c r="I643" s="1669">
        <f t="shared" si="90"/>
        <v>0</v>
      </c>
      <c r="J643" s="1669">
        <f t="shared" si="92"/>
        <v>33613.689689999992</v>
      </c>
      <c r="K643" s="1708"/>
      <c r="L643" s="1721"/>
      <c r="M643" s="1710" t="s">
        <v>1019</v>
      </c>
      <c r="N643" s="1711"/>
    </row>
    <row r="644" spans="1:14" ht="24" customHeight="1">
      <c r="A644" s="1672"/>
      <c r="B644" s="2368" t="s">
        <v>247</v>
      </c>
      <c r="C644" s="2370"/>
      <c r="D644" s="1675"/>
      <c r="E644" s="1676"/>
      <c r="F644" s="1669"/>
      <c r="G644" s="1669"/>
      <c r="H644" s="1669"/>
      <c r="I644" s="1669"/>
      <c r="J644" s="1669"/>
      <c r="K644" s="1708"/>
      <c r="L644" s="1721"/>
      <c r="M644" s="1711"/>
      <c r="N644" s="1711"/>
    </row>
    <row r="645" spans="1:14" ht="24" customHeight="1">
      <c r="A645" s="1712"/>
      <c r="B645" s="2369" t="s">
        <v>415</v>
      </c>
      <c r="C645" s="2373"/>
      <c r="D645" s="1705"/>
      <c r="E645" s="1706"/>
      <c r="F645" s="1707"/>
      <c r="G645" s="1707"/>
      <c r="H645" s="1707"/>
      <c r="I645" s="1707"/>
      <c r="J645" s="1707"/>
      <c r="K645" s="1708"/>
      <c r="L645" s="1721"/>
      <c r="M645" s="1711"/>
      <c r="N645" s="1711"/>
    </row>
    <row r="646" spans="1:14" ht="24" customHeight="1">
      <c r="A646" s="1712"/>
      <c r="B646" s="1673" t="s">
        <v>139</v>
      </c>
      <c r="C646" s="1674" t="s">
        <v>228</v>
      </c>
      <c r="D646" s="1675">
        <v>66.5</v>
      </c>
      <c r="E646" s="1676" t="s">
        <v>85</v>
      </c>
      <c r="F646" s="1736">
        <v>2679.9</v>
      </c>
      <c r="G646" s="1736">
        <v>519</v>
      </c>
      <c r="H646" s="1669">
        <f t="shared" ref="H646:H652" si="93">F646*D646</f>
        <v>178213.35</v>
      </c>
      <c r="I646" s="1669">
        <f t="shared" ref="I646:I652" si="94">G646*D646</f>
        <v>34513.5</v>
      </c>
      <c r="J646" s="1669">
        <f t="shared" ref="J646:J652" si="95">SUM(H646:I646)</f>
        <v>212726.85</v>
      </c>
      <c r="K646" s="1708"/>
      <c r="L646" s="1721"/>
      <c r="M646" s="1710" t="s">
        <v>1016</v>
      </c>
      <c r="N646" s="1711" t="s">
        <v>659</v>
      </c>
    </row>
    <row r="647" spans="1:14" ht="24" customHeight="1">
      <c r="A647" s="1712"/>
      <c r="B647" s="2368" t="s">
        <v>226</v>
      </c>
      <c r="C647" s="2370"/>
      <c r="D647" s="1675">
        <v>363.5</v>
      </c>
      <c r="E647" s="1676"/>
      <c r="F647" s="1736"/>
      <c r="G647" s="1736"/>
      <c r="H647" s="1669"/>
      <c r="I647" s="1669"/>
      <c r="J647" s="1669"/>
      <c r="K647" s="1708"/>
      <c r="L647" s="1721"/>
      <c r="M647" s="1711"/>
      <c r="N647" s="1711"/>
    </row>
    <row r="648" spans="1:14" ht="24" customHeight="1">
      <c r="A648" s="1712"/>
      <c r="B648" s="1673" t="s">
        <v>139</v>
      </c>
      <c r="C648" s="1674" t="s">
        <v>1784</v>
      </c>
      <c r="D648" s="1675">
        <f>D647</f>
        <v>363.5</v>
      </c>
      <c r="E648" s="1676" t="s">
        <v>86</v>
      </c>
      <c r="F648" s="1736">
        <v>0</v>
      </c>
      <c r="G648" s="1669">
        <v>121</v>
      </c>
      <c r="H648" s="1669">
        <f t="shared" si="93"/>
        <v>0</v>
      </c>
      <c r="I648" s="1669">
        <f t="shared" si="94"/>
        <v>43983.5</v>
      </c>
      <c r="J648" s="1669">
        <f t="shared" si="95"/>
        <v>43983.5</v>
      </c>
      <c r="K648" s="1708"/>
      <c r="L648" s="1721"/>
      <c r="M648" s="1710" t="s">
        <v>1017</v>
      </c>
      <c r="N648" s="1711" t="s">
        <v>659</v>
      </c>
    </row>
    <row r="649" spans="1:14" ht="24" customHeight="1">
      <c r="A649" s="1712"/>
      <c r="B649" s="1673" t="s">
        <v>139</v>
      </c>
      <c r="C649" s="1674" t="s">
        <v>198</v>
      </c>
      <c r="D649" s="1675">
        <f>D647*0.5</f>
        <v>181.75</v>
      </c>
      <c r="E649" s="1676" t="s">
        <v>164</v>
      </c>
      <c r="F649" s="1736">
        <v>400</v>
      </c>
      <c r="G649" s="1736">
        <v>0</v>
      </c>
      <c r="H649" s="1669">
        <f t="shared" si="93"/>
        <v>72700</v>
      </c>
      <c r="I649" s="1669">
        <f t="shared" si="94"/>
        <v>0</v>
      </c>
      <c r="J649" s="1669">
        <f t="shared" si="95"/>
        <v>72700</v>
      </c>
      <c r="K649" s="1708"/>
      <c r="L649" s="1721"/>
      <c r="M649" s="1710" t="s">
        <v>1018</v>
      </c>
      <c r="N649" s="1711"/>
    </row>
    <row r="650" spans="1:14" ht="24" customHeight="1">
      <c r="A650" s="1712"/>
      <c r="B650" s="1673" t="s">
        <v>139</v>
      </c>
      <c r="C650" s="1674" t="s">
        <v>1782</v>
      </c>
      <c r="D650" s="1675">
        <f>D649*0.3</f>
        <v>54.524999999999999</v>
      </c>
      <c r="E650" s="1676" t="s">
        <v>164</v>
      </c>
      <c r="F650" s="1736">
        <v>400</v>
      </c>
      <c r="G650" s="1736">
        <v>0</v>
      </c>
      <c r="H650" s="1669">
        <f t="shared" si="93"/>
        <v>21810</v>
      </c>
      <c r="I650" s="1669">
        <f t="shared" si="94"/>
        <v>0</v>
      </c>
      <c r="J650" s="1669">
        <f t="shared" si="95"/>
        <v>21810</v>
      </c>
      <c r="K650" s="1708"/>
      <c r="L650" s="1721"/>
      <c r="M650" s="1710" t="s">
        <v>1018</v>
      </c>
      <c r="N650" s="1685"/>
    </row>
    <row r="651" spans="1:14" ht="24" customHeight="1">
      <c r="A651" s="1712"/>
      <c r="B651" s="1673" t="s">
        <v>139</v>
      </c>
      <c r="C651" s="1674" t="s">
        <v>163</v>
      </c>
      <c r="D651" s="1675">
        <f>D647</f>
        <v>363.5</v>
      </c>
      <c r="E651" s="1676" t="s">
        <v>83</v>
      </c>
      <c r="F651" s="1736">
        <v>28</v>
      </c>
      <c r="G651" s="1736">
        <v>0</v>
      </c>
      <c r="H651" s="1669">
        <f t="shared" si="93"/>
        <v>10178</v>
      </c>
      <c r="I651" s="1669">
        <f t="shared" si="94"/>
        <v>0</v>
      </c>
      <c r="J651" s="1669">
        <f t="shared" si="95"/>
        <v>10178</v>
      </c>
      <c r="K651" s="1708"/>
      <c r="L651" s="1721"/>
      <c r="M651" s="1710" t="s">
        <v>1018</v>
      </c>
      <c r="N651" s="1685"/>
    </row>
    <row r="652" spans="1:14" ht="24" customHeight="1">
      <c r="A652" s="1712"/>
      <c r="B652" s="1673" t="s">
        <v>139</v>
      </c>
      <c r="C652" s="1674" t="s">
        <v>1781</v>
      </c>
      <c r="D652" s="1675">
        <f>D647*0.25</f>
        <v>90.875</v>
      </c>
      <c r="E652" s="1676" t="s">
        <v>87</v>
      </c>
      <c r="F652" s="1736">
        <v>23.89</v>
      </c>
      <c r="G652" s="1736">
        <v>0</v>
      </c>
      <c r="H652" s="1669">
        <f t="shared" si="93"/>
        <v>2171.0037499999999</v>
      </c>
      <c r="I652" s="1669">
        <f t="shared" si="94"/>
        <v>0</v>
      </c>
      <c r="J652" s="1669">
        <f t="shared" si="95"/>
        <v>2171.0037499999999</v>
      </c>
      <c r="K652" s="1708"/>
      <c r="L652" s="1721"/>
      <c r="M652" s="1710" t="s">
        <v>660</v>
      </c>
      <c r="N652" s="1685"/>
    </row>
    <row r="653" spans="1:14" ht="24" customHeight="1">
      <c r="A653" s="1664"/>
      <c r="B653" s="1665"/>
      <c r="C653" s="1666"/>
      <c r="D653" s="1667"/>
      <c r="E653" s="1668"/>
      <c r="F653" s="1745"/>
      <c r="G653" s="1745"/>
      <c r="H653" s="1670"/>
      <c r="I653" s="1670"/>
      <c r="J653" s="1670"/>
      <c r="K653" s="1746"/>
      <c r="L653" s="1721"/>
      <c r="M653" s="1710"/>
      <c r="N653" s="1685"/>
    </row>
    <row r="654" spans="1:14" ht="24" customHeight="1">
      <c r="A654" s="1780"/>
      <c r="B654" s="1780"/>
      <c r="C654" s="1827" t="s">
        <v>133</v>
      </c>
      <c r="D654" s="2365"/>
      <c r="E654" s="2365"/>
      <c r="F654" s="2365"/>
      <c r="G654" s="2365"/>
      <c r="H654" s="2365"/>
      <c r="I654" s="2365"/>
      <c r="J654" s="2365"/>
      <c r="K654" s="2365"/>
      <c r="L654" s="1721"/>
      <c r="M654" s="1710"/>
      <c r="N654" s="1685"/>
    </row>
    <row r="655" spans="1:14" ht="24" customHeight="1">
      <c r="A655" s="1780"/>
      <c r="B655" s="2366" t="s">
        <v>1769</v>
      </c>
      <c r="C655" s="2366"/>
      <c r="D655" s="1828"/>
      <c r="E655" s="1769"/>
      <c r="F655" s="1828"/>
      <c r="G655" s="1828" t="s">
        <v>134</v>
      </c>
      <c r="H655" s="1828"/>
      <c r="I655" s="1828"/>
      <c r="J655" s="1828"/>
      <c r="K655" s="1828"/>
      <c r="L655" s="1721"/>
      <c r="M655" s="1710"/>
      <c r="N655" s="1685"/>
    </row>
    <row r="656" spans="1:14" ht="24" customHeight="1">
      <c r="A656" s="1780"/>
      <c r="B656" s="2367" t="s">
        <v>1970</v>
      </c>
      <c r="C656" s="2367"/>
      <c r="D656" s="1831"/>
      <c r="E656" s="1832"/>
      <c r="F656" s="1833"/>
      <c r="G656" s="1833" t="s">
        <v>1971</v>
      </c>
      <c r="H656" s="1833"/>
      <c r="I656" s="1833"/>
      <c r="J656" s="1833"/>
      <c r="K656" s="1833"/>
      <c r="L656" s="1721"/>
      <c r="M656" s="1710"/>
      <c r="N656" s="1685"/>
    </row>
    <row r="657" spans="1:14" ht="24" customHeight="1">
      <c r="A657" s="1830"/>
      <c r="B657" s="1828" t="s">
        <v>2031</v>
      </c>
      <c r="C657" s="1830"/>
      <c r="D657" s="1830"/>
      <c r="E657" s="1830"/>
      <c r="F657" s="1830"/>
      <c r="G657" s="1828" t="s">
        <v>2031</v>
      </c>
      <c r="H657" s="1830"/>
      <c r="I657" s="1830"/>
      <c r="J657" s="1830"/>
      <c r="K657" s="1830"/>
      <c r="L657" s="1721"/>
      <c r="M657" s="1710"/>
      <c r="N657" s="1685"/>
    </row>
    <row r="658" spans="1:14" ht="24" customHeight="1">
      <c r="B658" s="1721" t="s">
        <v>1984</v>
      </c>
      <c r="C658" s="1830"/>
      <c r="D658" s="1685"/>
      <c r="E658" s="1685"/>
      <c r="G658" s="1721" t="s">
        <v>1985</v>
      </c>
      <c r="H658" s="1685"/>
      <c r="I658" s="1685"/>
      <c r="J658" s="1685"/>
      <c r="K658" s="1685"/>
      <c r="L658" s="1721"/>
      <c r="M658" s="1710"/>
      <c r="N658" s="1685"/>
    </row>
    <row r="659" spans="1:14" ht="24" customHeight="1">
      <c r="B659" s="1828" t="s">
        <v>670</v>
      </c>
      <c r="L659" s="1721"/>
      <c r="M659" s="1710"/>
      <c r="N659" s="1685"/>
    </row>
    <row r="660" spans="1:14" ht="23.25" customHeight="1">
      <c r="B660" s="1721" t="s">
        <v>1972</v>
      </c>
      <c r="L660" s="1721"/>
      <c r="M660" s="1710"/>
      <c r="N660" s="1685"/>
    </row>
    <row r="661" spans="1:14" ht="24" customHeight="1">
      <c r="A661" s="1664"/>
      <c r="B661" s="2371" t="s">
        <v>248</v>
      </c>
      <c r="C661" s="2372"/>
      <c r="D661" s="1667"/>
      <c r="E661" s="1668"/>
      <c r="F661" s="1670"/>
      <c r="G661" s="1670"/>
      <c r="H661" s="1670"/>
      <c r="I661" s="1670"/>
      <c r="J661" s="1670"/>
      <c r="K661" s="1746"/>
      <c r="L661" s="1721"/>
      <c r="M661" s="1711"/>
      <c r="N661" s="1711"/>
    </row>
    <row r="662" spans="1:14" ht="24" customHeight="1">
      <c r="A662" s="1712"/>
      <c r="B662" s="1673" t="s">
        <v>139</v>
      </c>
      <c r="C662" s="1674" t="s">
        <v>88</v>
      </c>
      <c r="D662" s="1675">
        <v>1868.1</v>
      </c>
      <c r="E662" s="1676" t="s">
        <v>87</v>
      </c>
      <c r="F662" s="1677">
        <v>21.4</v>
      </c>
      <c r="G662" s="1677">
        <v>4.4000000000000004</v>
      </c>
      <c r="H662" s="1669">
        <f>F662*D662</f>
        <v>39977.339999999997</v>
      </c>
      <c r="I662" s="1669">
        <f>G662*D662</f>
        <v>8219.64</v>
      </c>
      <c r="J662" s="1669">
        <f>SUM(H662:I662)</f>
        <v>48196.979999999996</v>
      </c>
      <c r="K662" s="1708"/>
      <c r="L662" s="1721"/>
      <c r="M662" s="1710" t="s">
        <v>1016</v>
      </c>
      <c r="N662" s="1711" t="s">
        <v>659</v>
      </c>
    </row>
    <row r="663" spans="1:14" ht="24" customHeight="1">
      <c r="A663" s="1712"/>
      <c r="B663" s="1673" t="s">
        <v>139</v>
      </c>
      <c r="C663" s="1674" t="s">
        <v>1014</v>
      </c>
      <c r="D663" s="1675">
        <v>8946.4</v>
      </c>
      <c r="E663" s="1676" t="s">
        <v>87</v>
      </c>
      <c r="F663" s="1677">
        <v>21.2</v>
      </c>
      <c r="G663" s="1677">
        <v>3.1</v>
      </c>
      <c r="H663" s="1669">
        <f>F663*D663</f>
        <v>189663.68</v>
      </c>
      <c r="I663" s="1669">
        <f>G663*D663</f>
        <v>27733.84</v>
      </c>
      <c r="J663" s="1669">
        <f>SUM(H663:I663)</f>
        <v>217397.52</v>
      </c>
      <c r="K663" s="1708"/>
      <c r="L663" s="1721"/>
      <c r="M663" s="1710" t="s">
        <v>1016</v>
      </c>
      <c r="N663" s="1711" t="s">
        <v>659</v>
      </c>
    </row>
    <row r="664" spans="1:14" s="1685" customFormat="1" ht="24" customHeight="1">
      <c r="A664" s="1712"/>
      <c r="B664" s="1673" t="s">
        <v>139</v>
      </c>
      <c r="C664" s="1674" t="s">
        <v>200</v>
      </c>
      <c r="D664" s="1675">
        <f>SUM(D662:D663)*0.03</f>
        <v>324.435</v>
      </c>
      <c r="E664" s="1676" t="s">
        <v>87</v>
      </c>
      <c r="F664" s="1677">
        <v>25.83</v>
      </c>
      <c r="G664" s="1677">
        <v>0</v>
      </c>
      <c r="H664" s="1669">
        <f>F664*D664</f>
        <v>8380.1560499999996</v>
      </c>
      <c r="I664" s="1669">
        <f>G664*D664</f>
        <v>0</v>
      </c>
      <c r="J664" s="1669">
        <f>SUM(H664:I664)</f>
        <v>8380.1560499999996</v>
      </c>
      <c r="K664" s="1708"/>
      <c r="L664" s="1721"/>
      <c r="M664" s="1710" t="s">
        <v>1019</v>
      </c>
      <c r="N664" s="1711"/>
    </row>
    <row r="665" spans="1:14" s="1685" customFormat="1" ht="24" customHeight="1">
      <c r="A665" s="1712"/>
      <c r="B665" s="2368" t="s">
        <v>250</v>
      </c>
      <c r="C665" s="2370"/>
      <c r="D665" s="1675"/>
      <c r="E665" s="1676"/>
      <c r="F665" s="1736"/>
      <c r="G665" s="1736"/>
      <c r="H665" s="1669"/>
      <c r="I665" s="1669"/>
      <c r="J665" s="1669"/>
      <c r="K665" s="1708"/>
      <c r="L665" s="1721"/>
      <c r="M665" s="1711"/>
      <c r="N665" s="1711"/>
    </row>
    <row r="666" spans="1:14" s="1685" customFormat="1" ht="24" customHeight="1">
      <c r="A666" s="1712"/>
      <c r="B666" s="2368" t="s">
        <v>422</v>
      </c>
      <c r="C666" s="2370"/>
      <c r="D666" s="1675"/>
      <c r="E666" s="1676"/>
      <c r="F666" s="1736"/>
      <c r="G666" s="1736"/>
      <c r="H666" s="1669"/>
      <c r="I666" s="1669"/>
      <c r="J666" s="1669"/>
      <c r="K666" s="1708"/>
      <c r="L666" s="1721"/>
      <c r="M666" s="1711"/>
      <c r="N666" s="1711"/>
    </row>
    <row r="667" spans="1:14" ht="24" customHeight="1">
      <c r="A667" s="1712"/>
      <c r="B667" s="1673" t="s">
        <v>139</v>
      </c>
      <c r="C667" s="1674" t="s">
        <v>228</v>
      </c>
      <c r="D667" s="1675">
        <v>4.5</v>
      </c>
      <c r="E667" s="1676" t="s">
        <v>85</v>
      </c>
      <c r="F667" s="1736">
        <v>2679.9</v>
      </c>
      <c r="G667" s="1736">
        <v>519</v>
      </c>
      <c r="H667" s="1669">
        <f t="shared" ref="H667:H673" si="96">F667*D667</f>
        <v>12059.550000000001</v>
      </c>
      <c r="I667" s="1669">
        <f t="shared" ref="I667:I673" si="97">G667*D667</f>
        <v>2335.5</v>
      </c>
      <c r="J667" s="1669">
        <f t="shared" ref="J667:J673" si="98">SUM(H667:I667)</f>
        <v>14395.050000000001</v>
      </c>
      <c r="K667" s="1708"/>
      <c r="L667" s="1721"/>
      <c r="M667" s="1710" t="s">
        <v>1016</v>
      </c>
      <c r="N667" s="1711" t="s">
        <v>659</v>
      </c>
    </row>
    <row r="668" spans="1:14" ht="24" customHeight="1">
      <c r="A668" s="1712"/>
      <c r="B668" s="2368" t="s">
        <v>227</v>
      </c>
      <c r="C668" s="2370"/>
      <c r="D668" s="1675">
        <v>38.6</v>
      </c>
      <c r="E668" s="1676"/>
      <c r="F668" s="1736"/>
      <c r="G668" s="1736"/>
      <c r="H668" s="1669"/>
      <c r="I668" s="1669"/>
      <c r="J668" s="1669"/>
      <c r="K668" s="1708"/>
      <c r="L668" s="1721"/>
      <c r="M668" s="1711"/>
      <c r="N668" s="1711"/>
    </row>
    <row r="669" spans="1:14" ht="24" customHeight="1">
      <c r="A669" s="1702"/>
      <c r="B669" s="1703" t="s">
        <v>139</v>
      </c>
      <c r="C669" s="1743" t="s">
        <v>1785</v>
      </c>
      <c r="D669" s="1705">
        <f>D668</f>
        <v>38.6</v>
      </c>
      <c r="E669" s="1706" t="s">
        <v>86</v>
      </c>
      <c r="F669" s="1742"/>
      <c r="G669" s="1707">
        <v>121</v>
      </c>
      <c r="H669" s="1707">
        <f t="shared" si="96"/>
        <v>0</v>
      </c>
      <c r="I669" s="1707">
        <f t="shared" si="97"/>
        <v>4670.6000000000004</v>
      </c>
      <c r="J669" s="1707">
        <f t="shared" si="98"/>
        <v>4670.6000000000004</v>
      </c>
      <c r="K669" s="1709"/>
      <c r="L669" s="1721"/>
      <c r="M669" s="1710" t="s">
        <v>1017</v>
      </c>
      <c r="N669" s="1711" t="s">
        <v>659</v>
      </c>
    </row>
    <row r="670" spans="1:14" ht="24" customHeight="1">
      <c r="A670" s="1712"/>
      <c r="B670" s="1673" t="s">
        <v>139</v>
      </c>
      <c r="C670" s="1674" t="s">
        <v>198</v>
      </c>
      <c r="D670" s="1675">
        <f>D668*0.5</f>
        <v>19.3</v>
      </c>
      <c r="E670" s="1676" t="s">
        <v>164</v>
      </c>
      <c r="F670" s="1736">
        <v>400</v>
      </c>
      <c r="G670" s="1736"/>
      <c r="H670" s="1669">
        <f t="shared" si="96"/>
        <v>7720</v>
      </c>
      <c r="I670" s="1669">
        <f t="shared" si="97"/>
        <v>0</v>
      </c>
      <c r="J670" s="1669">
        <f t="shared" si="98"/>
        <v>7720</v>
      </c>
      <c r="K670" s="1708"/>
      <c r="L670" s="1721"/>
      <c r="M670" s="1710" t="s">
        <v>1018</v>
      </c>
      <c r="N670" s="1711"/>
    </row>
    <row r="671" spans="1:14" ht="24" customHeight="1">
      <c r="A671" s="1712"/>
      <c r="B671" s="1673" t="s">
        <v>139</v>
      </c>
      <c r="C671" s="1674" t="s">
        <v>1782</v>
      </c>
      <c r="D671" s="1675">
        <f>D670*0.3</f>
        <v>5.79</v>
      </c>
      <c r="E671" s="1676" t="s">
        <v>164</v>
      </c>
      <c r="F671" s="1736">
        <v>400</v>
      </c>
      <c r="G671" s="1736">
        <v>0</v>
      </c>
      <c r="H671" s="1669">
        <f t="shared" si="96"/>
        <v>2316</v>
      </c>
      <c r="I671" s="1669">
        <f t="shared" si="97"/>
        <v>0</v>
      </c>
      <c r="J671" s="1669">
        <f t="shared" si="98"/>
        <v>2316</v>
      </c>
      <c r="K671" s="1708"/>
      <c r="L671" s="1721"/>
      <c r="M671" s="1710" t="s">
        <v>1018</v>
      </c>
      <c r="N671" s="1711"/>
    </row>
    <row r="672" spans="1:14" ht="24" customHeight="1">
      <c r="A672" s="1712"/>
      <c r="B672" s="1673" t="s">
        <v>139</v>
      </c>
      <c r="C672" s="1674" t="s">
        <v>1142</v>
      </c>
      <c r="D672" s="1675">
        <v>37</v>
      </c>
      <c r="E672" s="1676" t="s">
        <v>83</v>
      </c>
      <c r="F672" s="1736">
        <v>28</v>
      </c>
      <c r="G672" s="1736">
        <v>0</v>
      </c>
      <c r="H672" s="1669">
        <f t="shared" si="96"/>
        <v>1036</v>
      </c>
      <c r="I672" s="1669">
        <f t="shared" si="97"/>
        <v>0</v>
      </c>
      <c r="J672" s="1669">
        <f t="shared" si="98"/>
        <v>1036</v>
      </c>
      <c r="K672" s="1708"/>
      <c r="L672" s="1721"/>
      <c r="M672" s="1710" t="s">
        <v>1018</v>
      </c>
      <c r="N672" s="1711"/>
    </row>
    <row r="673" spans="1:14" ht="24" customHeight="1">
      <c r="A673" s="1712"/>
      <c r="B673" s="1673" t="s">
        <v>139</v>
      </c>
      <c r="C673" s="1674" t="s">
        <v>1781</v>
      </c>
      <c r="D673" s="1675">
        <f>D668*0.25</f>
        <v>9.65</v>
      </c>
      <c r="E673" s="1676" t="s">
        <v>87</v>
      </c>
      <c r="F673" s="1736">
        <v>23.89</v>
      </c>
      <c r="G673" s="1736">
        <v>0</v>
      </c>
      <c r="H673" s="1669">
        <f t="shared" si="96"/>
        <v>230.53850000000003</v>
      </c>
      <c r="I673" s="1669">
        <f t="shared" si="97"/>
        <v>0</v>
      </c>
      <c r="J673" s="1669">
        <f t="shared" si="98"/>
        <v>230.53850000000003</v>
      </c>
      <c r="K673" s="1708"/>
      <c r="L673" s="1721"/>
      <c r="M673" s="1710" t="s">
        <v>660</v>
      </c>
      <c r="N673" s="1711"/>
    </row>
    <row r="674" spans="1:14" ht="24" customHeight="1">
      <c r="A674" s="1712"/>
      <c r="B674" s="1748" t="s">
        <v>251</v>
      </c>
      <c r="C674" s="1674"/>
      <c r="D674" s="1675"/>
      <c r="E674" s="1676"/>
      <c r="F674" s="1736"/>
      <c r="G674" s="1736"/>
      <c r="H674" s="1669"/>
      <c r="I674" s="1669"/>
      <c r="J674" s="1669"/>
      <c r="K674" s="1708"/>
      <c r="L674" s="1721"/>
      <c r="M674" s="1710"/>
      <c r="N674" s="1711"/>
    </row>
    <row r="675" spans="1:14" ht="24" customHeight="1">
      <c r="A675" s="1712"/>
      <c r="B675" s="1673" t="s">
        <v>139</v>
      </c>
      <c r="C675" s="1674" t="s">
        <v>88</v>
      </c>
      <c r="D675" s="1675">
        <v>144.5</v>
      </c>
      <c r="E675" s="1676" t="s">
        <v>87</v>
      </c>
      <c r="F675" s="1677">
        <v>21.4</v>
      </c>
      <c r="G675" s="1677">
        <v>4.4000000000000004</v>
      </c>
      <c r="H675" s="1669">
        <f>F675*D675</f>
        <v>3092.2999999999997</v>
      </c>
      <c r="I675" s="1669">
        <f>G675*D675</f>
        <v>635.80000000000007</v>
      </c>
      <c r="J675" s="1669">
        <f>SUM(H675:I675)</f>
        <v>3728.1</v>
      </c>
      <c r="K675" s="1708"/>
      <c r="L675" s="1721"/>
      <c r="M675" s="1710" t="s">
        <v>1016</v>
      </c>
      <c r="N675" s="1711" t="s">
        <v>659</v>
      </c>
    </row>
    <row r="676" spans="1:14" ht="24" customHeight="1">
      <c r="A676" s="1712"/>
      <c r="B676" s="1673" t="s">
        <v>139</v>
      </c>
      <c r="C676" s="1674" t="s">
        <v>89</v>
      </c>
      <c r="D676" s="1675">
        <v>43.5</v>
      </c>
      <c r="E676" s="1676" t="s">
        <v>87</v>
      </c>
      <c r="F676" s="1677">
        <v>21.4</v>
      </c>
      <c r="G676" s="1677">
        <v>3.6</v>
      </c>
      <c r="H676" s="1669">
        <f>F676*D676</f>
        <v>930.9</v>
      </c>
      <c r="I676" s="1669">
        <f>G676*D676</f>
        <v>156.6</v>
      </c>
      <c r="J676" s="1669">
        <f>SUM(H676:I676)</f>
        <v>1087.5</v>
      </c>
      <c r="K676" s="1708"/>
      <c r="L676" s="1721"/>
      <c r="M676" s="1710" t="s">
        <v>1016</v>
      </c>
      <c r="N676" s="1711" t="s">
        <v>659</v>
      </c>
    </row>
    <row r="677" spans="1:14" ht="24" customHeight="1">
      <c r="A677" s="1712"/>
      <c r="B677" s="1665" t="s">
        <v>139</v>
      </c>
      <c r="C677" s="1666" t="s">
        <v>90</v>
      </c>
      <c r="D677" s="1667">
        <v>501.8</v>
      </c>
      <c r="E677" s="1668" t="s">
        <v>87</v>
      </c>
      <c r="F677" s="1744">
        <v>21.2</v>
      </c>
      <c r="G677" s="1744">
        <v>3.6</v>
      </c>
      <c r="H677" s="1670">
        <f>F677*D677</f>
        <v>10638.16</v>
      </c>
      <c r="I677" s="1670">
        <f>G677*D677</f>
        <v>1806.48</v>
      </c>
      <c r="J677" s="1670">
        <f>SUM(H677:I677)</f>
        <v>12444.64</v>
      </c>
      <c r="K677" s="1708"/>
      <c r="L677" s="1721"/>
      <c r="M677" s="1710" t="s">
        <v>1016</v>
      </c>
      <c r="N677" s="1711" t="s">
        <v>659</v>
      </c>
    </row>
    <row r="678" spans="1:14" ht="24" customHeight="1">
      <c r="A678" s="1672"/>
      <c r="B678" s="1673" t="s">
        <v>139</v>
      </c>
      <c r="C678" s="1674" t="s">
        <v>91</v>
      </c>
      <c r="D678" s="1675">
        <v>165.3</v>
      </c>
      <c r="E678" s="1676" t="s">
        <v>87</v>
      </c>
      <c r="F678" s="1677">
        <v>21.2</v>
      </c>
      <c r="G678" s="1677">
        <v>3.1</v>
      </c>
      <c r="H678" s="1669">
        <f>F678*D678</f>
        <v>3504.36</v>
      </c>
      <c r="I678" s="1669">
        <f>G678*D678</f>
        <v>512.43000000000006</v>
      </c>
      <c r="J678" s="1669">
        <f>SUM(H678:I678)</f>
        <v>4016.79</v>
      </c>
      <c r="K678" s="1708"/>
      <c r="L678" s="1721"/>
      <c r="M678" s="1710" t="s">
        <v>1016</v>
      </c>
      <c r="N678" s="1711" t="s">
        <v>659</v>
      </c>
    </row>
    <row r="679" spans="1:14" ht="24" customHeight="1">
      <c r="A679" s="1672"/>
      <c r="B679" s="1673" t="s">
        <v>139</v>
      </c>
      <c r="C679" s="1674" t="s">
        <v>200</v>
      </c>
      <c r="D679" s="1675">
        <f>SUM(D675:D678)*0.03</f>
        <v>25.652999999999995</v>
      </c>
      <c r="E679" s="1676" t="s">
        <v>87</v>
      </c>
      <c r="F679" s="1677">
        <v>25.83</v>
      </c>
      <c r="G679" s="1677">
        <v>0</v>
      </c>
      <c r="H679" s="1669">
        <f>F679*D679</f>
        <v>662.61698999999987</v>
      </c>
      <c r="I679" s="1669">
        <f>G679*D679</f>
        <v>0</v>
      </c>
      <c r="J679" s="1669">
        <f>SUM(H679:I679)</f>
        <v>662.61698999999987</v>
      </c>
      <c r="K679" s="1708"/>
      <c r="L679" s="1721"/>
      <c r="M679" s="1710" t="s">
        <v>1019</v>
      </c>
      <c r="N679" s="1711"/>
    </row>
    <row r="680" spans="1:14" ht="24" customHeight="1">
      <c r="A680" s="1672"/>
      <c r="B680" s="2368" t="s">
        <v>249</v>
      </c>
      <c r="C680" s="2370"/>
      <c r="D680" s="1675"/>
      <c r="E680" s="1676"/>
      <c r="F680" s="1736"/>
      <c r="G680" s="1736"/>
      <c r="H680" s="1669"/>
      <c r="I680" s="1669"/>
      <c r="J680" s="1669"/>
      <c r="K680" s="1708"/>
      <c r="L680" s="1721"/>
      <c r="M680" s="1711"/>
      <c r="N680" s="1711"/>
    </row>
    <row r="681" spans="1:14" ht="24" customHeight="1">
      <c r="A681" s="1672"/>
      <c r="B681" s="2368" t="s">
        <v>394</v>
      </c>
      <c r="C681" s="2370"/>
      <c r="D681" s="1675"/>
      <c r="E681" s="1676"/>
      <c r="F681" s="1669"/>
      <c r="G681" s="1669"/>
      <c r="H681" s="1669"/>
      <c r="I681" s="1669"/>
      <c r="J681" s="1669"/>
      <c r="K681" s="1708"/>
      <c r="L681" s="1721"/>
      <c r="M681" s="1711"/>
      <c r="N681" s="1711"/>
    </row>
    <row r="682" spans="1:14" ht="24" customHeight="1">
      <c r="A682" s="1672"/>
      <c r="B682" s="2368" t="s">
        <v>416</v>
      </c>
      <c r="C682" s="2370"/>
      <c r="D682" s="1675"/>
      <c r="E682" s="1676"/>
      <c r="F682" s="1669"/>
      <c r="G682" s="1669"/>
      <c r="H682" s="1669"/>
      <c r="I682" s="1669"/>
      <c r="J682" s="1669"/>
      <c r="K682" s="1708"/>
      <c r="L682" s="1721"/>
      <c r="M682" s="1711"/>
      <c r="N682" s="1711"/>
    </row>
    <row r="683" spans="1:14" ht="24" customHeight="1">
      <c r="A683" s="1712"/>
      <c r="B683" s="1703" t="s">
        <v>139</v>
      </c>
      <c r="C683" s="1743" t="s">
        <v>228</v>
      </c>
      <c r="D683" s="1705">
        <v>4.5</v>
      </c>
      <c r="E683" s="1706" t="s">
        <v>85</v>
      </c>
      <c r="F683" s="1742">
        <v>2679.9</v>
      </c>
      <c r="G683" s="1742">
        <v>519</v>
      </c>
      <c r="H683" s="1707">
        <f t="shared" ref="H683:H701" si="99">F683*D683</f>
        <v>12059.550000000001</v>
      </c>
      <c r="I683" s="1707">
        <f t="shared" ref="I683:I701" si="100">G683*D683</f>
        <v>2335.5</v>
      </c>
      <c r="J683" s="1707">
        <f t="shared" ref="J683:J689" si="101">SUM(H683:I683)</f>
        <v>14395.050000000001</v>
      </c>
      <c r="K683" s="1708"/>
      <c r="L683" s="1721"/>
      <c r="M683" s="1710" t="s">
        <v>1016</v>
      </c>
      <c r="N683" s="1711" t="s">
        <v>664</v>
      </c>
    </row>
    <row r="684" spans="1:14" ht="24" customHeight="1">
      <c r="A684" s="1712"/>
      <c r="B684" s="2368" t="s">
        <v>418</v>
      </c>
      <c r="C684" s="2370"/>
      <c r="D684" s="1675">
        <v>22.5</v>
      </c>
      <c r="E684" s="1676"/>
      <c r="F684" s="1669"/>
      <c r="G684" s="1669"/>
      <c r="H684" s="1669"/>
      <c r="I684" s="1669"/>
      <c r="J684" s="1669"/>
      <c r="K684" s="1708"/>
      <c r="L684" s="1721"/>
      <c r="M684" s="1711"/>
      <c r="N684" s="1711"/>
    </row>
    <row r="685" spans="1:14" ht="24" customHeight="1">
      <c r="A685" s="1712"/>
      <c r="B685" s="1673" t="s">
        <v>139</v>
      </c>
      <c r="C685" s="1674" t="s">
        <v>1784</v>
      </c>
      <c r="D685" s="1675">
        <f>D684</f>
        <v>22.5</v>
      </c>
      <c r="E685" s="1676" t="s">
        <v>86</v>
      </c>
      <c r="F685" s="1669"/>
      <c r="G685" s="1669">
        <v>121</v>
      </c>
      <c r="H685" s="1669">
        <f t="shared" si="99"/>
        <v>0</v>
      </c>
      <c r="I685" s="1669">
        <f t="shared" si="100"/>
        <v>2722.5</v>
      </c>
      <c r="J685" s="1669">
        <f t="shared" si="101"/>
        <v>2722.5</v>
      </c>
      <c r="K685" s="1708"/>
      <c r="L685" s="1721"/>
      <c r="M685" s="1710" t="s">
        <v>1017</v>
      </c>
      <c r="N685" s="1711" t="s">
        <v>664</v>
      </c>
    </row>
    <row r="686" spans="1:14" ht="24" customHeight="1">
      <c r="A686" s="1712"/>
      <c r="B686" s="1673" t="s">
        <v>139</v>
      </c>
      <c r="C686" s="1674" t="s">
        <v>198</v>
      </c>
      <c r="D686" s="1675">
        <f>D684*0.5</f>
        <v>11.25</v>
      </c>
      <c r="E686" s="1676" t="s">
        <v>164</v>
      </c>
      <c r="F686" s="1669">
        <v>400</v>
      </c>
      <c r="G686" s="1669"/>
      <c r="H686" s="1669">
        <f t="shared" si="99"/>
        <v>4500</v>
      </c>
      <c r="I686" s="1669">
        <f t="shared" si="100"/>
        <v>0</v>
      </c>
      <c r="J686" s="1669">
        <f t="shared" si="101"/>
        <v>4500</v>
      </c>
      <c r="K686" s="1708"/>
      <c r="L686" s="1721"/>
      <c r="M686" s="1710" t="s">
        <v>1018</v>
      </c>
      <c r="N686" s="1711"/>
    </row>
    <row r="687" spans="1:14" ht="24" customHeight="1">
      <c r="A687" s="1712"/>
      <c r="B687" s="1673" t="s">
        <v>139</v>
      </c>
      <c r="C687" s="1674" t="s">
        <v>1782</v>
      </c>
      <c r="D687" s="1675">
        <f>D686*0.3</f>
        <v>3.375</v>
      </c>
      <c r="E687" s="1676" t="s">
        <v>164</v>
      </c>
      <c r="F687" s="1669">
        <v>400</v>
      </c>
      <c r="G687" s="1669">
        <v>0</v>
      </c>
      <c r="H687" s="1669">
        <f t="shared" si="99"/>
        <v>1350</v>
      </c>
      <c r="I687" s="1669">
        <f t="shared" si="100"/>
        <v>0</v>
      </c>
      <c r="J687" s="1669">
        <f t="shared" si="101"/>
        <v>1350</v>
      </c>
      <c r="K687" s="1708"/>
      <c r="L687" s="1721"/>
      <c r="M687" s="1710" t="s">
        <v>1018</v>
      </c>
      <c r="N687" s="1711"/>
    </row>
    <row r="688" spans="1:14" ht="24" customHeight="1">
      <c r="A688" s="1712"/>
      <c r="B688" s="1673" t="s">
        <v>139</v>
      </c>
      <c r="C688" s="1674" t="s">
        <v>163</v>
      </c>
      <c r="D688" s="1675">
        <f>D684</f>
        <v>22.5</v>
      </c>
      <c r="E688" s="1676" t="s">
        <v>83</v>
      </c>
      <c r="F688" s="1669">
        <v>28</v>
      </c>
      <c r="G688" s="1669">
        <v>0</v>
      </c>
      <c r="H688" s="1669">
        <f t="shared" si="99"/>
        <v>630</v>
      </c>
      <c r="I688" s="1669">
        <f t="shared" si="100"/>
        <v>0</v>
      </c>
      <c r="J688" s="1669">
        <f t="shared" si="101"/>
        <v>630</v>
      </c>
      <c r="K688" s="1708"/>
      <c r="L688" s="1721"/>
      <c r="M688" s="1710" t="s">
        <v>1018</v>
      </c>
      <c r="N688" s="1711"/>
    </row>
    <row r="689" spans="1:14" ht="24" customHeight="1">
      <c r="A689" s="1712"/>
      <c r="B689" s="1673" t="s">
        <v>139</v>
      </c>
      <c r="C689" s="1674" t="s">
        <v>1781</v>
      </c>
      <c r="D689" s="1675">
        <f>D684*0.25</f>
        <v>5.625</v>
      </c>
      <c r="E689" s="1676" t="s">
        <v>87</v>
      </c>
      <c r="F689" s="1736">
        <v>23.89</v>
      </c>
      <c r="G689" s="1736">
        <v>0</v>
      </c>
      <c r="H689" s="1669">
        <f t="shared" si="99"/>
        <v>134.38124999999999</v>
      </c>
      <c r="I689" s="1669">
        <f t="shared" si="100"/>
        <v>0</v>
      </c>
      <c r="J689" s="1669">
        <f t="shared" si="101"/>
        <v>134.38124999999999</v>
      </c>
      <c r="K689" s="1708"/>
      <c r="L689" s="1721"/>
      <c r="M689" s="1710" t="s">
        <v>660</v>
      </c>
      <c r="N689" s="1711"/>
    </row>
    <row r="690" spans="1:14" ht="24" customHeight="1">
      <c r="A690" s="1780"/>
      <c r="B690" s="1780"/>
      <c r="C690" s="1827" t="s">
        <v>133</v>
      </c>
      <c r="D690" s="2365"/>
      <c r="E690" s="2365"/>
      <c r="F690" s="2365"/>
      <c r="G690" s="2365"/>
      <c r="H690" s="2365"/>
      <c r="I690" s="2365"/>
      <c r="J690" s="2365"/>
      <c r="K690" s="2365"/>
      <c r="L690" s="1721"/>
      <c r="M690" s="1710"/>
      <c r="N690" s="1711"/>
    </row>
    <row r="691" spans="1:14" ht="24" customHeight="1">
      <c r="A691" s="1780"/>
      <c r="B691" s="2366" t="s">
        <v>1769</v>
      </c>
      <c r="C691" s="2366"/>
      <c r="D691" s="1828"/>
      <c r="E691" s="1769"/>
      <c r="F691" s="1828"/>
      <c r="G691" s="1828" t="s">
        <v>134</v>
      </c>
      <c r="H691" s="1828"/>
      <c r="I691" s="1828"/>
      <c r="J691" s="1828"/>
      <c r="K691" s="1828"/>
      <c r="L691" s="1721"/>
      <c r="M691" s="1710"/>
      <c r="N691" s="1711"/>
    </row>
    <row r="692" spans="1:14" ht="24" customHeight="1">
      <c r="A692" s="1780"/>
      <c r="B692" s="2367" t="s">
        <v>1970</v>
      </c>
      <c r="C692" s="2367"/>
      <c r="D692" s="1831"/>
      <c r="E692" s="1832"/>
      <c r="F692" s="1833"/>
      <c r="G692" s="1833" t="s">
        <v>1971</v>
      </c>
      <c r="H692" s="1833"/>
      <c r="I692" s="1833"/>
      <c r="J692" s="1833"/>
      <c r="K692" s="1833"/>
      <c r="L692" s="1721"/>
      <c r="M692" s="1710"/>
      <c r="N692" s="1711"/>
    </row>
    <row r="693" spans="1:14" ht="24" customHeight="1">
      <c r="A693" s="1830"/>
      <c r="B693" s="1828" t="s">
        <v>2031</v>
      </c>
      <c r="C693" s="1830"/>
      <c r="D693" s="1830"/>
      <c r="E693" s="1830"/>
      <c r="F693" s="1830"/>
      <c r="G693" s="1828" t="s">
        <v>2031</v>
      </c>
      <c r="H693" s="1830"/>
      <c r="I693" s="1830"/>
      <c r="J693" s="1830"/>
      <c r="K693" s="1830"/>
      <c r="L693" s="1721"/>
      <c r="M693" s="1710"/>
      <c r="N693" s="1711"/>
    </row>
    <row r="694" spans="1:14" ht="24" customHeight="1">
      <c r="B694" s="1721" t="s">
        <v>1984</v>
      </c>
      <c r="C694" s="1830"/>
      <c r="D694" s="1685"/>
      <c r="E694" s="1685"/>
      <c r="G694" s="1721" t="s">
        <v>1985</v>
      </c>
      <c r="H694" s="1685"/>
      <c r="I694" s="1685"/>
      <c r="J694" s="1685"/>
      <c r="K694" s="1685"/>
      <c r="L694" s="1721"/>
      <c r="M694" s="1710"/>
      <c r="N694" s="1711"/>
    </row>
    <row r="695" spans="1:14" ht="24" customHeight="1">
      <c r="B695" s="1828" t="s">
        <v>670</v>
      </c>
      <c r="L695" s="1721"/>
      <c r="M695" s="1710"/>
      <c r="N695" s="1711"/>
    </row>
    <row r="696" spans="1:14" ht="24" customHeight="1">
      <c r="B696" s="1721" t="s">
        <v>1972</v>
      </c>
      <c r="L696" s="1721"/>
      <c r="M696" s="1710"/>
      <c r="N696" s="1711"/>
    </row>
    <row r="697" spans="1:14" ht="24" customHeight="1">
      <c r="A697" s="1702"/>
      <c r="B697" s="2369" t="s">
        <v>417</v>
      </c>
      <c r="C697" s="2373"/>
      <c r="D697" s="1705"/>
      <c r="E697" s="1706"/>
      <c r="F697" s="1707"/>
      <c r="G697" s="1707"/>
      <c r="H697" s="1707"/>
      <c r="I697" s="1707"/>
      <c r="J697" s="1707"/>
      <c r="K697" s="1709"/>
      <c r="L697" s="1721"/>
      <c r="M697" s="1711"/>
      <c r="N697" s="1711"/>
    </row>
    <row r="698" spans="1:14" ht="24" customHeight="1">
      <c r="A698" s="1712"/>
      <c r="B698" s="1673" t="s">
        <v>139</v>
      </c>
      <c r="C698" s="1674" t="s">
        <v>88</v>
      </c>
      <c r="D698" s="1675">
        <v>168.6</v>
      </c>
      <c r="E698" s="1676" t="s">
        <v>87</v>
      </c>
      <c r="F698" s="1677">
        <v>21.4</v>
      </c>
      <c r="G698" s="1677">
        <v>4.4000000000000004</v>
      </c>
      <c r="H698" s="1669">
        <f t="shared" si="99"/>
        <v>3608.0399999999995</v>
      </c>
      <c r="I698" s="1669">
        <f t="shared" si="100"/>
        <v>741.84</v>
      </c>
      <c r="J698" s="1669">
        <f>SUM(H698:I698)</f>
        <v>4349.8799999999992</v>
      </c>
      <c r="K698" s="1708"/>
      <c r="L698" s="1721"/>
      <c r="M698" s="1710" t="s">
        <v>1016</v>
      </c>
      <c r="N698" s="1711" t="s">
        <v>659</v>
      </c>
    </row>
    <row r="699" spans="1:14" ht="24" customHeight="1">
      <c r="A699" s="1664"/>
      <c r="B699" s="1665" t="s">
        <v>139</v>
      </c>
      <c r="C699" s="1666" t="s">
        <v>89</v>
      </c>
      <c r="D699" s="1667">
        <v>100.4</v>
      </c>
      <c r="E699" s="1668" t="s">
        <v>87</v>
      </c>
      <c r="F699" s="1744">
        <v>21.4</v>
      </c>
      <c r="G699" s="1744">
        <v>3.6</v>
      </c>
      <c r="H699" s="1670">
        <f t="shared" si="99"/>
        <v>2148.56</v>
      </c>
      <c r="I699" s="1670">
        <f t="shared" si="100"/>
        <v>361.44000000000005</v>
      </c>
      <c r="J699" s="1670">
        <f>SUM(H699:I699)</f>
        <v>2510</v>
      </c>
      <c r="K699" s="1708"/>
      <c r="L699" s="1721"/>
      <c r="M699" s="1710" t="s">
        <v>1016</v>
      </c>
      <c r="N699" s="1711" t="s">
        <v>659</v>
      </c>
    </row>
    <row r="700" spans="1:14" ht="24" customHeight="1">
      <c r="A700" s="1712"/>
      <c r="B700" s="1673" t="s">
        <v>139</v>
      </c>
      <c r="C700" s="1674" t="s">
        <v>90</v>
      </c>
      <c r="D700" s="1675">
        <v>280</v>
      </c>
      <c r="E700" s="1676" t="s">
        <v>87</v>
      </c>
      <c r="F700" s="1677">
        <v>21.2</v>
      </c>
      <c r="G700" s="1677">
        <v>3.6</v>
      </c>
      <c r="H700" s="1669">
        <f t="shared" si="99"/>
        <v>5936</v>
      </c>
      <c r="I700" s="1669">
        <f t="shared" si="100"/>
        <v>1008</v>
      </c>
      <c r="J700" s="1669">
        <f>SUM(H700:I700)</f>
        <v>6944</v>
      </c>
      <c r="K700" s="1708"/>
      <c r="L700" s="1721"/>
      <c r="M700" s="1710" t="s">
        <v>1016</v>
      </c>
      <c r="N700" s="1711" t="s">
        <v>659</v>
      </c>
    </row>
    <row r="701" spans="1:14" ht="24" customHeight="1">
      <c r="A701" s="1712"/>
      <c r="B701" s="1673" t="s">
        <v>139</v>
      </c>
      <c r="C701" s="1674" t="s">
        <v>200</v>
      </c>
      <c r="D701" s="1675">
        <f>SUM(D698:D700)*0.03</f>
        <v>16.47</v>
      </c>
      <c r="E701" s="1676" t="s">
        <v>87</v>
      </c>
      <c r="F701" s="1677">
        <v>25.83</v>
      </c>
      <c r="G701" s="1677">
        <v>0</v>
      </c>
      <c r="H701" s="1669">
        <f t="shared" si="99"/>
        <v>425.42009999999993</v>
      </c>
      <c r="I701" s="1669">
        <f t="shared" si="100"/>
        <v>0</v>
      </c>
      <c r="J701" s="1669">
        <f>SUM(H701:I701)</f>
        <v>425.42009999999993</v>
      </c>
      <c r="K701" s="1708"/>
      <c r="L701" s="1721"/>
      <c r="M701" s="1710" t="s">
        <v>1019</v>
      </c>
      <c r="N701" s="1711"/>
    </row>
    <row r="702" spans="1:14" s="1685" customFormat="1" ht="24" customHeight="1">
      <c r="A702" s="1712"/>
      <c r="B702" s="2368" t="s">
        <v>395</v>
      </c>
      <c r="C702" s="2370"/>
      <c r="D702" s="1675"/>
      <c r="E702" s="1676"/>
      <c r="F702" s="1669"/>
      <c r="G702" s="1669"/>
      <c r="H702" s="1669"/>
      <c r="I702" s="1669"/>
      <c r="J702" s="1669"/>
      <c r="K702" s="1708"/>
      <c r="L702" s="1721"/>
      <c r="M702" s="1711"/>
      <c r="N702" s="1711"/>
    </row>
    <row r="703" spans="1:14" s="1685" customFormat="1" ht="24" customHeight="1">
      <c r="A703" s="1712"/>
      <c r="B703" s="2368" t="s">
        <v>420</v>
      </c>
      <c r="C703" s="2370"/>
      <c r="D703" s="1675"/>
      <c r="E703" s="1676"/>
      <c r="F703" s="1669"/>
      <c r="G703" s="1669"/>
      <c r="H703" s="1669"/>
      <c r="I703" s="1669"/>
      <c r="J703" s="1669"/>
      <c r="K703" s="1708"/>
      <c r="L703" s="1721"/>
      <c r="M703" s="1711"/>
      <c r="N703" s="1711"/>
    </row>
    <row r="704" spans="1:14" ht="24" customHeight="1">
      <c r="A704" s="1664"/>
      <c r="B704" s="1665" t="s">
        <v>139</v>
      </c>
      <c r="C704" s="1666" t="str">
        <f>$C$683</f>
        <v>คอนกรีตโครงสร้าง (fc' cylinder =320 ksc.)</v>
      </c>
      <c r="D704" s="1667">
        <v>5.5</v>
      </c>
      <c r="E704" s="1668" t="s">
        <v>85</v>
      </c>
      <c r="F704" s="1744">
        <v>2679.9</v>
      </c>
      <c r="G704" s="1744">
        <v>519</v>
      </c>
      <c r="H704" s="1670">
        <f t="shared" ref="H704:H715" si="102">F704*D704</f>
        <v>14739.45</v>
      </c>
      <c r="I704" s="1670">
        <f t="shared" ref="I704:I715" si="103">G704*D704</f>
        <v>2854.5</v>
      </c>
      <c r="J704" s="1670">
        <f t="shared" ref="J704:J710" si="104">SUM(H704:I704)</f>
        <v>17593.95</v>
      </c>
      <c r="K704" s="1708"/>
      <c r="L704" s="1721"/>
      <c r="M704" s="1710" t="s">
        <v>1016</v>
      </c>
      <c r="N704" s="1711" t="s">
        <v>664</v>
      </c>
    </row>
    <row r="705" spans="1:14" ht="24" customHeight="1">
      <c r="A705" s="1664"/>
      <c r="B705" s="1755" t="s">
        <v>421</v>
      </c>
      <c r="C705" s="1666"/>
      <c r="D705" s="1667">
        <v>28.6</v>
      </c>
      <c r="E705" s="1668"/>
      <c r="F705" s="1744"/>
      <c r="G705" s="1744"/>
      <c r="H705" s="1670"/>
      <c r="I705" s="1670"/>
      <c r="J705" s="1670"/>
      <c r="K705" s="1708"/>
      <c r="L705" s="1721"/>
      <c r="M705" s="1710"/>
      <c r="N705" s="1711"/>
    </row>
    <row r="706" spans="1:14" ht="24" customHeight="1">
      <c r="A706" s="1712"/>
      <c r="B706" s="1673" t="s">
        <v>139</v>
      </c>
      <c r="C706" s="1674" t="s">
        <v>1784</v>
      </c>
      <c r="D706" s="1675">
        <f>D705</f>
        <v>28.6</v>
      </c>
      <c r="E706" s="1676" t="s">
        <v>86</v>
      </c>
      <c r="F706" s="1669"/>
      <c r="G706" s="1669">
        <v>121</v>
      </c>
      <c r="H706" s="1669">
        <f t="shared" si="102"/>
        <v>0</v>
      </c>
      <c r="I706" s="1669">
        <f t="shared" si="103"/>
        <v>3460.6000000000004</v>
      </c>
      <c r="J706" s="1669">
        <f t="shared" si="104"/>
        <v>3460.6000000000004</v>
      </c>
      <c r="K706" s="1708"/>
      <c r="L706" s="1721"/>
      <c r="M706" s="1710" t="s">
        <v>1017</v>
      </c>
      <c r="N706" s="1711" t="s">
        <v>664</v>
      </c>
    </row>
    <row r="707" spans="1:14" ht="24" customHeight="1">
      <c r="A707" s="1712"/>
      <c r="B707" s="1673" t="s">
        <v>139</v>
      </c>
      <c r="C707" s="1674" t="s">
        <v>198</v>
      </c>
      <c r="D707" s="1675">
        <f>D705*0.5</f>
        <v>14.3</v>
      </c>
      <c r="E707" s="1676" t="s">
        <v>164</v>
      </c>
      <c r="F707" s="1669">
        <v>400</v>
      </c>
      <c r="G707" s="1669"/>
      <c r="H707" s="1669">
        <f t="shared" si="102"/>
        <v>5720</v>
      </c>
      <c r="I707" s="1669">
        <f t="shared" si="103"/>
        <v>0</v>
      </c>
      <c r="J707" s="1669">
        <f t="shared" si="104"/>
        <v>5720</v>
      </c>
      <c r="K707" s="1708"/>
      <c r="L707" s="1721"/>
      <c r="M707" s="1710" t="s">
        <v>1018</v>
      </c>
      <c r="N707" s="1711"/>
    </row>
    <row r="708" spans="1:14" ht="24" customHeight="1">
      <c r="A708" s="1712"/>
      <c r="B708" s="1673" t="s">
        <v>139</v>
      </c>
      <c r="C708" s="1674" t="s">
        <v>1782</v>
      </c>
      <c r="D708" s="1675">
        <f>D707*0.3</f>
        <v>4.29</v>
      </c>
      <c r="E708" s="1676" t="s">
        <v>164</v>
      </c>
      <c r="F708" s="1669">
        <v>400</v>
      </c>
      <c r="G708" s="1669">
        <v>0</v>
      </c>
      <c r="H708" s="1669">
        <f t="shared" si="102"/>
        <v>1716</v>
      </c>
      <c r="I708" s="1669">
        <f t="shared" si="103"/>
        <v>0</v>
      </c>
      <c r="J708" s="1669">
        <f t="shared" si="104"/>
        <v>1716</v>
      </c>
      <c r="K708" s="1708"/>
      <c r="L708" s="1721"/>
      <c r="M708" s="1710" t="s">
        <v>1018</v>
      </c>
      <c r="N708" s="1711"/>
    </row>
    <row r="709" spans="1:14" ht="24" customHeight="1">
      <c r="A709" s="1712"/>
      <c r="B709" s="1673" t="s">
        <v>139</v>
      </c>
      <c r="C709" s="1674" t="s">
        <v>163</v>
      </c>
      <c r="D709" s="1675">
        <f>D705</f>
        <v>28.6</v>
      </c>
      <c r="E709" s="1676" t="s">
        <v>83</v>
      </c>
      <c r="F709" s="1669">
        <v>28</v>
      </c>
      <c r="G709" s="1669">
        <v>0</v>
      </c>
      <c r="H709" s="1669">
        <f t="shared" si="102"/>
        <v>800.80000000000007</v>
      </c>
      <c r="I709" s="1669">
        <f t="shared" si="103"/>
        <v>0</v>
      </c>
      <c r="J709" s="1669">
        <f t="shared" si="104"/>
        <v>800.80000000000007</v>
      </c>
      <c r="K709" s="1708"/>
      <c r="L709" s="1721"/>
      <c r="M709" s="1710" t="s">
        <v>1018</v>
      </c>
      <c r="N709" s="1711"/>
    </row>
    <row r="710" spans="1:14" ht="24" customHeight="1">
      <c r="A710" s="1712"/>
      <c r="B710" s="1673" t="s">
        <v>139</v>
      </c>
      <c r="C710" s="1674" t="s">
        <v>1781</v>
      </c>
      <c r="D710" s="1675">
        <f>D705*0.25</f>
        <v>7.15</v>
      </c>
      <c r="E710" s="1676" t="s">
        <v>87</v>
      </c>
      <c r="F710" s="1736">
        <v>23.89</v>
      </c>
      <c r="G710" s="1736">
        <v>0</v>
      </c>
      <c r="H710" s="1669">
        <f t="shared" si="102"/>
        <v>170.8135</v>
      </c>
      <c r="I710" s="1669">
        <f t="shared" si="103"/>
        <v>0</v>
      </c>
      <c r="J710" s="1669">
        <f t="shared" si="104"/>
        <v>170.8135</v>
      </c>
      <c r="K710" s="1708"/>
      <c r="L710" s="1721"/>
      <c r="M710" s="1710" t="s">
        <v>660</v>
      </c>
      <c r="N710" s="1711"/>
    </row>
    <row r="711" spans="1:14" ht="24" customHeight="1">
      <c r="A711" s="1664"/>
      <c r="B711" s="2371" t="s">
        <v>419</v>
      </c>
      <c r="C711" s="2372"/>
      <c r="D711" s="1667"/>
      <c r="E711" s="1668"/>
      <c r="F711" s="1670"/>
      <c r="G711" s="1670"/>
      <c r="H711" s="1670"/>
      <c r="I711" s="1670"/>
      <c r="J711" s="1670"/>
      <c r="K711" s="1746"/>
      <c r="L711" s="1721"/>
      <c r="M711" s="1711"/>
      <c r="N711" s="1711"/>
    </row>
    <row r="712" spans="1:14" ht="24" customHeight="1">
      <c r="A712" s="1712"/>
      <c r="B712" s="1673" t="s">
        <v>139</v>
      </c>
      <c r="C712" s="1674" t="s">
        <v>88</v>
      </c>
      <c r="D712" s="1675">
        <v>264.5</v>
      </c>
      <c r="E712" s="1676" t="s">
        <v>87</v>
      </c>
      <c r="F712" s="1677">
        <v>21.4</v>
      </c>
      <c r="G712" s="1677">
        <v>4.4000000000000004</v>
      </c>
      <c r="H712" s="1669">
        <f t="shared" si="102"/>
        <v>5660.2999999999993</v>
      </c>
      <c r="I712" s="1669">
        <f t="shared" si="103"/>
        <v>1163.8000000000002</v>
      </c>
      <c r="J712" s="1669">
        <f>SUM(H712:I712)</f>
        <v>6824.0999999999995</v>
      </c>
      <c r="K712" s="1708"/>
      <c r="L712" s="1721"/>
      <c r="M712" s="1710" t="s">
        <v>1016</v>
      </c>
      <c r="N712" s="1711" t="s">
        <v>659</v>
      </c>
    </row>
    <row r="713" spans="1:14" ht="24" customHeight="1">
      <c r="A713" s="1712"/>
      <c r="B713" s="1673" t="s">
        <v>139</v>
      </c>
      <c r="C713" s="1674" t="s">
        <v>89</v>
      </c>
      <c r="D713" s="1675">
        <v>117.7</v>
      </c>
      <c r="E713" s="1676" t="s">
        <v>87</v>
      </c>
      <c r="F713" s="1677">
        <v>21.4</v>
      </c>
      <c r="G713" s="1677">
        <v>3.6</v>
      </c>
      <c r="H713" s="1669">
        <f t="shared" si="102"/>
        <v>2518.7799999999997</v>
      </c>
      <c r="I713" s="1669">
        <f t="shared" si="103"/>
        <v>423.72</v>
      </c>
      <c r="J713" s="1669">
        <f>SUM(H713:I713)</f>
        <v>2942.5</v>
      </c>
      <c r="K713" s="1708"/>
      <c r="L713" s="1721"/>
      <c r="M713" s="1710" t="s">
        <v>1016</v>
      </c>
      <c r="N713" s="1711" t="s">
        <v>659</v>
      </c>
    </row>
    <row r="714" spans="1:14" ht="24" customHeight="1">
      <c r="A714" s="1712"/>
      <c r="B714" s="1673" t="s">
        <v>139</v>
      </c>
      <c r="C714" s="1674" t="s">
        <v>90</v>
      </c>
      <c r="D714" s="1675">
        <v>433.5</v>
      </c>
      <c r="E714" s="1676" t="s">
        <v>87</v>
      </c>
      <c r="F714" s="1677">
        <v>21.2</v>
      </c>
      <c r="G714" s="1677">
        <v>3.6</v>
      </c>
      <c r="H714" s="1669">
        <f t="shared" si="102"/>
        <v>9190.1999999999989</v>
      </c>
      <c r="I714" s="1669">
        <f t="shared" si="103"/>
        <v>1560.6000000000001</v>
      </c>
      <c r="J714" s="1669">
        <f>SUM(H714:I714)</f>
        <v>10750.8</v>
      </c>
      <c r="K714" s="1708"/>
      <c r="L714" s="1721"/>
      <c r="M714" s="1710" t="s">
        <v>1016</v>
      </c>
      <c r="N714" s="1711" t="s">
        <v>659</v>
      </c>
    </row>
    <row r="715" spans="1:14" ht="24" customHeight="1">
      <c r="A715" s="1712"/>
      <c r="B715" s="1673" t="s">
        <v>139</v>
      </c>
      <c r="C715" s="1674" t="s">
        <v>200</v>
      </c>
      <c r="D715" s="1675">
        <f>SUM(D712:D714)*0.03</f>
        <v>24.471</v>
      </c>
      <c r="E715" s="1676" t="s">
        <v>87</v>
      </c>
      <c r="F715" s="1677">
        <v>25.83</v>
      </c>
      <c r="G715" s="1677">
        <v>0</v>
      </c>
      <c r="H715" s="1669">
        <f t="shared" si="102"/>
        <v>632.08592999999996</v>
      </c>
      <c r="I715" s="1669">
        <f t="shared" si="103"/>
        <v>0</v>
      </c>
      <c r="J715" s="1669">
        <f>SUM(H715:I715)</f>
        <v>632.08592999999996</v>
      </c>
      <c r="K715" s="1708"/>
      <c r="L715" s="1721"/>
      <c r="M715" s="1710" t="s">
        <v>1019</v>
      </c>
      <c r="N715" s="1711"/>
    </row>
    <row r="716" spans="1:14" s="1685" customFormat="1" ht="24" customHeight="1">
      <c r="A716" s="1712"/>
      <c r="B716" s="2368" t="s">
        <v>1051</v>
      </c>
      <c r="C716" s="2370"/>
      <c r="D716" s="1675"/>
      <c r="E716" s="1676"/>
      <c r="F716" s="1669"/>
      <c r="G716" s="1669"/>
      <c r="H716" s="1669"/>
      <c r="I716" s="1669"/>
      <c r="J716" s="1669"/>
      <c r="K716" s="1708"/>
      <c r="L716" s="1721"/>
      <c r="M716" s="1711"/>
      <c r="N716" s="1711"/>
    </row>
    <row r="717" spans="1:14" s="1685" customFormat="1" ht="24" customHeight="1">
      <c r="A717" s="1712"/>
      <c r="B717" s="2368" t="s">
        <v>1052</v>
      </c>
      <c r="C717" s="2370"/>
      <c r="D717" s="1675"/>
      <c r="E717" s="1676"/>
      <c r="F717" s="1669"/>
      <c r="G717" s="1669"/>
      <c r="H717" s="1669"/>
      <c r="I717" s="1669"/>
      <c r="J717" s="1669"/>
      <c r="K717" s="1708"/>
      <c r="L717" s="1721"/>
      <c r="M717" s="1711"/>
      <c r="N717" s="1711"/>
    </row>
    <row r="718" spans="1:14" ht="24" customHeight="1">
      <c r="A718" s="1712"/>
      <c r="B718" s="1673" t="s">
        <v>139</v>
      </c>
      <c r="C718" s="1674" t="s">
        <v>228</v>
      </c>
      <c r="D718" s="1675">
        <v>4.5</v>
      </c>
      <c r="E718" s="1676" t="s">
        <v>85</v>
      </c>
      <c r="F718" s="1736">
        <v>2679.9</v>
      </c>
      <c r="G718" s="1736">
        <v>519</v>
      </c>
      <c r="H718" s="1669">
        <f t="shared" ref="H718:H729" si="105">F718*D718</f>
        <v>12059.550000000001</v>
      </c>
      <c r="I718" s="1669">
        <f t="shared" ref="I718:I729" si="106">G718*D718</f>
        <v>2335.5</v>
      </c>
      <c r="J718" s="1669">
        <f t="shared" ref="J718:J724" si="107">SUM(H718:I718)</f>
        <v>14395.050000000001</v>
      </c>
      <c r="K718" s="1708"/>
      <c r="L718" s="1721"/>
      <c r="M718" s="1710" t="s">
        <v>1016</v>
      </c>
      <c r="N718" s="1711" t="s">
        <v>664</v>
      </c>
    </row>
    <row r="719" spans="1:14" ht="24" customHeight="1">
      <c r="A719" s="1712"/>
      <c r="B719" s="2368" t="s">
        <v>1053</v>
      </c>
      <c r="C719" s="2370"/>
      <c r="D719" s="1675">
        <v>20.8</v>
      </c>
      <c r="E719" s="1676"/>
      <c r="F719" s="1669"/>
      <c r="G719" s="1669"/>
      <c r="H719" s="1669"/>
      <c r="I719" s="1669"/>
      <c r="J719" s="1669"/>
      <c r="K719" s="1708"/>
      <c r="L719" s="1721"/>
      <c r="M719" s="1711"/>
      <c r="N719" s="1711"/>
    </row>
    <row r="720" spans="1:14" ht="24" customHeight="1">
      <c r="A720" s="1712"/>
      <c r="B720" s="1673" t="s">
        <v>139</v>
      </c>
      <c r="C720" s="1674" t="s">
        <v>1784</v>
      </c>
      <c r="D720" s="1675">
        <f>D719</f>
        <v>20.8</v>
      </c>
      <c r="E720" s="1676" t="s">
        <v>86</v>
      </c>
      <c r="F720" s="1669"/>
      <c r="G720" s="1669">
        <v>121</v>
      </c>
      <c r="H720" s="1669">
        <f t="shared" si="105"/>
        <v>0</v>
      </c>
      <c r="I720" s="1669">
        <f t="shared" si="106"/>
        <v>2516.8000000000002</v>
      </c>
      <c r="J720" s="1669">
        <f t="shared" si="107"/>
        <v>2516.8000000000002</v>
      </c>
      <c r="K720" s="1708"/>
      <c r="L720" s="1721"/>
      <c r="M720" s="1710" t="s">
        <v>1017</v>
      </c>
      <c r="N720" s="1711" t="s">
        <v>664</v>
      </c>
    </row>
    <row r="721" spans="1:14" ht="24" customHeight="1">
      <c r="A721" s="1712"/>
      <c r="B721" s="1673" t="s">
        <v>139</v>
      </c>
      <c r="C721" s="1674" t="s">
        <v>198</v>
      </c>
      <c r="D721" s="1675">
        <f>D719*0.5</f>
        <v>10.4</v>
      </c>
      <c r="E721" s="1676" t="s">
        <v>164</v>
      </c>
      <c r="F721" s="1669">
        <v>400</v>
      </c>
      <c r="G721" s="1669"/>
      <c r="H721" s="1669">
        <f t="shared" si="105"/>
        <v>4160</v>
      </c>
      <c r="I721" s="1669">
        <f t="shared" si="106"/>
        <v>0</v>
      </c>
      <c r="J721" s="1669">
        <f t="shared" si="107"/>
        <v>4160</v>
      </c>
      <c r="K721" s="1708"/>
      <c r="L721" s="1721"/>
      <c r="M721" s="1710" t="s">
        <v>1018</v>
      </c>
      <c r="N721" s="1711"/>
    </row>
    <row r="722" spans="1:14" ht="24" customHeight="1">
      <c r="A722" s="1712"/>
      <c r="B722" s="1673" t="s">
        <v>139</v>
      </c>
      <c r="C722" s="1674" t="s">
        <v>1782</v>
      </c>
      <c r="D722" s="1675">
        <f>D721*0.3</f>
        <v>3.12</v>
      </c>
      <c r="E722" s="1676" t="s">
        <v>164</v>
      </c>
      <c r="F722" s="1669">
        <v>400</v>
      </c>
      <c r="G722" s="1669">
        <v>0</v>
      </c>
      <c r="H722" s="1669">
        <f t="shared" si="105"/>
        <v>1248</v>
      </c>
      <c r="I722" s="1669">
        <f t="shared" si="106"/>
        <v>0</v>
      </c>
      <c r="J722" s="1669">
        <f t="shared" si="107"/>
        <v>1248</v>
      </c>
      <c r="K722" s="1708"/>
      <c r="L722" s="1721"/>
      <c r="M722" s="1710" t="s">
        <v>1018</v>
      </c>
      <c r="N722" s="1711"/>
    </row>
    <row r="723" spans="1:14" ht="24" customHeight="1">
      <c r="A723" s="1712"/>
      <c r="B723" s="1673" t="s">
        <v>139</v>
      </c>
      <c r="C723" s="1674" t="s">
        <v>163</v>
      </c>
      <c r="D723" s="1675">
        <f>D719</f>
        <v>20.8</v>
      </c>
      <c r="E723" s="1676" t="s">
        <v>83</v>
      </c>
      <c r="F723" s="1669">
        <v>28</v>
      </c>
      <c r="G723" s="1669">
        <v>0</v>
      </c>
      <c r="H723" s="1669">
        <f t="shared" si="105"/>
        <v>582.4</v>
      </c>
      <c r="I723" s="1669">
        <f t="shared" si="106"/>
        <v>0</v>
      </c>
      <c r="J723" s="1669">
        <f t="shared" si="107"/>
        <v>582.4</v>
      </c>
      <c r="K723" s="1708"/>
      <c r="L723" s="1721"/>
      <c r="M723" s="1710" t="s">
        <v>1018</v>
      </c>
      <c r="N723" s="1711"/>
    </row>
    <row r="724" spans="1:14" ht="24" customHeight="1">
      <c r="A724" s="1712"/>
      <c r="B724" s="1673" t="s">
        <v>139</v>
      </c>
      <c r="C724" s="1674" t="s">
        <v>1781</v>
      </c>
      <c r="D724" s="1675">
        <f>D719*0.25</f>
        <v>5.2</v>
      </c>
      <c r="E724" s="1676" t="s">
        <v>87</v>
      </c>
      <c r="F724" s="1736">
        <v>23.89</v>
      </c>
      <c r="G724" s="1736">
        <v>0</v>
      </c>
      <c r="H724" s="1669">
        <f t="shared" si="105"/>
        <v>124.22800000000001</v>
      </c>
      <c r="I724" s="1669">
        <f t="shared" si="106"/>
        <v>0</v>
      </c>
      <c r="J724" s="1669">
        <f t="shared" si="107"/>
        <v>124.22800000000001</v>
      </c>
      <c r="K724" s="1708"/>
      <c r="L724" s="1721"/>
      <c r="M724" s="1710" t="s">
        <v>660</v>
      </c>
      <c r="N724" s="1711"/>
    </row>
    <row r="725" spans="1:14" ht="24" customHeight="1">
      <c r="A725" s="1702"/>
      <c r="B725" s="2369" t="s">
        <v>1054</v>
      </c>
      <c r="C725" s="2373"/>
      <c r="D725" s="1705"/>
      <c r="E725" s="1706"/>
      <c r="F725" s="1707"/>
      <c r="G725" s="1707"/>
      <c r="H725" s="1707"/>
      <c r="I725" s="1707"/>
      <c r="J725" s="1707"/>
      <c r="K725" s="1709"/>
      <c r="L725" s="1721"/>
      <c r="M725" s="1711"/>
      <c r="N725" s="1711"/>
    </row>
    <row r="726" spans="1:14" ht="24" customHeight="1">
      <c r="A726" s="1712"/>
      <c r="B726" s="1673" t="s">
        <v>139</v>
      </c>
      <c r="C726" s="1674" t="s">
        <v>88</v>
      </c>
      <c r="D726" s="1675">
        <v>168</v>
      </c>
      <c r="E726" s="1676" t="s">
        <v>87</v>
      </c>
      <c r="F726" s="1677">
        <v>21.4</v>
      </c>
      <c r="G726" s="1677">
        <v>4.4000000000000004</v>
      </c>
      <c r="H726" s="1669">
        <f t="shared" si="105"/>
        <v>3595.2</v>
      </c>
      <c r="I726" s="1669">
        <f t="shared" si="106"/>
        <v>739.2</v>
      </c>
      <c r="J726" s="1669">
        <f>SUM(H726:I726)</f>
        <v>4334.3999999999996</v>
      </c>
      <c r="K726" s="1708"/>
      <c r="L726" s="1721"/>
      <c r="M726" s="1710" t="s">
        <v>1016</v>
      </c>
      <c r="N726" s="1711" t="s">
        <v>659</v>
      </c>
    </row>
    <row r="727" spans="1:14" ht="24" customHeight="1">
      <c r="A727" s="1664"/>
      <c r="B727" s="1665" t="s">
        <v>139</v>
      </c>
      <c r="C727" s="1666" t="s">
        <v>89</v>
      </c>
      <c r="D727" s="1667">
        <v>72.900000000000006</v>
      </c>
      <c r="E727" s="1668" t="s">
        <v>87</v>
      </c>
      <c r="F727" s="1744">
        <v>21.4</v>
      </c>
      <c r="G727" s="1744">
        <v>3.6</v>
      </c>
      <c r="H727" s="1670">
        <f t="shared" si="105"/>
        <v>1560.06</v>
      </c>
      <c r="I727" s="1670">
        <f t="shared" si="106"/>
        <v>262.44000000000005</v>
      </c>
      <c r="J727" s="1670">
        <f>SUM(H727:I727)</f>
        <v>1822.5</v>
      </c>
      <c r="K727" s="1746"/>
      <c r="L727" s="1721"/>
      <c r="M727" s="1710" t="s">
        <v>1016</v>
      </c>
      <c r="N727" s="1711" t="s">
        <v>659</v>
      </c>
    </row>
    <row r="728" spans="1:14" ht="24" customHeight="1">
      <c r="A728" s="1664"/>
      <c r="B728" s="1665" t="s">
        <v>139</v>
      </c>
      <c r="C728" s="1666" t="s">
        <v>90</v>
      </c>
      <c r="D728" s="1667">
        <v>221.2</v>
      </c>
      <c r="E728" s="1668" t="s">
        <v>87</v>
      </c>
      <c r="F728" s="1744">
        <v>21.2</v>
      </c>
      <c r="G728" s="1744">
        <v>3.6</v>
      </c>
      <c r="H728" s="1670">
        <f t="shared" si="105"/>
        <v>4689.4399999999996</v>
      </c>
      <c r="I728" s="1670">
        <f t="shared" si="106"/>
        <v>796.31999999999994</v>
      </c>
      <c r="J728" s="1670">
        <f>SUM(H728:I728)</f>
        <v>5485.7599999999993</v>
      </c>
      <c r="K728" s="1746"/>
      <c r="L728" s="1721"/>
      <c r="M728" s="1710" t="s">
        <v>1016</v>
      </c>
      <c r="N728" s="1711" t="s">
        <v>659</v>
      </c>
    </row>
    <row r="729" spans="1:14" ht="24" customHeight="1">
      <c r="A729" s="1664"/>
      <c r="B729" s="1665" t="s">
        <v>139</v>
      </c>
      <c r="C729" s="1666" t="s">
        <v>200</v>
      </c>
      <c r="D729" s="1667">
        <f>SUM(D726:D728)*0.03</f>
        <v>13.863</v>
      </c>
      <c r="E729" s="1668" t="s">
        <v>87</v>
      </c>
      <c r="F729" s="1744">
        <v>25.83</v>
      </c>
      <c r="G729" s="1744">
        <v>0</v>
      </c>
      <c r="H729" s="1670">
        <f t="shared" si="105"/>
        <v>358.08128999999997</v>
      </c>
      <c r="I729" s="1670">
        <f t="shared" si="106"/>
        <v>0</v>
      </c>
      <c r="J729" s="1670">
        <f>SUM(H729:I729)</f>
        <v>358.08128999999997</v>
      </c>
      <c r="K729" s="1746"/>
      <c r="L729" s="1721"/>
      <c r="M729" s="1710" t="s">
        <v>1019</v>
      </c>
      <c r="N729" s="1711"/>
    </row>
    <row r="730" spans="1:14" ht="24" customHeight="1">
      <c r="A730" s="1780"/>
      <c r="B730" s="1780"/>
      <c r="C730" s="1827" t="s">
        <v>133</v>
      </c>
      <c r="D730" s="2365"/>
      <c r="E730" s="2365"/>
      <c r="F730" s="2365"/>
      <c r="G730" s="2365"/>
      <c r="H730" s="2365"/>
      <c r="I730" s="2365"/>
      <c r="J730" s="2365"/>
      <c r="K730" s="2365"/>
      <c r="L730" s="1721"/>
      <c r="M730" s="1710"/>
      <c r="N730" s="1711"/>
    </row>
    <row r="731" spans="1:14" ht="24" customHeight="1">
      <c r="A731" s="1780"/>
      <c r="B731" s="2366" t="s">
        <v>1769</v>
      </c>
      <c r="C731" s="2366"/>
      <c r="D731" s="1828"/>
      <c r="E731" s="1769"/>
      <c r="F731" s="1828"/>
      <c r="G731" s="1828" t="s">
        <v>134</v>
      </c>
      <c r="H731" s="1828"/>
      <c r="I731" s="1828"/>
      <c r="J731" s="1828"/>
      <c r="K731" s="1828"/>
      <c r="L731" s="1721"/>
      <c r="M731" s="1710"/>
      <c r="N731" s="1711"/>
    </row>
    <row r="732" spans="1:14" ht="24" customHeight="1">
      <c r="A732" s="1780"/>
      <c r="B732" s="2367" t="s">
        <v>1970</v>
      </c>
      <c r="C732" s="2367"/>
      <c r="D732" s="1831"/>
      <c r="E732" s="1832"/>
      <c r="F732" s="1833"/>
      <c r="G732" s="1833" t="s">
        <v>1971</v>
      </c>
      <c r="H732" s="1833"/>
      <c r="I732" s="1833"/>
      <c r="J732" s="1833"/>
      <c r="K732" s="1833"/>
      <c r="L732" s="1721"/>
      <c r="M732" s="1710"/>
      <c r="N732" s="1711"/>
    </row>
    <row r="733" spans="1:14" ht="24" customHeight="1">
      <c r="A733" s="1830"/>
      <c r="B733" s="1828" t="s">
        <v>2031</v>
      </c>
      <c r="C733" s="1830"/>
      <c r="D733" s="1830"/>
      <c r="E733" s="1830"/>
      <c r="F733" s="1830"/>
      <c r="G733" s="1828" t="s">
        <v>2031</v>
      </c>
      <c r="H733" s="1830"/>
      <c r="I733" s="1830"/>
      <c r="J733" s="1830"/>
      <c r="K733" s="1830"/>
      <c r="L733" s="1721"/>
      <c r="M733" s="1710"/>
      <c r="N733" s="1711"/>
    </row>
    <row r="734" spans="1:14" ht="24" customHeight="1">
      <c r="B734" s="1721" t="s">
        <v>1984</v>
      </c>
      <c r="C734" s="1830"/>
      <c r="D734" s="1685"/>
      <c r="E734" s="1685"/>
      <c r="G734" s="1721" t="s">
        <v>1985</v>
      </c>
      <c r="H734" s="1685"/>
      <c r="I734" s="1685"/>
      <c r="J734" s="1685"/>
      <c r="K734" s="1685"/>
      <c r="L734" s="1721"/>
      <c r="M734" s="1710"/>
      <c r="N734" s="1711"/>
    </row>
    <row r="735" spans="1:14" ht="24" customHeight="1">
      <c r="B735" s="1828" t="s">
        <v>670</v>
      </c>
      <c r="L735" s="1721"/>
      <c r="M735" s="1710"/>
      <c r="N735" s="1711"/>
    </row>
    <row r="736" spans="1:14" ht="24" customHeight="1">
      <c r="B736" s="1721" t="s">
        <v>1972</v>
      </c>
      <c r="L736" s="1721"/>
      <c r="M736" s="1710"/>
      <c r="N736" s="1711"/>
    </row>
    <row r="737" spans="1:14" s="1685" customFormat="1" ht="24" customHeight="1">
      <c r="A737" s="1712"/>
      <c r="B737" s="2368" t="s">
        <v>1055</v>
      </c>
      <c r="C737" s="2370"/>
      <c r="D737" s="1675"/>
      <c r="E737" s="1676"/>
      <c r="F737" s="1669"/>
      <c r="G737" s="1669"/>
      <c r="H737" s="1669"/>
      <c r="I737" s="1669"/>
      <c r="J737" s="1669"/>
      <c r="K737" s="1708"/>
      <c r="L737" s="1721"/>
      <c r="M737" s="1711"/>
      <c r="N737" s="1711"/>
    </row>
    <row r="738" spans="1:14" s="1685" customFormat="1" ht="24" customHeight="1">
      <c r="A738" s="1712"/>
      <c r="B738" s="2368" t="s">
        <v>1056</v>
      </c>
      <c r="C738" s="2370"/>
      <c r="D738" s="1675"/>
      <c r="E738" s="1676"/>
      <c r="F738" s="1669"/>
      <c r="G738" s="1669"/>
      <c r="H738" s="1669"/>
      <c r="I738" s="1669"/>
      <c r="J738" s="1669"/>
      <c r="K738" s="1708"/>
      <c r="L738" s="1721"/>
      <c r="M738" s="1711"/>
      <c r="N738" s="1711"/>
    </row>
    <row r="739" spans="1:14" ht="24" customHeight="1">
      <c r="A739" s="1712"/>
      <c r="B739" s="1673" t="s">
        <v>139</v>
      </c>
      <c r="C739" s="1674" t="s">
        <v>228</v>
      </c>
      <c r="D739" s="1675">
        <v>4.5</v>
      </c>
      <c r="E739" s="1676" t="s">
        <v>85</v>
      </c>
      <c r="F739" s="1736">
        <v>2679.9</v>
      </c>
      <c r="G739" s="1736">
        <v>519</v>
      </c>
      <c r="H739" s="1669">
        <f t="shared" ref="H739:H750" si="108">F739*D739</f>
        <v>12059.550000000001</v>
      </c>
      <c r="I739" s="1669">
        <f t="shared" ref="I739:I750" si="109">G739*D739</f>
        <v>2335.5</v>
      </c>
      <c r="J739" s="1669">
        <f t="shared" ref="J739:J745" si="110">SUM(H739:I739)</f>
        <v>14395.050000000001</v>
      </c>
      <c r="K739" s="1708"/>
      <c r="L739" s="1721"/>
      <c r="M739" s="1710" t="s">
        <v>1016</v>
      </c>
      <c r="N739" s="1711" t="s">
        <v>664</v>
      </c>
    </row>
    <row r="740" spans="1:14" ht="24" customHeight="1">
      <c r="A740" s="1712"/>
      <c r="B740" s="2368" t="s">
        <v>1057</v>
      </c>
      <c r="C740" s="2370"/>
      <c r="D740" s="1675">
        <v>22.9</v>
      </c>
      <c r="E740" s="1676"/>
      <c r="F740" s="1669"/>
      <c r="G740" s="1669"/>
      <c r="H740" s="1669"/>
      <c r="I740" s="1669"/>
      <c r="J740" s="1669"/>
      <c r="K740" s="1708"/>
      <c r="L740" s="1721"/>
      <c r="M740" s="1711"/>
      <c r="N740" s="1711"/>
    </row>
    <row r="741" spans="1:14" ht="24" customHeight="1">
      <c r="A741" s="1712"/>
      <c r="B741" s="1673" t="s">
        <v>139</v>
      </c>
      <c r="C741" s="1674" t="s">
        <v>1784</v>
      </c>
      <c r="D741" s="1675">
        <f>D740</f>
        <v>22.9</v>
      </c>
      <c r="E741" s="1676" t="s">
        <v>86</v>
      </c>
      <c r="F741" s="1669"/>
      <c r="G741" s="1669">
        <v>121</v>
      </c>
      <c r="H741" s="1669">
        <f t="shared" si="108"/>
        <v>0</v>
      </c>
      <c r="I741" s="1669">
        <f t="shared" si="109"/>
        <v>2770.8999999999996</v>
      </c>
      <c r="J741" s="1669">
        <f t="shared" si="110"/>
        <v>2770.8999999999996</v>
      </c>
      <c r="K741" s="1708"/>
      <c r="L741" s="1721"/>
      <c r="M741" s="1710" t="s">
        <v>1017</v>
      </c>
      <c r="N741" s="1711" t="s">
        <v>664</v>
      </c>
    </row>
    <row r="742" spans="1:14" ht="24" customHeight="1">
      <c r="A742" s="1702"/>
      <c r="B742" s="1703" t="s">
        <v>139</v>
      </c>
      <c r="C742" s="1743" t="s">
        <v>198</v>
      </c>
      <c r="D742" s="1705">
        <f>D740*0.5</f>
        <v>11.45</v>
      </c>
      <c r="E742" s="1706" t="s">
        <v>164</v>
      </c>
      <c r="F742" s="1707">
        <v>400</v>
      </c>
      <c r="G742" s="1707"/>
      <c r="H742" s="1707">
        <f t="shared" si="108"/>
        <v>4580</v>
      </c>
      <c r="I742" s="1707">
        <f t="shared" si="109"/>
        <v>0</v>
      </c>
      <c r="J742" s="1707">
        <f t="shared" si="110"/>
        <v>4580</v>
      </c>
      <c r="K742" s="1709"/>
      <c r="L742" s="1721"/>
      <c r="M742" s="1710" t="s">
        <v>1018</v>
      </c>
      <c r="N742" s="1711"/>
    </row>
    <row r="743" spans="1:14" ht="24" customHeight="1">
      <c r="A743" s="1712"/>
      <c r="B743" s="1673" t="s">
        <v>139</v>
      </c>
      <c r="C743" s="1674" t="s">
        <v>1782</v>
      </c>
      <c r="D743" s="1675">
        <f>D742*0.3</f>
        <v>3.4349999999999996</v>
      </c>
      <c r="E743" s="1676" t="s">
        <v>164</v>
      </c>
      <c r="F743" s="1669">
        <v>400</v>
      </c>
      <c r="G743" s="1669">
        <v>0</v>
      </c>
      <c r="H743" s="1669">
        <f t="shared" si="108"/>
        <v>1373.9999999999998</v>
      </c>
      <c r="I743" s="1669">
        <f t="shared" si="109"/>
        <v>0</v>
      </c>
      <c r="J743" s="1669">
        <f t="shared" si="110"/>
        <v>1373.9999999999998</v>
      </c>
      <c r="K743" s="1708"/>
      <c r="L743" s="1721"/>
      <c r="M743" s="1710" t="s">
        <v>1018</v>
      </c>
      <c r="N743" s="1711"/>
    </row>
    <row r="744" spans="1:14" ht="24" customHeight="1">
      <c r="A744" s="1712"/>
      <c r="B744" s="1673" t="s">
        <v>139</v>
      </c>
      <c r="C744" s="1674" t="s">
        <v>163</v>
      </c>
      <c r="D744" s="1675">
        <f>D740</f>
        <v>22.9</v>
      </c>
      <c r="E744" s="1676" t="s">
        <v>83</v>
      </c>
      <c r="F744" s="1669">
        <v>28</v>
      </c>
      <c r="G744" s="1669">
        <v>0</v>
      </c>
      <c r="H744" s="1669">
        <f t="shared" si="108"/>
        <v>641.19999999999993</v>
      </c>
      <c r="I744" s="1669">
        <f t="shared" si="109"/>
        <v>0</v>
      </c>
      <c r="J744" s="1669">
        <f t="shared" si="110"/>
        <v>641.19999999999993</v>
      </c>
      <c r="K744" s="1708"/>
      <c r="L744" s="1721"/>
      <c r="M744" s="1710" t="s">
        <v>1018</v>
      </c>
      <c r="N744" s="1711"/>
    </row>
    <row r="745" spans="1:14" ht="24" customHeight="1">
      <c r="A745" s="1712"/>
      <c r="B745" s="1673" t="s">
        <v>139</v>
      </c>
      <c r="C745" s="1674" t="s">
        <v>1781</v>
      </c>
      <c r="D745" s="1675">
        <f>D740*0.25</f>
        <v>5.7249999999999996</v>
      </c>
      <c r="E745" s="1676" t="s">
        <v>87</v>
      </c>
      <c r="F745" s="1736">
        <v>23.89</v>
      </c>
      <c r="G745" s="1736">
        <v>0</v>
      </c>
      <c r="H745" s="1669">
        <f t="shared" si="108"/>
        <v>136.77025</v>
      </c>
      <c r="I745" s="1669">
        <f t="shared" si="109"/>
        <v>0</v>
      </c>
      <c r="J745" s="1669">
        <f t="shared" si="110"/>
        <v>136.77025</v>
      </c>
      <c r="K745" s="1708"/>
      <c r="L745" s="1721"/>
      <c r="M745" s="1710" t="s">
        <v>660</v>
      </c>
      <c r="N745" s="1711"/>
    </row>
    <row r="746" spans="1:14" ht="24" customHeight="1">
      <c r="A746" s="1712"/>
      <c r="B746" s="2368" t="s">
        <v>1058</v>
      </c>
      <c r="C746" s="2370"/>
      <c r="D746" s="1675"/>
      <c r="E746" s="1676"/>
      <c r="F746" s="1669"/>
      <c r="G746" s="1669"/>
      <c r="H746" s="1669"/>
      <c r="I746" s="1669"/>
      <c r="J746" s="1669"/>
      <c r="K746" s="1708"/>
      <c r="L746" s="1721"/>
      <c r="M746" s="1711"/>
      <c r="N746" s="1711"/>
    </row>
    <row r="747" spans="1:14" ht="24" customHeight="1">
      <c r="A747" s="1712"/>
      <c r="B747" s="1673" t="s">
        <v>139</v>
      </c>
      <c r="C747" s="1674" t="s">
        <v>88</v>
      </c>
      <c r="D747" s="1675">
        <v>182.4</v>
      </c>
      <c r="E747" s="1676" t="s">
        <v>87</v>
      </c>
      <c r="F747" s="1677">
        <v>21.4</v>
      </c>
      <c r="G747" s="1677">
        <v>4.4000000000000004</v>
      </c>
      <c r="H747" s="1669">
        <f t="shared" si="108"/>
        <v>3903.3599999999997</v>
      </c>
      <c r="I747" s="1669">
        <f t="shared" si="109"/>
        <v>802.56000000000006</v>
      </c>
      <c r="J747" s="1669">
        <f>SUM(H747:I747)</f>
        <v>4705.92</v>
      </c>
      <c r="K747" s="1708"/>
      <c r="L747" s="1721"/>
      <c r="M747" s="1710" t="s">
        <v>1016</v>
      </c>
      <c r="N747" s="1711" t="s">
        <v>659</v>
      </c>
    </row>
    <row r="748" spans="1:14" ht="24" customHeight="1">
      <c r="A748" s="1712"/>
      <c r="B748" s="1673" t="s">
        <v>139</v>
      </c>
      <c r="C748" s="1674" t="s">
        <v>89</v>
      </c>
      <c r="D748" s="1675">
        <v>94.8</v>
      </c>
      <c r="E748" s="1676" t="s">
        <v>87</v>
      </c>
      <c r="F748" s="1677">
        <v>21.4</v>
      </c>
      <c r="G748" s="1677">
        <v>3.6</v>
      </c>
      <c r="H748" s="1669">
        <f t="shared" si="108"/>
        <v>2028.7199999999998</v>
      </c>
      <c r="I748" s="1669">
        <f t="shared" si="109"/>
        <v>341.28</v>
      </c>
      <c r="J748" s="1669">
        <f>SUM(H748:I748)</f>
        <v>2370</v>
      </c>
      <c r="K748" s="1708"/>
      <c r="L748" s="1721"/>
      <c r="M748" s="1710" t="s">
        <v>1016</v>
      </c>
      <c r="N748" s="1711" t="s">
        <v>659</v>
      </c>
    </row>
    <row r="749" spans="1:14" ht="24" customHeight="1">
      <c r="A749" s="1712"/>
      <c r="B749" s="1665" t="s">
        <v>139</v>
      </c>
      <c r="C749" s="1666" t="s">
        <v>90</v>
      </c>
      <c r="D749" s="1667">
        <v>245.7</v>
      </c>
      <c r="E749" s="1668" t="s">
        <v>87</v>
      </c>
      <c r="F749" s="1744">
        <v>21.2</v>
      </c>
      <c r="G749" s="1744">
        <v>3.6</v>
      </c>
      <c r="H749" s="1669">
        <f t="shared" si="108"/>
        <v>5208.8399999999992</v>
      </c>
      <c r="I749" s="1669">
        <f t="shared" si="109"/>
        <v>884.52</v>
      </c>
      <c r="J749" s="1669">
        <f>SUM(H749:I749)</f>
        <v>6093.3599999999988</v>
      </c>
      <c r="K749" s="1708"/>
      <c r="L749" s="1721"/>
      <c r="M749" s="1710" t="s">
        <v>1016</v>
      </c>
      <c r="N749" s="1711" t="s">
        <v>659</v>
      </c>
    </row>
    <row r="750" spans="1:14" ht="24" customHeight="1">
      <c r="A750" s="1672"/>
      <c r="B750" s="1673" t="s">
        <v>139</v>
      </c>
      <c r="C750" s="1674" t="s">
        <v>200</v>
      </c>
      <c r="D750" s="1675">
        <f>SUM(D747:D749)*0.03</f>
        <v>15.686999999999999</v>
      </c>
      <c r="E750" s="1676" t="s">
        <v>87</v>
      </c>
      <c r="F750" s="1677">
        <v>25.83</v>
      </c>
      <c r="G750" s="1677">
        <v>0</v>
      </c>
      <c r="H750" s="1678">
        <f t="shared" si="108"/>
        <v>405.19520999999997</v>
      </c>
      <c r="I750" s="1669">
        <f t="shared" si="109"/>
        <v>0</v>
      </c>
      <c r="J750" s="1669">
        <f>SUM(H750:I750)</f>
        <v>405.19520999999997</v>
      </c>
      <c r="K750" s="1708"/>
      <c r="L750" s="1721"/>
      <c r="M750" s="1710" t="s">
        <v>1019</v>
      </c>
      <c r="N750" s="1711"/>
    </row>
    <row r="751" spans="1:14" s="1781" customFormat="1" ht="24" customHeight="1">
      <c r="A751" s="1773"/>
      <c r="B751" s="2371" t="s">
        <v>390</v>
      </c>
      <c r="C751" s="2371"/>
      <c r="D751" s="1774"/>
      <c r="E751" s="1775"/>
      <c r="F751" s="1776"/>
      <c r="G751" s="1777"/>
      <c r="H751" s="1778"/>
      <c r="I751" s="1745"/>
      <c r="J751" s="1745"/>
      <c r="K751" s="1746"/>
      <c r="L751" s="1721"/>
      <c r="M751" s="1779"/>
      <c r="N751" s="1780"/>
    </row>
    <row r="752" spans="1:14" s="1769" customFormat="1" ht="24" customHeight="1">
      <c r="A752" s="1737"/>
      <c r="B752" s="1672" t="s">
        <v>107</v>
      </c>
      <c r="C752" s="1764" t="s">
        <v>1064</v>
      </c>
      <c r="D752" s="1765">
        <v>2267</v>
      </c>
      <c r="E752" s="1766" t="s">
        <v>87</v>
      </c>
      <c r="F752" s="1767">
        <v>31</v>
      </c>
      <c r="G752" s="1767">
        <v>10</v>
      </c>
      <c r="H752" s="1736">
        <f>+F752*D752</f>
        <v>70277</v>
      </c>
      <c r="I752" s="1736">
        <f>+G752*D752</f>
        <v>22670</v>
      </c>
      <c r="J752" s="1736">
        <f>+H752+I752</f>
        <v>92947</v>
      </c>
      <c r="K752" s="1708"/>
      <c r="L752" s="1721"/>
      <c r="M752" s="1763" t="s">
        <v>1016</v>
      </c>
      <c r="N752" s="1711" t="s">
        <v>659</v>
      </c>
    </row>
    <row r="753" spans="1:14" s="1769" customFormat="1" ht="24" customHeight="1">
      <c r="A753" s="1737"/>
      <c r="B753" s="1672" t="s">
        <v>107</v>
      </c>
      <c r="C753" s="1764" t="s">
        <v>1862</v>
      </c>
      <c r="D753" s="1765">
        <v>322</v>
      </c>
      <c r="E753" s="1766" t="s">
        <v>87</v>
      </c>
      <c r="F753" s="1767">
        <v>31</v>
      </c>
      <c r="G753" s="1767">
        <v>10</v>
      </c>
      <c r="H753" s="1736">
        <f>+F753*D753</f>
        <v>9982</v>
      </c>
      <c r="I753" s="1736">
        <f>+G753*D753</f>
        <v>3220</v>
      </c>
      <c r="J753" s="1736">
        <f>+H753+I753</f>
        <v>13202</v>
      </c>
      <c r="K753" s="1708"/>
      <c r="L753" s="1721"/>
      <c r="M753" s="1763" t="s">
        <v>1016</v>
      </c>
      <c r="N753" s="1711" t="s">
        <v>659</v>
      </c>
    </row>
    <row r="754" spans="1:14" s="1769" customFormat="1" ht="24" customHeight="1">
      <c r="A754" s="1737"/>
      <c r="B754" s="1672" t="s">
        <v>107</v>
      </c>
      <c r="C754" s="1764" t="s">
        <v>1065</v>
      </c>
      <c r="D754" s="1765">
        <v>1612</v>
      </c>
      <c r="E754" s="1766" t="s">
        <v>87</v>
      </c>
      <c r="F754" s="1767">
        <v>31</v>
      </c>
      <c r="G754" s="1767">
        <v>10</v>
      </c>
      <c r="H754" s="1736">
        <f>+F754*D754</f>
        <v>49972</v>
      </c>
      <c r="I754" s="1736">
        <f>+G754*D754</f>
        <v>16120</v>
      </c>
      <c r="J754" s="1736">
        <f>+H754+I754</f>
        <v>66092</v>
      </c>
      <c r="K754" s="1708"/>
      <c r="L754" s="1721"/>
      <c r="M754" s="1710" t="s">
        <v>1021</v>
      </c>
      <c r="N754" s="1768">
        <v>79.099999999999994</v>
      </c>
    </row>
    <row r="755" spans="1:14" ht="24" customHeight="1">
      <c r="A755" s="1712"/>
      <c r="B755" s="1673" t="s">
        <v>107</v>
      </c>
      <c r="C755" s="1713" t="s">
        <v>424</v>
      </c>
      <c r="D755" s="1675">
        <v>124</v>
      </c>
      <c r="E755" s="1676" t="s">
        <v>86</v>
      </c>
      <c r="F755" s="1669">
        <v>53</v>
      </c>
      <c r="G755" s="1669">
        <v>30</v>
      </c>
      <c r="H755" s="1669">
        <f>F755*D755</f>
        <v>6572</v>
      </c>
      <c r="I755" s="1669">
        <f>G755*D755</f>
        <v>3720</v>
      </c>
      <c r="J755" s="1669">
        <f>SUM(H755:I755)</f>
        <v>10292</v>
      </c>
      <c r="K755" s="1761"/>
      <c r="M755" s="1763" t="s">
        <v>643</v>
      </c>
      <c r="N755" s="1711" t="s">
        <v>664</v>
      </c>
    </row>
    <row r="756" spans="1:14" ht="24" customHeight="1">
      <c r="A756" s="1702"/>
      <c r="B756" s="2369" t="s">
        <v>1030</v>
      </c>
      <c r="C756" s="2373"/>
      <c r="D756" s="1705"/>
      <c r="E756" s="1706"/>
      <c r="F756" s="1707"/>
      <c r="G756" s="1707"/>
      <c r="H756" s="1707"/>
      <c r="I756" s="1707"/>
      <c r="J756" s="1707"/>
      <c r="K756" s="1709"/>
      <c r="L756" s="1721"/>
      <c r="M756" s="1711"/>
      <c r="N756" s="1711"/>
    </row>
    <row r="757" spans="1:14" ht="24" customHeight="1">
      <c r="A757" s="1712"/>
      <c r="B757" s="2368" t="s">
        <v>1031</v>
      </c>
      <c r="C757" s="2370"/>
      <c r="D757" s="1675"/>
      <c r="E757" s="1676"/>
      <c r="F757" s="1669"/>
      <c r="G757" s="1669"/>
      <c r="H757" s="1669"/>
      <c r="I757" s="1669"/>
      <c r="J757" s="1669"/>
      <c r="K757" s="1708"/>
      <c r="L757" s="1721"/>
      <c r="M757" s="1711"/>
      <c r="N757" s="1711"/>
    </row>
    <row r="758" spans="1:14" ht="24" customHeight="1">
      <c r="A758" s="1712"/>
      <c r="B758" s="1673" t="s">
        <v>139</v>
      </c>
      <c r="C758" s="1713" t="s">
        <v>228</v>
      </c>
      <c r="D758" s="1675">
        <v>15.9</v>
      </c>
      <c r="E758" s="1676" t="s">
        <v>85</v>
      </c>
      <c r="F758" s="1669">
        <v>2679.9</v>
      </c>
      <c r="G758" s="1669">
        <v>519</v>
      </c>
      <c r="H758" s="1669">
        <f t="shared" ref="H758:H780" si="111">F758*D758</f>
        <v>42610.41</v>
      </c>
      <c r="I758" s="1669">
        <f t="shared" ref="I758:I780" si="112">G758*D758</f>
        <v>8252.1</v>
      </c>
      <c r="J758" s="1669">
        <f t="shared" ref="J758:J764" si="113">SUM(H758:I758)</f>
        <v>50862.51</v>
      </c>
      <c r="K758" s="1761"/>
      <c r="M758" s="1763" t="s">
        <v>1016</v>
      </c>
      <c r="N758" s="1711" t="s">
        <v>659</v>
      </c>
    </row>
    <row r="759" spans="1:14" ht="24" customHeight="1">
      <c r="A759" s="1702"/>
      <c r="B759" s="2369" t="s">
        <v>1033</v>
      </c>
      <c r="C759" s="2373"/>
      <c r="D759" s="1705">
        <v>65.400000000000006</v>
      </c>
      <c r="E759" s="1706"/>
      <c r="F759" s="1707"/>
      <c r="G759" s="1707"/>
      <c r="H759" s="1707"/>
      <c r="I759" s="1707"/>
      <c r="J759" s="1707"/>
      <c r="K759" s="1709"/>
      <c r="L759" s="1721"/>
      <c r="M759" s="1711"/>
      <c r="N759" s="1711"/>
    </row>
    <row r="760" spans="1:14" ht="24" customHeight="1">
      <c r="A760" s="1712"/>
      <c r="B760" s="1673" t="s">
        <v>139</v>
      </c>
      <c r="C760" s="1674" t="s">
        <v>1784</v>
      </c>
      <c r="D760" s="1675">
        <f>D759</f>
        <v>65.400000000000006</v>
      </c>
      <c r="E760" s="1676" t="s">
        <v>86</v>
      </c>
      <c r="F760" s="1736">
        <v>0</v>
      </c>
      <c r="G760" s="1669">
        <v>121</v>
      </c>
      <c r="H760" s="1669">
        <f t="shared" si="111"/>
        <v>0</v>
      </c>
      <c r="I760" s="1669">
        <f t="shared" si="112"/>
        <v>7913.4000000000005</v>
      </c>
      <c r="J760" s="1669">
        <f t="shared" si="113"/>
        <v>7913.4000000000005</v>
      </c>
      <c r="K760" s="1708"/>
      <c r="L760" s="1721"/>
      <c r="M760" s="1710" t="s">
        <v>1017</v>
      </c>
      <c r="N760" s="1711" t="s">
        <v>659</v>
      </c>
    </row>
    <row r="761" spans="1:14" ht="24" customHeight="1">
      <c r="A761" s="1712"/>
      <c r="B761" s="1673" t="s">
        <v>139</v>
      </c>
      <c r="C761" s="1674" t="s">
        <v>198</v>
      </c>
      <c r="D761" s="1675">
        <f>D759*0.5</f>
        <v>32.700000000000003</v>
      </c>
      <c r="E761" s="1676" t="s">
        <v>164</v>
      </c>
      <c r="F761" s="1736">
        <v>400</v>
      </c>
      <c r="G761" s="1736">
        <v>0</v>
      </c>
      <c r="H761" s="1669">
        <f t="shared" si="111"/>
        <v>13080.000000000002</v>
      </c>
      <c r="I761" s="1669">
        <f t="shared" si="112"/>
        <v>0</v>
      </c>
      <c r="J761" s="1669">
        <f t="shared" si="113"/>
        <v>13080.000000000002</v>
      </c>
      <c r="K761" s="1708"/>
      <c r="L761" s="1721"/>
      <c r="M761" s="1710" t="s">
        <v>1018</v>
      </c>
      <c r="N761" s="1711"/>
    </row>
    <row r="762" spans="1:14" ht="24" customHeight="1">
      <c r="A762" s="1712"/>
      <c r="B762" s="1673" t="s">
        <v>139</v>
      </c>
      <c r="C762" s="1674" t="s">
        <v>1782</v>
      </c>
      <c r="D762" s="1675">
        <f>D761*0.3</f>
        <v>9.81</v>
      </c>
      <c r="E762" s="1676" t="s">
        <v>164</v>
      </c>
      <c r="F762" s="1736">
        <v>400</v>
      </c>
      <c r="G762" s="1736">
        <v>0</v>
      </c>
      <c r="H762" s="1669">
        <f t="shared" si="111"/>
        <v>3924</v>
      </c>
      <c r="I762" s="1669">
        <f t="shared" si="112"/>
        <v>0</v>
      </c>
      <c r="J762" s="1669">
        <f t="shared" si="113"/>
        <v>3924</v>
      </c>
      <c r="K762" s="1708"/>
      <c r="L762" s="1721"/>
      <c r="M762" s="1710" t="s">
        <v>1018</v>
      </c>
      <c r="N762" s="1685"/>
    </row>
    <row r="763" spans="1:14" s="1685" customFormat="1" ht="24" customHeight="1">
      <c r="A763" s="1712"/>
      <c r="B763" s="1673" t="s">
        <v>139</v>
      </c>
      <c r="C763" s="1674" t="s">
        <v>163</v>
      </c>
      <c r="D763" s="1675">
        <f>D759</f>
        <v>65.400000000000006</v>
      </c>
      <c r="E763" s="1676" t="s">
        <v>83</v>
      </c>
      <c r="F763" s="1736">
        <v>28</v>
      </c>
      <c r="G763" s="1736">
        <v>0</v>
      </c>
      <c r="H763" s="1669">
        <f t="shared" si="111"/>
        <v>1831.2000000000003</v>
      </c>
      <c r="I763" s="1669">
        <f t="shared" si="112"/>
        <v>0</v>
      </c>
      <c r="J763" s="1669">
        <f t="shared" si="113"/>
        <v>1831.2000000000003</v>
      </c>
      <c r="K763" s="1708"/>
      <c r="L763" s="1721"/>
      <c r="M763" s="1710" t="s">
        <v>1018</v>
      </c>
    </row>
    <row r="764" spans="1:14" s="1685" customFormat="1" ht="24" customHeight="1">
      <c r="A764" s="1712"/>
      <c r="B764" s="1673" t="s">
        <v>139</v>
      </c>
      <c r="C764" s="1674" t="s">
        <v>1781</v>
      </c>
      <c r="D764" s="1675">
        <f>D759*0.25</f>
        <v>16.350000000000001</v>
      </c>
      <c r="E764" s="1676" t="s">
        <v>87</v>
      </c>
      <c r="F764" s="1736">
        <v>23.89</v>
      </c>
      <c r="G764" s="1736">
        <v>0</v>
      </c>
      <c r="H764" s="1669">
        <f t="shared" si="111"/>
        <v>390.60150000000004</v>
      </c>
      <c r="I764" s="1669">
        <f t="shared" si="112"/>
        <v>0</v>
      </c>
      <c r="J764" s="1669">
        <f t="shared" si="113"/>
        <v>390.60150000000004</v>
      </c>
      <c r="K764" s="1708"/>
      <c r="L764" s="1721"/>
      <c r="M764" s="1710" t="s">
        <v>660</v>
      </c>
    </row>
    <row r="765" spans="1:14" s="1685" customFormat="1" ht="24" customHeight="1">
      <c r="A765" s="1712"/>
      <c r="B765" s="2368" t="s">
        <v>1032</v>
      </c>
      <c r="C765" s="2370"/>
      <c r="D765" s="1675"/>
      <c r="E765" s="1676"/>
      <c r="F765" s="1669"/>
      <c r="G765" s="1669"/>
      <c r="H765" s="1669"/>
      <c r="I765" s="1669"/>
      <c r="J765" s="1669"/>
      <c r="K765" s="1708"/>
      <c r="L765" s="1721"/>
      <c r="M765" s="1711"/>
      <c r="N765" s="1711"/>
    </row>
    <row r="766" spans="1:14" s="1685" customFormat="1" ht="24" customHeight="1">
      <c r="A766" s="1780"/>
      <c r="B766" s="1780"/>
      <c r="C766" s="1827" t="s">
        <v>133</v>
      </c>
      <c r="D766" s="2365"/>
      <c r="E766" s="2365"/>
      <c r="F766" s="2365"/>
      <c r="G766" s="2365"/>
      <c r="H766" s="2365"/>
      <c r="I766" s="2365"/>
      <c r="J766" s="2365"/>
      <c r="K766" s="2365"/>
      <c r="L766" s="1721"/>
      <c r="M766" s="1711"/>
      <c r="N766" s="1711"/>
    </row>
    <row r="767" spans="1:14" s="1685" customFormat="1" ht="24" customHeight="1">
      <c r="A767" s="1780"/>
      <c r="B767" s="2366" t="s">
        <v>1769</v>
      </c>
      <c r="C767" s="2366"/>
      <c r="D767" s="1828"/>
      <c r="E767" s="1769"/>
      <c r="F767" s="1828"/>
      <c r="G767" s="1828" t="s">
        <v>134</v>
      </c>
      <c r="H767" s="1828"/>
      <c r="I767" s="1828"/>
      <c r="J767" s="1828"/>
      <c r="K767" s="1828"/>
      <c r="L767" s="1721"/>
      <c r="M767" s="1711"/>
      <c r="N767" s="1711"/>
    </row>
    <row r="768" spans="1:14" s="1685" customFormat="1" ht="24" customHeight="1">
      <c r="A768" s="1780"/>
      <c r="B768" s="2367" t="s">
        <v>1970</v>
      </c>
      <c r="C768" s="2367"/>
      <c r="D768" s="1831"/>
      <c r="E768" s="1832"/>
      <c r="F768" s="1833"/>
      <c r="G768" s="1833" t="s">
        <v>1971</v>
      </c>
      <c r="H768" s="1833"/>
      <c r="I768" s="1833"/>
      <c r="J768" s="1833"/>
      <c r="K768" s="1833"/>
      <c r="L768" s="1721"/>
      <c r="M768" s="1711"/>
      <c r="N768" s="1711"/>
    </row>
    <row r="769" spans="1:14" s="1685" customFormat="1" ht="24" customHeight="1">
      <c r="A769" s="1830"/>
      <c r="B769" s="1828" t="s">
        <v>2031</v>
      </c>
      <c r="C769" s="1830"/>
      <c r="D769" s="1830"/>
      <c r="E769" s="1830"/>
      <c r="F769" s="1830"/>
      <c r="G769" s="1828" t="s">
        <v>2031</v>
      </c>
      <c r="H769" s="1830"/>
      <c r="I769" s="1830"/>
      <c r="J769" s="1830"/>
      <c r="K769" s="1830"/>
      <c r="L769" s="1721"/>
      <c r="M769" s="1711"/>
      <c r="N769" s="1711"/>
    </row>
    <row r="770" spans="1:14" s="1685" customFormat="1" ht="24" customHeight="1">
      <c r="B770" s="1721" t="s">
        <v>1984</v>
      </c>
      <c r="C770" s="1830"/>
      <c r="G770" s="1721" t="s">
        <v>1985</v>
      </c>
      <c r="L770" s="1721"/>
      <c r="M770" s="1711"/>
      <c r="N770" s="1711"/>
    </row>
    <row r="771" spans="1:14" s="1685" customFormat="1" ht="24" customHeight="1">
      <c r="B771" s="1828" t="s">
        <v>670</v>
      </c>
      <c r="D771" s="1686"/>
      <c r="E771" s="1824"/>
      <c r="G771" s="1834"/>
      <c r="H771" s="1834"/>
      <c r="I771" s="1834"/>
      <c r="J771" s="1834"/>
      <c r="K771" s="1762"/>
      <c r="L771" s="1721"/>
      <c r="M771" s="1711"/>
      <c r="N771" s="1711"/>
    </row>
    <row r="772" spans="1:14" s="1685" customFormat="1" ht="24" customHeight="1">
      <c r="B772" s="1721" t="s">
        <v>1972</v>
      </c>
      <c r="D772" s="1686"/>
      <c r="E772" s="1824"/>
      <c r="G772" s="1834"/>
      <c r="H772" s="1834"/>
      <c r="I772" s="1834"/>
      <c r="J772" s="1834"/>
      <c r="K772" s="1762"/>
      <c r="L772" s="1721"/>
      <c r="M772" s="1711"/>
      <c r="N772" s="1711"/>
    </row>
    <row r="773" spans="1:14" ht="24" customHeight="1">
      <c r="A773" s="1712"/>
      <c r="B773" s="1673" t="s">
        <v>139</v>
      </c>
      <c r="C773" s="1674" t="s">
        <v>88</v>
      </c>
      <c r="D773" s="1675">
        <v>326.3</v>
      </c>
      <c r="E773" s="1676" t="s">
        <v>87</v>
      </c>
      <c r="F773" s="1677">
        <v>21.4</v>
      </c>
      <c r="G773" s="1677">
        <v>4.4000000000000004</v>
      </c>
      <c r="H773" s="1669">
        <f t="shared" si="111"/>
        <v>6982.82</v>
      </c>
      <c r="I773" s="1669">
        <f t="shared" si="112"/>
        <v>1435.7200000000003</v>
      </c>
      <c r="J773" s="1669">
        <f t="shared" ref="J773:J780" si="114">SUM(H773:I773)</f>
        <v>8418.5400000000009</v>
      </c>
      <c r="K773" s="1708"/>
      <c r="L773" s="1721"/>
      <c r="M773" s="1710" t="s">
        <v>1016</v>
      </c>
      <c r="N773" s="1711" t="s">
        <v>659</v>
      </c>
    </row>
    <row r="774" spans="1:14" ht="24" customHeight="1">
      <c r="A774" s="1712"/>
      <c r="B774" s="1665" t="s">
        <v>139</v>
      </c>
      <c r="C774" s="1666" t="s">
        <v>89</v>
      </c>
      <c r="D774" s="1667">
        <v>833.5</v>
      </c>
      <c r="E774" s="1668" t="s">
        <v>87</v>
      </c>
      <c r="F774" s="1744">
        <v>21.4</v>
      </c>
      <c r="G774" s="1744">
        <v>3.6</v>
      </c>
      <c r="H774" s="1670">
        <f t="shared" si="111"/>
        <v>17836.899999999998</v>
      </c>
      <c r="I774" s="1670">
        <f t="shared" si="112"/>
        <v>3000.6</v>
      </c>
      <c r="J774" s="1669">
        <f t="shared" si="114"/>
        <v>20837.499999999996</v>
      </c>
      <c r="K774" s="1708"/>
      <c r="L774" s="1721"/>
      <c r="M774" s="1710" t="s">
        <v>1016</v>
      </c>
      <c r="N774" s="1711" t="s">
        <v>659</v>
      </c>
    </row>
    <row r="775" spans="1:14" ht="24" customHeight="1">
      <c r="A775" s="1672"/>
      <c r="B775" s="1673" t="s">
        <v>139</v>
      </c>
      <c r="C775" s="1674" t="s">
        <v>91</v>
      </c>
      <c r="D775" s="1675">
        <v>757.6</v>
      </c>
      <c r="E775" s="1676" t="s">
        <v>87</v>
      </c>
      <c r="F775" s="1677">
        <v>21.2</v>
      </c>
      <c r="G775" s="1677">
        <v>3.1</v>
      </c>
      <c r="H775" s="1669">
        <f t="shared" si="111"/>
        <v>16061.12</v>
      </c>
      <c r="I775" s="1669">
        <f t="shared" si="112"/>
        <v>2348.56</v>
      </c>
      <c r="J775" s="1678">
        <f t="shared" si="114"/>
        <v>18409.68</v>
      </c>
      <c r="K775" s="1708"/>
      <c r="L775" s="1721"/>
      <c r="M775" s="1710" t="s">
        <v>1016</v>
      </c>
      <c r="N775" s="1711" t="s">
        <v>659</v>
      </c>
    </row>
    <row r="776" spans="1:14" ht="24" customHeight="1">
      <c r="A776" s="1672"/>
      <c r="B776" s="1673" t="s">
        <v>139</v>
      </c>
      <c r="C776" s="1674" t="s">
        <v>200</v>
      </c>
      <c r="D776" s="1675">
        <f>SUM(D773:D775)*0.03</f>
        <v>57.521999999999998</v>
      </c>
      <c r="E776" s="1676" t="s">
        <v>87</v>
      </c>
      <c r="F776" s="1677">
        <v>25.83</v>
      </c>
      <c r="G776" s="1677">
        <v>0</v>
      </c>
      <c r="H776" s="1669">
        <f t="shared" si="111"/>
        <v>1485.7932599999999</v>
      </c>
      <c r="I776" s="1669">
        <f t="shared" si="112"/>
        <v>0</v>
      </c>
      <c r="J776" s="1678">
        <f t="shared" si="114"/>
        <v>1485.7932599999999</v>
      </c>
      <c r="K776" s="1708"/>
      <c r="L776" s="1721"/>
      <c r="M776" s="1710" t="s">
        <v>1019</v>
      </c>
      <c r="N776" s="1711"/>
    </row>
    <row r="777" spans="1:14" ht="24" customHeight="1">
      <c r="A777" s="1672"/>
      <c r="B777" s="1673" t="s">
        <v>139</v>
      </c>
      <c r="C777" s="1713" t="s">
        <v>1104</v>
      </c>
      <c r="D777" s="1675">
        <v>4140</v>
      </c>
      <c r="E777" s="1676" t="s">
        <v>87</v>
      </c>
      <c r="F777" s="1669">
        <v>38.799999999999997</v>
      </c>
      <c r="G777" s="1669">
        <v>12</v>
      </c>
      <c r="H777" s="1669">
        <f t="shared" si="111"/>
        <v>160632</v>
      </c>
      <c r="I777" s="1669">
        <f t="shared" si="112"/>
        <v>49680</v>
      </c>
      <c r="J777" s="1678">
        <f t="shared" si="114"/>
        <v>210312</v>
      </c>
      <c r="K777" s="1708"/>
      <c r="L777" s="1721"/>
      <c r="M777" s="1710" t="s">
        <v>1020</v>
      </c>
      <c r="N777" s="1711" t="s">
        <v>664</v>
      </c>
    </row>
    <row r="778" spans="1:14" ht="24" customHeight="1">
      <c r="A778" s="1712"/>
      <c r="B778" s="1703" t="s">
        <v>139</v>
      </c>
      <c r="C778" s="1704" t="s">
        <v>1105</v>
      </c>
      <c r="D778" s="1705">
        <v>410.4</v>
      </c>
      <c r="E778" s="1706" t="s">
        <v>87</v>
      </c>
      <c r="F778" s="1742">
        <v>36.4</v>
      </c>
      <c r="G778" s="1707">
        <v>12</v>
      </c>
      <c r="H778" s="1707">
        <f t="shared" si="111"/>
        <v>14938.56</v>
      </c>
      <c r="I778" s="1707">
        <f t="shared" si="112"/>
        <v>4924.7999999999993</v>
      </c>
      <c r="J778" s="1669">
        <f t="shared" si="114"/>
        <v>19863.36</v>
      </c>
      <c r="K778" s="1708"/>
      <c r="L778" s="1721"/>
      <c r="M778" s="1710" t="s">
        <v>1020</v>
      </c>
      <c r="N778" s="1711" t="s">
        <v>664</v>
      </c>
    </row>
    <row r="779" spans="1:14" ht="24" customHeight="1">
      <c r="A779" s="1712"/>
      <c r="B779" s="1673" t="s">
        <v>139</v>
      </c>
      <c r="C779" s="1713" t="s">
        <v>1207</v>
      </c>
      <c r="D779" s="1675">
        <v>155.69999999999999</v>
      </c>
      <c r="E779" s="1676" t="s">
        <v>87</v>
      </c>
      <c r="F779" s="1669">
        <v>30.1</v>
      </c>
      <c r="G779" s="1669">
        <v>12</v>
      </c>
      <c r="H779" s="1669">
        <f t="shared" si="111"/>
        <v>4686.57</v>
      </c>
      <c r="I779" s="1669">
        <f t="shared" si="112"/>
        <v>1868.3999999999999</v>
      </c>
      <c r="J779" s="1669">
        <f t="shared" si="114"/>
        <v>6554.9699999999993</v>
      </c>
      <c r="K779" s="1708"/>
      <c r="L779" s="1721"/>
      <c r="M779" s="1710" t="s">
        <v>1020</v>
      </c>
      <c r="N779" s="1711" t="s">
        <v>664</v>
      </c>
    </row>
    <row r="780" spans="1:14" ht="24" customHeight="1">
      <c r="A780" s="1712"/>
      <c r="B780" s="1673" t="s">
        <v>139</v>
      </c>
      <c r="C780" s="1674" t="s">
        <v>90</v>
      </c>
      <c r="D780" s="1675">
        <v>22.8</v>
      </c>
      <c r="E780" s="1676" t="s">
        <v>87</v>
      </c>
      <c r="F780" s="1677">
        <v>21.2</v>
      </c>
      <c r="G780" s="1677">
        <v>3.6</v>
      </c>
      <c r="H780" s="1669">
        <f t="shared" si="111"/>
        <v>483.36</v>
      </c>
      <c r="I780" s="1669">
        <f t="shared" si="112"/>
        <v>82.08</v>
      </c>
      <c r="J780" s="1669">
        <f t="shared" si="114"/>
        <v>565.44000000000005</v>
      </c>
      <c r="K780" s="1708"/>
      <c r="L780" s="1721"/>
      <c r="M780" s="1710" t="s">
        <v>1016</v>
      </c>
      <c r="N780" s="1711" t="s">
        <v>659</v>
      </c>
    </row>
    <row r="781" spans="1:14" ht="24" customHeight="1">
      <c r="A781" s="1712"/>
      <c r="B781" s="2368" t="s">
        <v>1035</v>
      </c>
      <c r="C781" s="2370"/>
      <c r="D781" s="1675"/>
      <c r="E781" s="1676"/>
      <c r="F781" s="1669"/>
      <c r="G781" s="1669"/>
      <c r="H781" s="1669"/>
      <c r="I781" s="1669"/>
      <c r="J781" s="1669"/>
      <c r="K781" s="1708"/>
      <c r="L781" s="1721"/>
      <c r="M781" s="1711"/>
      <c r="N781" s="1711"/>
    </row>
    <row r="782" spans="1:14" ht="24" customHeight="1">
      <c r="A782" s="1712"/>
      <c r="B782" s="2368" t="s">
        <v>1034</v>
      </c>
      <c r="C782" s="2370"/>
      <c r="D782" s="1675"/>
      <c r="E782" s="1676"/>
      <c r="F782" s="1669"/>
      <c r="G782" s="1669"/>
      <c r="H782" s="1669"/>
      <c r="I782" s="1669"/>
      <c r="J782" s="1669"/>
      <c r="K782" s="1708"/>
      <c r="L782" s="1721"/>
      <c r="M782" s="1711"/>
      <c r="N782" s="1711"/>
    </row>
    <row r="783" spans="1:14" ht="24" customHeight="1">
      <c r="A783" s="1712"/>
      <c r="B783" s="1673" t="s">
        <v>139</v>
      </c>
      <c r="C783" s="1674" t="s">
        <v>228</v>
      </c>
      <c r="D783" s="1675">
        <v>17</v>
      </c>
      <c r="E783" s="1676" t="s">
        <v>85</v>
      </c>
      <c r="F783" s="1736">
        <v>2679.9</v>
      </c>
      <c r="G783" s="1736">
        <v>519</v>
      </c>
      <c r="H783" s="1669">
        <f t="shared" ref="H783:H794" si="115">F783*D783</f>
        <v>45558.3</v>
      </c>
      <c r="I783" s="1669">
        <f t="shared" ref="I783:I794" si="116">G783*D783</f>
        <v>8823</v>
      </c>
      <c r="J783" s="1669">
        <f t="shared" ref="J783:J789" si="117">SUM(H783:I783)</f>
        <v>54381.3</v>
      </c>
      <c r="K783" s="1708"/>
      <c r="L783" s="1721"/>
      <c r="M783" s="1710" t="s">
        <v>1016</v>
      </c>
      <c r="N783" s="1711" t="s">
        <v>659</v>
      </c>
    </row>
    <row r="784" spans="1:14" ht="24" customHeight="1">
      <c r="A784" s="1712"/>
      <c r="B784" s="2368" t="s">
        <v>1036</v>
      </c>
      <c r="C784" s="2370"/>
      <c r="D784" s="1675">
        <v>93.9</v>
      </c>
      <c r="E784" s="1676"/>
      <c r="F784" s="1669"/>
      <c r="G784" s="1669"/>
      <c r="H784" s="1669"/>
      <c r="I784" s="1669"/>
      <c r="J784" s="1669"/>
      <c r="K784" s="1708"/>
      <c r="L784" s="1721"/>
      <c r="M784" s="1711"/>
      <c r="N784" s="1711"/>
    </row>
    <row r="785" spans="1:14" ht="24" customHeight="1">
      <c r="A785" s="1712"/>
      <c r="B785" s="1673" t="s">
        <v>139</v>
      </c>
      <c r="C785" s="1674" t="s">
        <v>1784</v>
      </c>
      <c r="D785" s="1675">
        <f>D784</f>
        <v>93.9</v>
      </c>
      <c r="E785" s="1676" t="s">
        <v>86</v>
      </c>
      <c r="F785" s="1736">
        <v>0</v>
      </c>
      <c r="G785" s="1669">
        <v>121</v>
      </c>
      <c r="H785" s="1669">
        <f t="shared" si="115"/>
        <v>0</v>
      </c>
      <c r="I785" s="1669">
        <f t="shared" si="116"/>
        <v>11361.900000000001</v>
      </c>
      <c r="J785" s="1669">
        <f t="shared" si="117"/>
        <v>11361.900000000001</v>
      </c>
      <c r="K785" s="1708"/>
      <c r="L785" s="1721"/>
      <c r="M785" s="1710" t="s">
        <v>1017</v>
      </c>
      <c r="N785" s="1711" t="s">
        <v>659</v>
      </c>
    </row>
    <row r="786" spans="1:14" ht="24" customHeight="1">
      <c r="A786" s="1664"/>
      <c r="B786" s="1665" t="s">
        <v>139</v>
      </c>
      <c r="C786" s="1666" t="s">
        <v>198</v>
      </c>
      <c r="D786" s="1667">
        <f>D784*0.5</f>
        <v>46.95</v>
      </c>
      <c r="E786" s="1668" t="s">
        <v>164</v>
      </c>
      <c r="F786" s="1745">
        <v>400</v>
      </c>
      <c r="G786" s="1745">
        <v>0</v>
      </c>
      <c r="H786" s="1670">
        <f t="shared" si="115"/>
        <v>18780</v>
      </c>
      <c r="I786" s="1670">
        <f t="shared" si="116"/>
        <v>0</v>
      </c>
      <c r="J786" s="1670">
        <f t="shared" si="117"/>
        <v>18780</v>
      </c>
      <c r="K786" s="1746"/>
      <c r="L786" s="1721"/>
      <c r="M786" s="1710" t="s">
        <v>1018</v>
      </c>
      <c r="N786" s="1711"/>
    </row>
    <row r="787" spans="1:14" ht="24" customHeight="1">
      <c r="A787" s="1712"/>
      <c r="B787" s="1673" t="s">
        <v>139</v>
      </c>
      <c r="C787" s="1674" t="s">
        <v>1782</v>
      </c>
      <c r="D787" s="1675">
        <f>D786*0.3</f>
        <v>14.085000000000001</v>
      </c>
      <c r="E787" s="1676" t="s">
        <v>164</v>
      </c>
      <c r="F787" s="1736">
        <v>400</v>
      </c>
      <c r="G787" s="1736">
        <v>0</v>
      </c>
      <c r="H787" s="1669">
        <f t="shared" si="115"/>
        <v>5634</v>
      </c>
      <c r="I787" s="1669">
        <f t="shared" si="116"/>
        <v>0</v>
      </c>
      <c r="J787" s="1669">
        <f t="shared" si="117"/>
        <v>5634</v>
      </c>
      <c r="K787" s="1708"/>
      <c r="L787" s="1721"/>
      <c r="M787" s="1710" t="s">
        <v>1018</v>
      </c>
      <c r="N787" s="1685"/>
    </row>
    <row r="788" spans="1:14" ht="24" customHeight="1">
      <c r="A788" s="1712"/>
      <c r="B788" s="1673" t="s">
        <v>139</v>
      </c>
      <c r="C788" s="1674" t="s">
        <v>163</v>
      </c>
      <c r="D788" s="1675">
        <f>D784</f>
        <v>93.9</v>
      </c>
      <c r="E788" s="1676" t="s">
        <v>83</v>
      </c>
      <c r="F788" s="1736">
        <v>28</v>
      </c>
      <c r="G788" s="1736">
        <v>0</v>
      </c>
      <c r="H788" s="1669">
        <f t="shared" si="115"/>
        <v>2629.2000000000003</v>
      </c>
      <c r="I788" s="1669">
        <f t="shared" si="116"/>
        <v>0</v>
      </c>
      <c r="J788" s="1669">
        <f t="shared" si="117"/>
        <v>2629.2000000000003</v>
      </c>
      <c r="K788" s="1708"/>
      <c r="L788" s="1721"/>
      <c r="M788" s="1710" t="s">
        <v>1018</v>
      </c>
      <c r="N788" s="1685"/>
    </row>
    <row r="789" spans="1:14" ht="24" customHeight="1">
      <c r="A789" s="1712"/>
      <c r="B789" s="1673" t="s">
        <v>139</v>
      </c>
      <c r="C789" s="1674" t="s">
        <v>1781</v>
      </c>
      <c r="D789" s="1675">
        <f>D784*0.25</f>
        <v>23.475000000000001</v>
      </c>
      <c r="E789" s="1676" t="s">
        <v>87</v>
      </c>
      <c r="F789" s="1736">
        <v>23.89</v>
      </c>
      <c r="G789" s="1736">
        <v>0</v>
      </c>
      <c r="H789" s="1669">
        <f t="shared" si="115"/>
        <v>560.81775000000005</v>
      </c>
      <c r="I789" s="1669">
        <f t="shared" si="116"/>
        <v>0</v>
      </c>
      <c r="J789" s="1669">
        <f t="shared" si="117"/>
        <v>560.81775000000005</v>
      </c>
      <c r="K789" s="1708"/>
      <c r="L789" s="1721"/>
      <c r="M789" s="1710" t="s">
        <v>660</v>
      </c>
      <c r="N789" s="1685"/>
    </row>
    <row r="790" spans="1:14" ht="24" customHeight="1">
      <c r="A790" s="1712"/>
      <c r="B790" s="1748" t="s">
        <v>1037</v>
      </c>
      <c r="C790" s="1674"/>
      <c r="D790" s="1675"/>
      <c r="E790" s="1676"/>
      <c r="F790" s="1736"/>
      <c r="G790" s="1736"/>
      <c r="H790" s="1669"/>
      <c r="I790" s="1669"/>
      <c r="J790" s="1669"/>
      <c r="K790" s="1708"/>
      <c r="L790" s="1721"/>
      <c r="M790" s="1710"/>
      <c r="N790" s="1685"/>
    </row>
    <row r="791" spans="1:14" s="1685" customFormat="1" ht="24" customHeight="1">
      <c r="A791" s="1712"/>
      <c r="B791" s="1673" t="s">
        <v>139</v>
      </c>
      <c r="C791" s="1674" t="s">
        <v>88</v>
      </c>
      <c r="D791" s="1675">
        <v>345.2</v>
      </c>
      <c r="E791" s="1676" t="s">
        <v>87</v>
      </c>
      <c r="F791" s="1677">
        <v>21.4</v>
      </c>
      <c r="G791" s="1677">
        <v>4.4000000000000004</v>
      </c>
      <c r="H791" s="1669">
        <f t="shared" si="115"/>
        <v>7387.2799999999988</v>
      </c>
      <c r="I791" s="1669">
        <f t="shared" si="116"/>
        <v>1518.88</v>
      </c>
      <c r="J791" s="1669">
        <f>SUM(H791:I791)</f>
        <v>8906.16</v>
      </c>
      <c r="K791" s="1708"/>
      <c r="L791" s="1721"/>
      <c r="M791" s="1710" t="s">
        <v>1016</v>
      </c>
      <c r="N791" s="1711" t="s">
        <v>659</v>
      </c>
    </row>
    <row r="792" spans="1:14" ht="24" customHeight="1">
      <c r="A792" s="1715"/>
      <c r="B792" s="1716" t="s">
        <v>139</v>
      </c>
      <c r="C792" s="1717" t="s">
        <v>89</v>
      </c>
      <c r="D792" s="1718">
        <v>1167.2</v>
      </c>
      <c r="E792" s="1719" t="s">
        <v>87</v>
      </c>
      <c r="F792" s="1751">
        <v>21.4</v>
      </c>
      <c r="G792" s="1751">
        <v>3.6</v>
      </c>
      <c r="H792" s="1720">
        <f t="shared" si="115"/>
        <v>24978.079999999998</v>
      </c>
      <c r="I792" s="1720">
        <f t="shared" si="116"/>
        <v>4201.92</v>
      </c>
      <c r="J792" s="1720">
        <f>SUM(H792:I792)</f>
        <v>29180</v>
      </c>
      <c r="K792" s="1709"/>
      <c r="L792" s="1721"/>
      <c r="M792" s="1710" t="s">
        <v>1016</v>
      </c>
      <c r="N792" s="1711" t="s">
        <v>659</v>
      </c>
    </row>
    <row r="793" spans="1:14" ht="24" customHeight="1">
      <c r="A793" s="1712"/>
      <c r="B793" s="1673" t="s">
        <v>139</v>
      </c>
      <c r="C793" s="1674" t="s">
        <v>91</v>
      </c>
      <c r="D793" s="1675">
        <v>628.1</v>
      </c>
      <c r="E793" s="1676" t="s">
        <v>87</v>
      </c>
      <c r="F793" s="1677">
        <v>21.2</v>
      </c>
      <c r="G793" s="1677">
        <v>3.1</v>
      </c>
      <c r="H793" s="1669">
        <f t="shared" si="115"/>
        <v>13315.72</v>
      </c>
      <c r="I793" s="1669">
        <f t="shared" si="116"/>
        <v>1947.1100000000001</v>
      </c>
      <c r="J793" s="1669">
        <f>SUM(H793:I793)</f>
        <v>15262.83</v>
      </c>
      <c r="K793" s="1708"/>
      <c r="L793" s="1721"/>
      <c r="M793" s="1710" t="s">
        <v>1016</v>
      </c>
      <c r="N793" s="1711" t="s">
        <v>659</v>
      </c>
    </row>
    <row r="794" spans="1:14" ht="24" customHeight="1">
      <c r="A794" s="1712"/>
      <c r="B794" s="1673" t="s">
        <v>139</v>
      </c>
      <c r="C794" s="1674" t="s">
        <v>200</v>
      </c>
      <c r="D794" s="1675">
        <f>SUM(D791:D793)*0.03</f>
        <v>64.215000000000003</v>
      </c>
      <c r="E794" s="1676" t="s">
        <v>87</v>
      </c>
      <c r="F794" s="1677">
        <v>25.83</v>
      </c>
      <c r="G794" s="1677">
        <v>0</v>
      </c>
      <c r="H794" s="1669">
        <f t="shared" si="115"/>
        <v>1658.67345</v>
      </c>
      <c r="I794" s="1669">
        <f t="shared" si="116"/>
        <v>0</v>
      </c>
      <c r="J794" s="1669">
        <f>SUM(H794:I794)</f>
        <v>1658.67345</v>
      </c>
      <c r="K794" s="1708"/>
      <c r="L794" s="1721"/>
      <c r="M794" s="1710" t="s">
        <v>1019</v>
      </c>
      <c r="N794" s="1711"/>
    </row>
    <row r="795" spans="1:14" ht="24" customHeight="1">
      <c r="A795" s="1780"/>
      <c r="B795" s="1780"/>
      <c r="C795" s="1827" t="s">
        <v>133</v>
      </c>
      <c r="D795" s="2365"/>
      <c r="E795" s="2365"/>
      <c r="F795" s="2365"/>
      <c r="G795" s="2365"/>
      <c r="H795" s="2365"/>
      <c r="I795" s="2365"/>
      <c r="J795" s="2365"/>
      <c r="K795" s="2365"/>
      <c r="L795" s="1721"/>
      <c r="M795" s="1710"/>
      <c r="N795" s="1711"/>
    </row>
    <row r="796" spans="1:14" ht="24" customHeight="1">
      <c r="A796" s="1780"/>
      <c r="B796" s="2366" t="s">
        <v>1769</v>
      </c>
      <c r="C796" s="2366"/>
      <c r="D796" s="1828"/>
      <c r="E796" s="1769"/>
      <c r="F796" s="1828"/>
      <c r="G796" s="1828" t="s">
        <v>134</v>
      </c>
      <c r="H796" s="1828"/>
      <c r="I796" s="1828"/>
      <c r="J796" s="1828"/>
      <c r="K796" s="1828"/>
      <c r="L796" s="1721"/>
      <c r="M796" s="1710"/>
      <c r="N796" s="1711"/>
    </row>
    <row r="797" spans="1:14" ht="24" customHeight="1">
      <c r="A797" s="1780"/>
      <c r="B797" s="2367" t="s">
        <v>1970</v>
      </c>
      <c r="C797" s="2367"/>
      <c r="D797" s="1831"/>
      <c r="E797" s="1832"/>
      <c r="F797" s="1833"/>
      <c r="G797" s="1833" t="s">
        <v>1971</v>
      </c>
      <c r="H797" s="1833"/>
      <c r="I797" s="1833"/>
      <c r="J797" s="1833"/>
      <c r="K797" s="1833"/>
      <c r="L797" s="1721"/>
      <c r="M797" s="1710"/>
      <c r="N797" s="1711"/>
    </row>
    <row r="798" spans="1:14" ht="24" customHeight="1">
      <c r="A798" s="1830"/>
      <c r="B798" s="1828" t="s">
        <v>2031</v>
      </c>
      <c r="C798" s="1830"/>
      <c r="D798" s="1830"/>
      <c r="E798" s="1830"/>
      <c r="F798" s="1830"/>
      <c r="G798" s="1828" t="s">
        <v>2031</v>
      </c>
      <c r="H798" s="1830"/>
      <c r="I798" s="1830"/>
      <c r="J798" s="1830"/>
      <c r="K798" s="1830"/>
      <c r="L798" s="1721"/>
      <c r="M798" s="1710"/>
      <c r="N798" s="1711"/>
    </row>
    <row r="799" spans="1:14" ht="24" customHeight="1">
      <c r="B799" s="1721" t="s">
        <v>1984</v>
      </c>
      <c r="C799" s="1830"/>
      <c r="D799" s="1685"/>
      <c r="E799" s="1685"/>
      <c r="G799" s="1721" t="s">
        <v>1985</v>
      </c>
      <c r="H799" s="1685"/>
      <c r="I799" s="1685"/>
      <c r="J799" s="1685"/>
      <c r="K799" s="1685"/>
      <c r="L799" s="1721"/>
      <c r="M799" s="1710"/>
      <c r="N799" s="1711"/>
    </row>
    <row r="800" spans="1:14" ht="24" customHeight="1">
      <c r="B800" s="1828" t="s">
        <v>670</v>
      </c>
      <c r="L800" s="1721"/>
      <c r="M800" s="1710"/>
      <c r="N800" s="1711"/>
    </row>
    <row r="801" spans="1:14" ht="24" customHeight="1">
      <c r="B801" s="1721" t="s">
        <v>1972</v>
      </c>
      <c r="L801" s="1721"/>
      <c r="M801" s="1710"/>
      <c r="N801" s="1711"/>
    </row>
    <row r="802" spans="1:14" ht="24" customHeight="1">
      <c r="A802" s="1712"/>
      <c r="B802" s="2368" t="s">
        <v>1038</v>
      </c>
      <c r="C802" s="2370"/>
      <c r="D802" s="1675"/>
      <c r="E802" s="1676"/>
      <c r="F802" s="1669"/>
      <c r="G802" s="1669"/>
      <c r="H802" s="1669"/>
      <c r="I802" s="1669"/>
      <c r="J802" s="1669"/>
      <c r="K802" s="1708"/>
      <c r="L802" s="1721"/>
      <c r="M802" s="1711"/>
      <c r="N802" s="1711"/>
    </row>
    <row r="803" spans="1:14" ht="24" customHeight="1">
      <c r="A803" s="1712"/>
      <c r="B803" s="2368" t="s">
        <v>1039</v>
      </c>
      <c r="C803" s="2370"/>
      <c r="D803" s="1675"/>
      <c r="E803" s="1676"/>
      <c r="F803" s="1669"/>
      <c r="G803" s="1669"/>
      <c r="H803" s="1669"/>
      <c r="I803" s="1669"/>
      <c r="J803" s="1669"/>
      <c r="K803" s="1708"/>
      <c r="L803" s="1721"/>
      <c r="M803" s="1711"/>
      <c r="N803" s="1711"/>
    </row>
    <row r="804" spans="1:14" ht="24" customHeight="1">
      <c r="A804" s="1712"/>
      <c r="B804" s="1673" t="s">
        <v>139</v>
      </c>
      <c r="C804" s="1674" t="s">
        <v>228</v>
      </c>
      <c r="D804" s="1675">
        <v>14.2</v>
      </c>
      <c r="E804" s="1676" t="s">
        <v>85</v>
      </c>
      <c r="F804" s="1736">
        <v>2679.9</v>
      </c>
      <c r="G804" s="1736">
        <v>519</v>
      </c>
      <c r="H804" s="1669">
        <f t="shared" ref="H804:H815" si="118">F804*D804</f>
        <v>38054.58</v>
      </c>
      <c r="I804" s="1669">
        <f t="shared" ref="I804:I815" si="119">G804*D804</f>
        <v>7369.7999999999993</v>
      </c>
      <c r="J804" s="1669">
        <f t="shared" ref="J804:J810" si="120">SUM(H804:I804)</f>
        <v>45424.380000000005</v>
      </c>
      <c r="K804" s="1708"/>
      <c r="L804" s="1721"/>
      <c r="M804" s="1710" t="s">
        <v>1016</v>
      </c>
      <c r="N804" s="1711" t="s">
        <v>659</v>
      </c>
    </row>
    <row r="805" spans="1:14" ht="24" customHeight="1">
      <c r="A805" s="1702"/>
      <c r="B805" s="2369" t="s">
        <v>1040</v>
      </c>
      <c r="C805" s="2373"/>
      <c r="D805" s="1705">
        <v>95</v>
      </c>
      <c r="E805" s="1706"/>
      <c r="F805" s="1707"/>
      <c r="G805" s="1707"/>
      <c r="H805" s="1707"/>
      <c r="I805" s="1707"/>
      <c r="J805" s="1707"/>
      <c r="K805" s="1708"/>
      <c r="L805" s="1721"/>
      <c r="M805" s="1711"/>
      <c r="N805" s="1711"/>
    </row>
    <row r="806" spans="1:14" ht="24" customHeight="1">
      <c r="A806" s="1712"/>
      <c r="B806" s="1673" t="s">
        <v>139</v>
      </c>
      <c r="C806" s="1674" t="s">
        <v>1784</v>
      </c>
      <c r="D806" s="1675">
        <f>D805</f>
        <v>95</v>
      </c>
      <c r="E806" s="1676" t="s">
        <v>86</v>
      </c>
      <c r="F806" s="1736">
        <v>0</v>
      </c>
      <c r="G806" s="1669">
        <v>121</v>
      </c>
      <c r="H806" s="1669">
        <f t="shared" si="118"/>
        <v>0</v>
      </c>
      <c r="I806" s="1669">
        <f t="shared" si="119"/>
        <v>11495</v>
      </c>
      <c r="J806" s="1669">
        <f t="shared" si="120"/>
        <v>11495</v>
      </c>
      <c r="K806" s="1708"/>
      <c r="L806" s="1721"/>
      <c r="M806" s="1710" t="s">
        <v>1017</v>
      </c>
      <c r="N806" s="1711" t="s">
        <v>659</v>
      </c>
    </row>
    <row r="807" spans="1:14" ht="24" customHeight="1">
      <c r="A807" s="1712"/>
      <c r="B807" s="1673" t="s">
        <v>139</v>
      </c>
      <c r="C807" s="1674" t="s">
        <v>198</v>
      </c>
      <c r="D807" s="1675">
        <f>D805*0.5</f>
        <v>47.5</v>
      </c>
      <c r="E807" s="1676" t="s">
        <v>164</v>
      </c>
      <c r="F807" s="1736">
        <v>400</v>
      </c>
      <c r="G807" s="1736">
        <v>0</v>
      </c>
      <c r="H807" s="1669">
        <f t="shared" si="118"/>
        <v>19000</v>
      </c>
      <c r="I807" s="1669">
        <f t="shared" si="119"/>
        <v>0</v>
      </c>
      <c r="J807" s="1669">
        <f t="shared" si="120"/>
        <v>19000</v>
      </c>
      <c r="K807" s="1708"/>
      <c r="L807" s="1721"/>
      <c r="M807" s="1710" t="s">
        <v>1018</v>
      </c>
      <c r="N807" s="1711"/>
    </row>
    <row r="808" spans="1:14" ht="24" customHeight="1">
      <c r="A808" s="1712"/>
      <c r="B808" s="1673" t="s">
        <v>139</v>
      </c>
      <c r="C808" s="1674" t="s">
        <v>1782</v>
      </c>
      <c r="D808" s="1675">
        <f>D807*0.3</f>
        <v>14.25</v>
      </c>
      <c r="E808" s="1676" t="s">
        <v>164</v>
      </c>
      <c r="F808" s="1736">
        <v>400</v>
      </c>
      <c r="G808" s="1736">
        <v>0</v>
      </c>
      <c r="H808" s="1669">
        <f t="shared" si="118"/>
        <v>5700</v>
      </c>
      <c r="I808" s="1669">
        <f t="shared" si="119"/>
        <v>0</v>
      </c>
      <c r="J808" s="1669">
        <f t="shared" si="120"/>
        <v>5700</v>
      </c>
      <c r="K808" s="1708"/>
      <c r="L808" s="1721"/>
      <c r="M808" s="1710" t="s">
        <v>1018</v>
      </c>
      <c r="N808" s="1685"/>
    </row>
    <row r="809" spans="1:14" ht="24" customHeight="1">
      <c r="A809" s="1712"/>
      <c r="B809" s="1673" t="s">
        <v>139</v>
      </c>
      <c r="C809" s="1674" t="s">
        <v>163</v>
      </c>
      <c r="D809" s="1675">
        <f>D805</f>
        <v>95</v>
      </c>
      <c r="E809" s="1676" t="s">
        <v>83</v>
      </c>
      <c r="F809" s="1736">
        <v>28</v>
      </c>
      <c r="G809" s="1736">
        <v>0</v>
      </c>
      <c r="H809" s="1669">
        <f t="shared" si="118"/>
        <v>2660</v>
      </c>
      <c r="I809" s="1669">
        <f t="shared" si="119"/>
        <v>0</v>
      </c>
      <c r="J809" s="1669">
        <f t="shared" si="120"/>
        <v>2660</v>
      </c>
      <c r="K809" s="1708"/>
      <c r="L809" s="1721"/>
      <c r="M809" s="1710" t="s">
        <v>1018</v>
      </c>
      <c r="N809" s="1685"/>
    </row>
    <row r="810" spans="1:14" ht="24" customHeight="1">
      <c r="A810" s="1712"/>
      <c r="B810" s="1673" t="s">
        <v>139</v>
      </c>
      <c r="C810" s="1674" t="s">
        <v>1781</v>
      </c>
      <c r="D810" s="1675">
        <f>D805*0.25</f>
        <v>23.75</v>
      </c>
      <c r="E810" s="1676" t="s">
        <v>87</v>
      </c>
      <c r="F810" s="1736">
        <v>23.89</v>
      </c>
      <c r="G810" s="1736">
        <v>0</v>
      </c>
      <c r="H810" s="1669">
        <f t="shared" si="118"/>
        <v>567.38750000000005</v>
      </c>
      <c r="I810" s="1669">
        <f t="shared" si="119"/>
        <v>0</v>
      </c>
      <c r="J810" s="1669">
        <f t="shared" si="120"/>
        <v>567.38750000000005</v>
      </c>
      <c r="K810" s="1708"/>
      <c r="L810" s="1721"/>
      <c r="M810" s="1710" t="s">
        <v>660</v>
      </c>
      <c r="N810" s="1685"/>
    </row>
    <row r="811" spans="1:14" ht="24" customHeight="1">
      <c r="A811" s="1712"/>
      <c r="B811" s="2368" t="s">
        <v>1041</v>
      </c>
      <c r="C811" s="2370"/>
      <c r="D811" s="1675"/>
      <c r="E811" s="1676"/>
      <c r="F811" s="1669"/>
      <c r="G811" s="1669"/>
      <c r="H811" s="1669"/>
      <c r="I811" s="1669"/>
      <c r="J811" s="1669"/>
      <c r="K811" s="1708"/>
      <c r="L811" s="1721"/>
      <c r="M811" s="1711"/>
      <c r="N811" s="1711"/>
    </row>
    <row r="812" spans="1:14" s="1685" customFormat="1" ht="24" customHeight="1">
      <c r="A812" s="1712"/>
      <c r="B812" s="1673" t="s">
        <v>139</v>
      </c>
      <c r="C812" s="1674" t="s">
        <v>88</v>
      </c>
      <c r="D812" s="1675">
        <v>288.60000000000002</v>
      </c>
      <c r="E812" s="1676" t="s">
        <v>87</v>
      </c>
      <c r="F812" s="1677">
        <v>21.4</v>
      </c>
      <c r="G812" s="1677">
        <v>4.4000000000000004</v>
      </c>
      <c r="H812" s="1669">
        <f t="shared" si="118"/>
        <v>6176.04</v>
      </c>
      <c r="I812" s="1669">
        <f t="shared" si="119"/>
        <v>1269.8400000000001</v>
      </c>
      <c r="J812" s="1669">
        <f>SUM(H812:I812)</f>
        <v>7445.88</v>
      </c>
      <c r="K812" s="1708"/>
      <c r="L812" s="1721"/>
      <c r="M812" s="1710" t="s">
        <v>1016</v>
      </c>
      <c r="N812" s="1711" t="s">
        <v>659</v>
      </c>
    </row>
    <row r="813" spans="1:14" ht="24" customHeight="1">
      <c r="A813" s="1712"/>
      <c r="B813" s="1665" t="s">
        <v>139</v>
      </c>
      <c r="C813" s="1666" t="s">
        <v>89</v>
      </c>
      <c r="D813" s="1675">
        <v>1118.7</v>
      </c>
      <c r="E813" s="1668" t="s">
        <v>87</v>
      </c>
      <c r="F813" s="1744">
        <v>21.4</v>
      </c>
      <c r="G813" s="1744">
        <v>3.6</v>
      </c>
      <c r="H813" s="1670">
        <f t="shared" si="118"/>
        <v>23940.18</v>
      </c>
      <c r="I813" s="1669">
        <f t="shared" si="119"/>
        <v>4027.32</v>
      </c>
      <c r="J813" s="1669">
        <f>SUM(H813:I813)</f>
        <v>27967.5</v>
      </c>
      <c r="K813" s="1708"/>
      <c r="L813" s="1721"/>
      <c r="M813" s="1710" t="s">
        <v>1016</v>
      </c>
      <c r="N813" s="1711" t="s">
        <v>659</v>
      </c>
    </row>
    <row r="814" spans="1:14" ht="24" customHeight="1">
      <c r="A814" s="1672"/>
      <c r="B814" s="1673" t="s">
        <v>139</v>
      </c>
      <c r="C814" s="1674" t="s">
        <v>1014</v>
      </c>
      <c r="D814" s="1675">
        <v>841.5</v>
      </c>
      <c r="E814" s="1676" t="s">
        <v>87</v>
      </c>
      <c r="F814" s="1677">
        <v>21.2</v>
      </c>
      <c r="G814" s="1677">
        <v>3.1</v>
      </c>
      <c r="H814" s="1669">
        <f t="shared" si="118"/>
        <v>17839.8</v>
      </c>
      <c r="I814" s="1678">
        <f t="shared" si="119"/>
        <v>2608.65</v>
      </c>
      <c r="J814" s="1669">
        <f>SUM(H814:I814)</f>
        <v>20448.45</v>
      </c>
      <c r="K814" s="1708"/>
      <c r="L814" s="1721"/>
      <c r="M814" s="1710" t="s">
        <v>1016</v>
      </c>
      <c r="N814" s="1711" t="s">
        <v>659</v>
      </c>
    </row>
    <row r="815" spans="1:14" ht="24" customHeight="1">
      <c r="A815" s="1672"/>
      <c r="B815" s="1673" t="s">
        <v>139</v>
      </c>
      <c r="C815" s="1674" t="s">
        <v>200</v>
      </c>
      <c r="D815" s="1675">
        <f>SUM(D812:D814)*0.03</f>
        <v>67.463999999999999</v>
      </c>
      <c r="E815" s="1676" t="s">
        <v>87</v>
      </c>
      <c r="F815" s="1677">
        <v>25.83</v>
      </c>
      <c r="G815" s="1677">
        <v>0</v>
      </c>
      <c r="H815" s="1669">
        <f t="shared" si="118"/>
        <v>1742.59512</v>
      </c>
      <c r="I815" s="1678">
        <f t="shared" si="119"/>
        <v>0</v>
      </c>
      <c r="J815" s="1669">
        <f>SUM(H815:I815)</f>
        <v>1742.59512</v>
      </c>
      <c r="K815" s="1708"/>
      <c r="L815" s="1721"/>
      <c r="M815" s="1710" t="s">
        <v>1019</v>
      </c>
      <c r="N815" s="1711"/>
    </row>
    <row r="816" spans="1:14" ht="24" customHeight="1">
      <c r="A816" s="1757"/>
      <c r="B816" s="1716"/>
      <c r="C816" s="1717"/>
      <c r="D816" s="1718"/>
      <c r="E816" s="1719"/>
      <c r="F816" s="1751"/>
      <c r="G816" s="1751"/>
      <c r="H816" s="1720"/>
      <c r="I816" s="1758"/>
      <c r="J816" s="1720"/>
      <c r="K816" s="1752"/>
      <c r="L816" s="1721"/>
      <c r="M816" s="1710"/>
      <c r="N816" s="1711"/>
    </row>
    <row r="817" spans="1:14" ht="24" customHeight="1" thickBot="1">
      <c r="A817" s="1722"/>
      <c r="B817" s="1753"/>
      <c r="C817" s="1724" t="str">
        <f>"รวมราคา "&amp;B626</f>
        <v>รวมราคา งานโครงสร้างชั้น 3</v>
      </c>
      <c r="D817" s="1725"/>
      <c r="E817" s="1726"/>
      <c r="F817" s="1727"/>
      <c r="G817" s="1727"/>
      <c r="H817" s="1727">
        <f>SUM(H627:H815)</f>
        <v>7082445.4340899996</v>
      </c>
      <c r="I817" s="1727">
        <f>SUM(I627:I815)</f>
        <v>2081800.0500000003</v>
      </c>
      <c r="J817" s="1727">
        <f>SUM(J627:J815)</f>
        <v>9164245.4840899985</v>
      </c>
      <c r="K817" s="1727"/>
      <c r="L817" s="1759"/>
      <c r="M817" s="1701"/>
      <c r="N817" s="1701"/>
    </row>
    <row r="818" spans="1:14" ht="24" customHeight="1" thickTop="1">
      <c r="A818" s="1730">
        <v>1.6</v>
      </c>
      <c r="B818" s="2374" t="s">
        <v>256</v>
      </c>
      <c r="C818" s="2375"/>
      <c r="D818" s="1731"/>
      <c r="E818" s="1732"/>
      <c r="F818" s="1733"/>
      <c r="G818" s="1733"/>
      <c r="H818" s="1733"/>
      <c r="I818" s="1733"/>
      <c r="J818" s="1733"/>
      <c r="K818" s="1733"/>
      <c r="L818" s="1759"/>
      <c r="M818" s="1701"/>
      <c r="N818" s="1701"/>
    </row>
    <row r="819" spans="1:14" ht="24" customHeight="1">
      <c r="A819" s="1702"/>
      <c r="B819" s="2369" t="s">
        <v>245</v>
      </c>
      <c r="C819" s="2373"/>
      <c r="D819" s="1705"/>
      <c r="E819" s="1706"/>
      <c r="F819" s="1707"/>
      <c r="G819" s="1707"/>
      <c r="H819" s="1707"/>
      <c r="I819" s="1707"/>
      <c r="J819" s="1707"/>
      <c r="K819" s="1709"/>
      <c r="L819" s="1721"/>
      <c r="M819" s="1711"/>
      <c r="N819" s="1711"/>
    </row>
    <row r="820" spans="1:14" ht="24" customHeight="1">
      <c r="A820" s="1672"/>
      <c r="B820" s="1673" t="s">
        <v>139</v>
      </c>
      <c r="C820" s="1674" t="s">
        <v>97</v>
      </c>
      <c r="D820" s="1675">
        <v>1026.3</v>
      </c>
      <c r="E820" s="1676" t="s">
        <v>86</v>
      </c>
      <c r="F820" s="1669">
        <v>430</v>
      </c>
      <c r="G820" s="1677">
        <v>0</v>
      </c>
      <c r="H820" s="1669">
        <f t="shared" ref="H820:H842" si="121">F820*D820</f>
        <v>441309</v>
      </c>
      <c r="I820" s="1678">
        <f t="shared" ref="I820:I842" si="122">G820*D820</f>
        <v>0</v>
      </c>
      <c r="J820" s="1669">
        <f t="shared" ref="J820:J828" si="123">SUM(H820:I820)</f>
        <v>441309</v>
      </c>
      <c r="K820" s="1679"/>
      <c r="L820" s="1708" t="s">
        <v>1893</v>
      </c>
      <c r="M820" s="1710" t="s">
        <v>1871</v>
      </c>
      <c r="N820" s="1711" t="s">
        <v>663</v>
      </c>
    </row>
    <row r="821" spans="1:14" ht="24" customHeight="1">
      <c r="A821" s="1672"/>
      <c r="B821" s="1748" t="s">
        <v>423</v>
      </c>
      <c r="C821" s="1674"/>
      <c r="D821" s="1675"/>
      <c r="E821" s="1676"/>
      <c r="F821" s="1677"/>
      <c r="G821" s="1677"/>
      <c r="H821" s="1669">
        <f t="shared" si="121"/>
        <v>0</v>
      </c>
      <c r="I821" s="1678">
        <f t="shared" si="122"/>
        <v>0</v>
      </c>
      <c r="J821" s="1669">
        <f t="shared" si="123"/>
        <v>0</v>
      </c>
      <c r="K821" s="1708"/>
      <c r="L821" s="1721"/>
      <c r="M821" s="1710"/>
      <c r="N821" s="1711"/>
    </row>
    <row r="822" spans="1:14" ht="24" customHeight="1">
      <c r="A822" s="1712"/>
      <c r="B822" s="1673" t="s">
        <v>139</v>
      </c>
      <c r="C822" s="1674" t="s">
        <v>228</v>
      </c>
      <c r="D822" s="1675">
        <v>266.60000000000002</v>
      </c>
      <c r="E822" s="1676" t="s">
        <v>85</v>
      </c>
      <c r="F822" s="1736">
        <v>2679.9</v>
      </c>
      <c r="G822" s="1736">
        <v>519</v>
      </c>
      <c r="H822" s="1669">
        <f t="shared" si="121"/>
        <v>714461.34000000008</v>
      </c>
      <c r="I822" s="1669">
        <f t="shared" si="122"/>
        <v>138365.40000000002</v>
      </c>
      <c r="J822" s="1669">
        <f t="shared" si="123"/>
        <v>852826.74000000011</v>
      </c>
      <c r="K822" s="1708"/>
      <c r="L822" s="1721"/>
      <c r="M822" s="1710" t="s">
        <v>1016</v>
      </c>
      <c r="N822" s="1711" t="s">
        <v>659</v>
      </c>
    </row>
    <row r="823" spans="1:14" ht="24" customHeight="1">
      <c r="A823" s="1712"/>
      <c r="B823" s="2368" t="s">
        <v>225</v>
      </c>
      <c r="C823" s="2370"/>
      <c r="D823" s="1675">
        <v>1086.5999999999999</v>
      </c>
      <c r="E823" s="1676"/>
      <c r="F823" s="1669"/>
      <c r="G823" s="1669"/>
      <c r="H823" s="1669"/>
      <c r="I823" s="1669"/>
      <c r="J823" s="1669"/>
      <c r="K823" s="1708"/>
      <c r="L823" s="1721"/>
      <c r="M823" s="1711"/>
      <c r="N823" s="1711"/>
    </row>
    <row r="824" spans="1:14" ht="24" customHeight="1">
      <c r="A824" s="1712"/>
      <c r="B824" s="1673" t="s">
        <v>139</v>
      </c>
      <c r="C824" s="1674" t="s">
        <v>1784</v>
      </c>
      <c r="D824" s="1675">
        <f>D823</f>
        <v>1086.5999999999999</v>
      </c>
      <c r="E824" s="1676" t="s">
        <v>86</v>
      </c>
      <c r="F824" s="1669"/>
      <c r="G824" s="1669">
        <v>121</v>
      </c>
      <c r="H824" s="1669">
        <f t="shared" si="121"/>
        <v>0</v>
      </c>
      <c r="I824" s="1669">
        <f t="shared" si="122"/>
        <v>131478.59999999998</v>
      </c>
      <c r="J824" s="1669">
        <f t="shared" si="123"/>
        <v>131478.59999999998</v>
      </c>
      <c r="K824" s="1708"/>
      <c r="L824" s="1721"/>
      <c r="M824" s="1710" t="s">
        <v>1017</v>
      </c>
      <c r="N824" s="1711" t="s">
        <v>659</v>
      </c>
    </row>
    <row r="825" spans="1:14" ht="24" customHeight="1">
      <c r="A825" s="1712"/>
      <c r="B825" s="1673" t="s">
        <v>139</v>
      </c>
      <c r="C825" s="1674" t="s">
        <v>198</v>
      </c>
      <c r="D825" s="1675">
        <f>D823*0.5</f>
        <v>543.29999999999995</v>
      </c>
      <c r="E825" s="1676" t="s">
        <v>164</v>
      </c>
      <c r="F825" s="1669">
        <v>400</v>
      </c>
      <c r="G825" s="1669"/>
      <c r="H825" s="1669">
        <f t="shared" si="121"/>
        <v>217319.99999999997</v>
      </c>
      <c r="I825" s="1669">
        <f t="shared" si="122"/>
        <v>0</v>
      </c>
      <c r="J825" s="1669">
        <f t="shared" si="123"/>
        <v>217319.99999999997</v>
      </c>
      <c r="K825" s="1708"/>
      <c r="L825" s="1721"/>
      <c r="M825" s="1710" t="s">
        <v>1018</v>
      </c>
      <c r="N825" s="1711"/>
    </row>
    <row r="826" spans="1:14" ht="24" customHeight="1">
      <c r="A826" s="1712"/>
      <c r="B826" s="1673" t="s">
        <v>139</v>
      </c>
      <c r="C826" s="1674" t="s">
        <v>1782</v>
      </c>
      <c r="D826" s="1675">
        <f>D825*0.3</f>
        <v>162.98999999999998</v>
      </c>
      <c r="E826" s="1676" t="s">
        <v>164</v>
      </c>
      <c r="F826" s="1669">
        <v>400</v>
      </c>
      <c r="G826" s="1669">
        <v>0</v>
      </c>
      <c r="H826" s="1669">
        <f t="shared" si="121"/>
        <v>65195.999999999993</v>
      </c>
      <c r="I826" s="1669">
        <f t="shared" si="122"/>
        <v>0</v>
      </c>
      <c r="J826" s="1669">
        <f t="shared" si="123"/>
        <v>65195.999999999993</v>
      </c>
      <c r="K826" s="1708"/>
      <c r="L826" s="1721"/>
      <c r="M826" s="1710" t="s">
        <v>1018</v>
      </c>
      <c r="N826" s="1711"/>
    </row>
    <row r="827" spans="1:14" ht="24" customHeight="1">
      <c r="A827" s="1712"/>
      <c r="B827" s="1673" t="s">
        <v>139</v>
      </c>
      <c r="C827" s="1674" t="s">
        <v>163</v>
      </c>
      <c r="D827" s="1675">
        <f>D823</f>
        <v>1086.5999999999999</v>
      </c>
      <c r="E827" s="1676" t="s">
        <v>83</v>
      </c>
      <c r="F827" s="1669">
        <v>28</v>
      </c>
      <c r="G827" s="1669">
        <v>0</v>
      </c>
      <c r="H827" s="1669">
        <f t="shared" si="121"/>
        <v>30424.799999999996</v>
      </c>
      <c r="I827" s="1669">
        <f t="shared" si="122"/>
        <v>0</v>
      </c>
      <c r="J827" s="1669">
        <f t="shared" si="123"/>
        <v>30424.799999999996</v>
      </c>
      <c r="K827" s="1708"/>
      <c r="L827" s="1721"/>
      <c r="M827" s="1710" t="s">
        <v>1018</v>
      </c>
      <c r="N827" s="1711"/>
    </row>
    <row r="828" spans="1:14" ht="24" customHeight="1">
      <c r="A828" s="1712"/>
      <c r="B828" s="1673" t="s">
        <v>139</v>
      </c>
      <c r="C828" s="1674" t="s">
        <v>1781</v>
      </c>
      <c r="D828" s="1675">
        <f>D823*0.25</f>
        <v>271.64999999999998</v>
      </c>
      <c r="E828" s="1676" t="s">
        <v>87</v>
      </c>
      <c r="F828" s="1736">
        <v>23.89</v>
      </c>
      <c r="G828" s="1736">
        <v>0</v>
      </c>
      <c r="H828" s="1669">
        <f t="shared" si="121"/>
        <v>6489.7184999999999</v>
      </c>
      <c r="I828" s="1669">
        <f t="shared" si="122"/>
        <v>0</v>
      </c>
      <c r="J828" s="1669">
        <f t="shared" si="123"/>
        <v>6489.7184999999999</v>
      </c>
      <c r="K828" s="1708"/>
      <c r="L828" s="1721"/>
      <c r="M828" s="1710" t="s">
        <v>660</v>
      </c>
      <c r="N828" s="1711"/>
    </row>
    <row r="829" spans="1:14" ht="24" customHeight="1">
      <c r="A829" s="1780"/>
      <c r="B829" s="1780"/>
      <c r="C829" s="1827" t="s">
        <v>133</v>
      </c>
      <c r="D829" s="2365"/>
      <c r="E829" s="2365"/>
      <c r="F829" s="2365"/>
      <c r="G829" s="2365"/>
      <c r="H829" s="2365"/>
      <c r="I829" s="2365"/>
      <c r="J829" s="2365"/>
      <c r="K829" s="2365"/>
      <c r="L829" s="1721"/>
      <c r="M829" s="1710"/>
      <c r="N829" s="1711"/>
    </row>
    <row r="830" spans="1:14" ht="24" customHeight="1">
      <c r="A830" s="1780"/>
      <c r="B830" s="2366" t="s">
        <v>1769</v>
      </c>
      <c r="C830" s="2366"/>
      <c r="D830" s="1828"/>
      <c r="E830" s="1769"/>
      <c r="F830" s="1828"/>
      <c r="G830" s="1828" t="s">
        <v>134</v>
      </c>
      <c r="H830" s="1828"/>
      <c r="I830" s="1828"/>
      <c r="J830" s="1828"/>
      <c r="K830" s="1828"/>
      <c r="L830" s="1721"/>
      <c r="M830" s="1710"/>
      <c r="N830" s="1711"/>
    </row>
    <row r="831" spans="1:14" ht="24" customHeight="1">
      <c r="A831" s="1780"/>
      <c r="B831" s="2367" t="s">
        <v>1970</v>
      </c>
      <c r="C831" s="2367"/>
      <c r="D831" s="1831"/>
      <c r="E831" s="1832"/>
      <c r="F831" s="1833"/>
      <c r="G831" s="1833" t="s">
        <v>1971</v>
      </c>
      <c r="H831" s="1833"/>
      <c r="I831" s="1833"/>
      <c r="J831" s="1833"/>
      <c r="K831" s="1833"/>
      <c r="L831" s="1721"/>
      <c r="M831" s="1710"/>
      <c r="N831" s="1711"/>
    </row>
    <row r="832" spans="1:14" ht="24" customHeight="1">
      <c r="A832" s="1830"/>
      <c r="B832" s="1828" t="s">
        <v>2031</v>
      </c>
      <c r="C832" s="1830"/>
      <c r="D832" s="1830"/>
      <c r="E832" s="1830"/>
      <c r="F832" s="1830"/>
      <c r="G832" s="1828" t="s">
        <v>2031</v>
      </c>
      <c r="H832" s="1830"/>
      <c r="I832" s="1830"/>
      <c r="J832" s="1830"/>
      <c r="K832" s="1830"/>
      <c r="L832" s="1721"/>
      <c r="M832" s="1710"/>
      <c r="N832" s="1711"/>
    </row>
    <row r="833" spans="1:14" ht="24" customHeight="1">
      <c r="B833" s="1721" t="s">
        <v>1984</v>
      </c>
      <c r="C833" s="1830"/>
      <c r="D833" s="1685"/>
      <c r="E833" s="1685"/>
      <c r="G833" s="1721" t="s">
        <v>1985</v>
      </c>
      <c r="H833" s="1685"/>
      <c r="I833" s="1685"/>
      <c r="J833" s="1685"/>
      <c r="K833" s="1685"/>
      <c r="L833" s="1721"/>
      <c r="M833" s="1710"/>
      <c r="N833" s="1711"/>
    </row>
    <row r="834" spans="1:14" ht="24" customHeight="1">
      <c r="B834" s="1828" t="s">
        <v>670</v>
      </c>
      <c r="L834" s="1721"/>
      <c r="M834" s="1710"/>
      <c r="N834" s="1711"/>
    </row>
    <row r="835" spans="1:14" ht="24" customHeight="1">
      <c r="B835" s="1721" t="s">
        <v>1972</v>
      </c>
      <c r="L835" s="1721"/>
      <c r="M835" s="1710"/>
      <c r="N835" s="1711"/>
    </row>
    <row r="836" spans="1:14" ht="24" customHeight="1">
      <c r="A836" s="1712"/>
      <c r="B836" s="2368" t="s">
        <v>246</v>
      </c>
      <c r="C836" s="2370"/>
      <c r="D836" s="1675"/>
      <c r="E836" s="1676"/>
      <c r="F836" s="1669"/>
      <c r="G836" s="1669"/>
      <c r="H836" s="1669"/>
      <c r="I836" s="1669"/>
      <c r="J836" s="1669"/>
      <c r="K836" s="1708"/>
      <c r="L836" s="1721"/>
      <c r="M836" s="1711"/>
      <c r="N836" s="1711"/>
    </row>
    <row r="837" spans="1:14" ht="24" customHeight="1">
      <c r="A837" s="1712"/>
      <c r="B837" s="1673" t="s">
        <v>139</v>
      </c>
      <c r="C837" s="1674" t="s">
        <v>88</v>
      </c>
      <c r="D837" s="1675">
        <v>1652.4</v>
      </c>
      <c r="E837" s="1676" t="s">
        <v>87</v>
      </c>
      <c r="F837" s="1677">
        <v>21.4</v>
      </c>
      <c r="G837" s="1677">
        <v>4.4000000000000004</v>
      </c>
      <c r="H837" s="1669">
        <f t="shared" si="121"/>
        <v>35361.360000000001</v>
      </c>
      <c r="I837" s="1669">
        <f t="shared" si="122"/>
        <v>7270.5600000000013</v>
      </c>
      <c r="J837" s="1669">
        <f t="shared" ref="J837:J842" si="124">SUM(H837:I837)</f>
        <v>42631.92</v>
      </c>
      <c r="K837" s="1708"/>
      <c r="L837" s="1721"/>
      <c r="M837" s="1710" t="s">
        <v>1016</v>
      </c>
      <c r="N837" s="1711" t="s">
        <v>659</v>
      </c>
    </row>
    <row r="838" spans="1:14" ht="24" customHeight="1">
      <c r="A838" s="1712"/>
      <c r="B838" s="1673" t="s">
        <v>139</v>
      </c>
      <c r="C838" s="1674" t="s">
        <v>89</v>
      </c>
      <c r="D838" s="1675">
        <v>30003.3</v>
      </c>
      <c r="E838" s="1676" t="s">
        <v>87</v>
      </c>
      <c r="F838" s="1677">
        <v>21.4</v>
      </c>
      <c r="G838" s="1677">
        <v>3.6</v>
      </c>
      <c r="H838" s="1669">
        <f t="shared" si="121"/>
        <v>642070.62</v>
      </c>
      <c r="I838" s="1669">
        <f t="shared" si="122"/>
        <v>108011.88</v>
      </c>
      <c r="J838" s="1669">
        <f t="shared" si="124"/>
        <v>750082.5</v>
      </c>
      <c r="K838" s="1708"/>
      <c r="L838" s="1721"/>
      <c r="M838" s="1710" t="s">
        <v>1016</v>
      </c>
      <c r="N838" s="1711" t="s">
        <v>659</v>
      </c>
    </row>
    <row r="839" spans="1:14" ht="24" customHeight="1">
      <c r="A839" s="1712"/>
      <c r="B839" s="1673" t="s">
        <v>139</v>
      </c>
      <c r="C839" s="1674" t="s">
        <v>90</v>
      </c>
      <c r="D839" s="1675">
        <v>7412.6</v>
      </c>
      <c r="E839" s="1676" t="s">
        <v>87</v>
      </c>
      <c r="F839" s="1677">
        <v>21.2</v>
      </c>
      <c r="G839" s="1677">
        <v>3.6</v>
      </c>
      <c r="H839" s="1669">
        <f t="shared" si="121"/>
        <v>157147.12</v>
      </c>
      <c r="I839" s="1669">
        <f t="shared" si="122"/>
        <v>26685.360000000001</v>
      </c>
      <c r="J839" s="1669">
        <f t="shared" si="124"/>
        <v>183832.47999999998</v>
      </c>
      <c r="K839" s="1708"/>
      <c r="L839" s="1721"/>
      <c r="M839" s="1710" t="s">
        <v>1016</v>
      </c>
      <c r="N839" s="1711" t="s">
        <v>659</v>
      </c>
    </row>
    <row r="840" spans="1:14" ht="24" customHeight="1">
      <c r="A840" s="1712"/>
      <c r="B840" s="1673" t="s">
        <v>139</v>
      </c>
      <c r="C840" s="1674" t="s">
        <v>91</v>
      </c>
      <c r="D840" s="1675">
        <v>2659.9</v>
      </c>
      <c r="E840" s="1676" t="s">
        <v>87</v>
      </c>
      <c r="F840" s="1677">
        <v>21.2</v>
      </c>
      <c r="G840" s="1677">
        <v>3.1</v>
      </c>
      <c r="H840" s="1669">
        <f t="shared" si="121"/>
        <v>56389.88</v>
      </c>
      <c r="I840" s="1669">
        <f t="shared" si="122"/>
        <v>8245.69</v>
      </c>
      <c r="J840" s="1669">
        <f t="shared" si="124"/>
        <v>64635.57</v>
      </c>
      <c r="K840" s="1708"/>
      <c r="L840" s="1721"/>
      <c r="M840" s="1710" t="s">
        <v>1016</v>
      </c>
      <c r="N840" s="1711" t="s">
        <v>659</v>
      </c>
    </row>
    <row r="841" spans="1:14" ht="24" customHeight="1">
      <c r="A841" s="1664"/>
      <c r="B841" s="1665" t="s">
        <v>139</v>
      </c>
      <c r="C841" s="1666" t="s">
        <v>1014</v>
      </c>
      <c r="D841" s="1667">
        <v>1780.4</v>
      </c>
      <c r="E841" s="1668" t="s">
        <v>87</v>
      </c>
      <c r="F841" s="1744">
        <v>21.2</v>
      </c>
      <c r="G841" s="1744">
        <v>3.1</v>
      </c>
      <c r="H841" s="1670">
        <f t="shared" si="121"/>
        <v>37744.480000000003</v>
      </c>
      <c r="I841" s="1670">
        <f t="shared" si="122"/>
        <v>5519.2400000000007</v>
      </c>
      <c r="J841" s="1670">
        <f t="shared" si="124"/>
        <v>43263.72</v>
      </c>
      <c r="K841" s="1746"/>
      <c r="L841" s="1721"/>
      <c r="M841" s="1710" t="s">
        <v>1016</v>
      </c>
      <c r="N841" s="1711" t="s">
        <v>659</v>
      </c>
    </row>
    <row r="842" spans="1:14" ht="24" customHeight="1">
      <c r="A842" s="1712"/>
      <c r="B842" s="1673" t="s">
        <v>139</v>
      </c>
      <c r="C842" s="1674" t="s">
        <v>200</v>
      </c>
      <c r="D842" s="1675">
        <f>SUM(D837:D841)*0.03</f>
        <v>1305.258</v>
      </c>
      <c r="E842" s="1676" t="s">
        <v>87</v>
      </c>
      <c r="F842" s="1677">
        <v>25.83</v>
      </c>
      <c r="G842" s="1677">
        <v>0</v>
      </c>
      <c r="H842" s="1669">
        <f t="shared" si="121"/>
        <v>33714.814140000002</v>
      </c>
      <c r="I842" s="1669">
        <f t="shared" si="122"/>
        <v>0</v>
      </c>
      <c r="J842" s="1669">
        <f t="shared" si="124"/>
        <v>33714.814140000002</v>
      </c>
      <c r="K842" s="1708"/>
      <c r="L842" s="1721"/>
      <c r="M842" s="1710" t="s">
        <v>1019</v>
      </c>
      <c r="N842" s="1711"/>
    </row>
    <row r="843" spans="1:14" ht="24" customHeight="1">
      <c r="A843" s="1712"/>
      <c r="B843" s="2368" t="s">
        <v>247</v>
      </c>
      <c r="C843" s="2370"/>
      <c r="D843" s="1675"/>
      <c r="E843" s="1676"/>
      <c r="F843" s="1669"/>
      <c r="G843" s="1669"/>
      <c r="H843" s="1669"/>
      <c r="I843" s="1669"/>
      <c r="J843" s="1669"/>
      <c r="K843" s="1708"/>
      <c r="L843" s="1721"/>
      <c r="M843" s="1711"/>
      <c r="N843" s="1711"/>
    </row>
    <row r="844" spans="1:14" ht="24" customHeight="1">
      <c r="A844" s="1712"/>
      <c r="B844" s="2368" t="s">
        <v>415</v>
      </c>
      <c r="C844" s="2370"/>
      <c r="D844" s="1675"/>
      <c r="E844" s="1676"/>
      <c r="F844" s="1669"/>
      <c r="G844" s="1669"/>
      <c r="H844" s="1669"/>
      <c r="I844" s="1669"/>
      <c r="J844" s="1669"/>
      <c r="K844" s="1708"/>
      <c r="L844" s="1721"/>
      <c r="M844" s="1711"/>
      <c r="N844" s="1711"/>
    </row>
    <row r="845" spans="1:14" ht="24" customHeight="1">
      <c r="A845" s="1702"/>
      <c r="B845" s="1703" t="s">
        <v>139</v>
      </c>
      <c r="C845" s="1743" t="s">
        <v>228</v>
      </c>
      <c r="D845" s="1705">
        <v>66.5</v>
      </c>
      <c r="E845" s="1706" t="s">
        <v>85</v>
      </c>
      <c r="F845" s="1742">
        <v>2679.9</v>
      </c>
      <c r="G845" s="1742">
        <v>519</v>
      </c>
      <c r="H845" s="1707">
        <f t="shared" ref="H845:H851" si="125">F845*D845</f>
        <v>178213.35</v>
      </c>
      <c r="I845" s="1707">
        <f t="shared" ref="I845:I851" si="126">G845*D845</f>
        <v>34513.5</v>
      </c>
      <c r="J845" s="1707">
        <f t="shared" ref="J845:J851" si="127">SUM(H845:I845)</f>
        <v>212726.85</v>
      </c>
      <c r="K845" s="1709"/>
      <c r="L845" s="1721"/>
      <c r="M845" s="1710" t="s">
        <v>1016</v>
      </c>
      <c r="N845" s="1711" t="s">
        <v>659</v>
      </c>
    </row>
    <row r="846" spans="1:14" ht="24" customHeight="1">
      <c r="A846" s="1712"/>
      <c r="B846" s="2368" t="s">
        <v>226</v>
      </c>
      <c r="C846" s="2370"/>
      <c r="D846" s="1675">
        <v>363.5</v>
      </c>
      <c r="E846" s="1676"/>
      <c r="F846" s="1736"/>
      <c r="G846" s="1736"/>
      <c r="H846" s="1669"/>
      <c r="I846" s="1669"/>
      <c r="J846" s="1669"/>
      <c r="K846" s="1708"/>
      <c r="L846" s="1721"/>
      <c r="M846" s="1711"/>
      <c r="N846" s="1711"/>
    </row>
    <row r="847" spans="1:14" ht="24" customHeight="1">
      <c r="A847" s="1712"/>
      <c r="B847" s="1673" t="s">
        <v>139</v>
      </c>
      <c r="C847" s="1674" t="s">
        <v>1784</v>
      </c>
      <c r="D847" s="1675">
        <f>D846</f>
        <v>363.5</v>
      </c>
      <c r="E847" s="1676" t="s">
        <v>86</v>
      </c>
      <c r="F847" s="1736">
        <v>0</v>
      </c>
      <c r="G847" s="1669">
        <v>121</v>
      </c>
      <c r="H847" s="1669">
        <f t="shared" si="125"/>
        <v>0</v>
      </c>
      <c r="I847" s="1669">
        <f t="shared" si="126"/>
        <v>43983.5</v>
      </c>
      <c r="J847" s="1669">
        <f t="shared" si="127"/>
        <v>43983.5</v>
      </c>
      <c r="K847" s="1708"/>
      <c r="L847" s="1721"/>
      <c r="M847" s="1710" t="s">
        <v>1017</v>
      </c>
      <c r="N847" s="1711" t="s">
        <v>659</v>
      </c>
    </row>
    <row r="848" spans="1:14" ht="24" customHeight="1">
      <c r="A848" s="1712"/>
      <c r="B848" s="1673" t="s">
        <v>139</v>
      </c>
      <c r="C848" s="1674" t="s">
        <v>198</v>
      </c>
      <c r="D848" s="1675">
        <f>D846*0.5</f>
        <v>181.75</v>
      </c>
      <c r="E848" s="1676" t="s">
        <v>164</v>
      </c>
      <c r="F848" s="1736">
        <v>400</v>
      </c>
      <c r="G848" s="1736">
        <v>0</v>
      </c>
      <c r="H848" s="1669">
        <f t="shared" si="125"/>
        <v>72700</v>
      </c>
      <c r="I848" s="1669">
        <f t="shared" si="126"/>
        <v>0</v>
      </c>
      <c r="J848" s="1669">
        <f t="shared" si="127"/>
        <v>72700</v>
      </c>
      <c r="K848" s="1708"/>
      <c r="L848" s="1721"/>
      <c r="M848" s="1710" t="s">
        <v>1018</v>
      </c>
      <c r="N848" s="1711"/>
    </row>
    <row r="849" spans="1:14" ht="24" customHeight="1">
      <c r="A849" s="1712"/>
      <c r="B849" s="1673" t="s">
        <v>139</v>
      </c>
      <c r="C849" s="1674" t="s">
        <v>1782</v>
      </c>
      <c r="D849" s="1675">
        <f>D848*0.3</f>
        <v>54.524999999999999</v>
      </c>
      <c r="E849" s="1676" t="s">
        <v>164</v>
      </c>
      <c r="F849" s="1736">
        <v>400</v>
      </c>
      <c r="G849" s="1736">
        <v>0</v>
      </c>
      <c r="H849" s="1669">
        <f t="shared" si="125"/>
        <v>21810</v>
      </c>
      <c r="I849" s="1669">
        <f t="shared" si="126"/>
        <v>0</v>
      </c>
      <c r="J849" s="1669">
        <f t="shared" si="127"/>
        <v>21810</v>
      </c>
      <c r="K849" s="1708"/>
      <c r="L849" s="1721"/>
      <c r="M849" s="1710" t="s">
        <v>1018</v>
      </c>
      <c r="N849" s="1685"/>
    </row>
    <row r="850" spans="1:14" ht="24" customHeight="1">
      <c r="A850" s="1712"/>
      <c r="B850" s="1673" t="s">
        <v>139</v>
      </c>
      <c r="C850" s="1674" t="s">
        <v>163</v>
      </c>
      <c r="D850" s="1675">
        <f>D846</f>
        <v>363.5</v>
      </c>
      <c r="E850" s="1676" t="s">
        <v>83</v>
      </c>
      <c r="F850" s="1736">
        <v>28</v>
      </c>
      <c r="G850" s="1736">
        <v>0</v>
      </c>
      <c r="H850" s="1669">
        <f t="shared" si="125"/>
        <v>10178</v>
      </c>
      <c r="I850" s="1669">
        <f t="shared" si="126"/>
        <v>0</v>
      </c>
      <c r="J850" s="1669">
        <f t="shared" si="127"/>
        <v>10178</v>
      </c>
      <c r="K850" s="1708"/>
      <c r="L850" s="1721"/>
      <c r="M850" s="1710" t="s">
        <v>1018</v>
      </c>
      <c r="N850" s="1685"/>
    </row>
    <row r="851" spans="1:14" ht="24" customHeight="1">
      <c r="A851" s="1782"/>
      <c r="B851" s="1783" t="s">
        <v>139</v>
      </c>
      <c r="C851" s="1784" t="s">
        <v>1781</v>
      </c>
      <c r="D851" s="1785">
        <f>D846*0.25</f>
        <v>90.875</v>
      </c>
      <c r="E851" s="1786" t="s">
        <v>87</v>
      </c>
      <c r="F851" s="1787">
        <v>23.89</v>
      </c>
      <c r="G851" s="1787">
        <v>0</v>
      </c>
      <c r="H851" s="1788">
        <f t="shared" si="125"/>
        <v>2171.0037499999999</v>
      </c>
      <c r="I851" s="1788">
        <f t="shared" si="126"/>
        <v>0</v>
      </c>
      <c r="J851" s="1788">
        <f t="shared" si="127"/>
        <v>2171.0037499999999</v>
      </c>
      <c r="K851" s="1789"/>
      <c r="L851" s="1721"/>
      <c r="M851" s="1710" t="s">
        <v>660</v>
      </c>
      <c r="N851" s="1685"/>
    </row>
    <row r="852" spans="1:14" ht="24" customHeight="1">
      <c r="A852" s="1702"/>
      <c r="B852" s="2369" t="s">
        <v>248</v>
      </c>
      <c r="C852" s="2373"/>
      <c r="D852" s="1705"/>
      <c r="E852" s="1706"/>
      <c r="F852" s="1707"/>
      <c r="G852" s="1707"/>
      <c r="H852" s="1707"/>
      <c r="I852" s="1707"/>
      <c r="J852" s="1707"/>
      <c r="K852" s="1709"/>
      <c r="L852" s="1721"/>
      <c r="M852" s="1711"/>
      <c r="N852" s="1711"/>
    </row>
    <row r="853" spans="1:14" ht="24" customHeight="1">
      <c r="A853" s="1664"/>
      <c r="B853" s="1665" t="s">
        <v>139</v>
      </c>
      <c r="C853" s="1666" t="s">
        <v>88</v>
      </c>
      <c r="D853" s="1667">
        <v>1868.1</v>
      </c>
      <c r="E853" s="1668" t="s">
        <v>87</v>
      </c>
      <c r="F853" s="1744">
        <v>21.4</v>
      </c>
      <c r="G853" s="1744">
        <v>4.4000000000000004</v>
      </c>
      <c r="H853" s="1670">
        <f>F853*D853</f>
        <v>39977.339999999997</v>
      </c>
      <c r="I853" s="1669">
        <f>G853*D853</f>
        <v>8219.64</v>
      </c>
      <c r="J853" s="1669">
        <f>SUM(H853:I853)</f>
        <v>48196.979999999996</v>
      </c>
      <c r="K853" s="1708"/>
      <c r="L853" s="1721"/>
      <c r="M853" s="1710" t="s">
        <v>1016</v>
      </c>
      <c r="N853" s="1711" t="s">
        <v>659</v>
      </c>
    </row>
    <row r="854" spans="1:14" s="1685" customFormat="1" ht="24" customHeight="1">
      <c r="A854" s="1712"/>
      <c r="B854" s="1673" t="s">
        <v>139</v>
      </c>
      <c r="C854" s="1674" t="s">
        <v>1014</v>
      </c>
      <c r="D854" s="1675">
        <v>8946.4</v>
      </c>
      <c r="E854" s="1676" t="s">
        <v>87</v>
      </c>
      <c r="F854" s="1677">
        <v>21.2</v>
      </c>
      <c r="G854" s="1677">
        <v>3.1</v>
      </c>
      <c r="H854" s="1669">
        <f>F854*D854</f>
        <v>189663.68</v>
      </c>
      <c r="I854" s="1678">
        <f>G854*D854</f>
        <v>27733.84</v>
      </c>
      <c r="J854" s="1669">
        <f>SUM(H854:I854)</f>
        <v>217397.52</v>
      </c>
      <c r="K854" s="1708"/>
      <c r="L854" s="1721"/>
      <c r="M854" s="1710" t="s">
        <v>1016</v>
      </c>
      <c r="N854" s="1711" t="s">
        <v>659</v>
      </c>
    </row>
    <row r="855" spans="1:14" ht="24" customHeight="1">
      <c r="A855" s="1712"/>
      <c r="B855" s="1673" t="s">
        <v>139</v>
      </c>
      <c r="C855" s="1674" t="s">
        <v>200</v>
      </c>
      <c r="D855" s="1675">
        <f>SUM(D853:D854)*0.03</f>
        <v>324.435</v>
      </c>
      <c r="E855" s="1676" t="s">
        <v>87</v>
      </c>
      <c r="F855" s="1677">
        <v>25.83</v>
      </c>
      <c r="G855" s="1677">
        <v>0</v>
      </c>
      <c r="H855" s="1669">
        <f>F855*D855</f>
        <v>8380.1560499999996</v>
      </c>
      <c r="I855" s="1678">
        <f>G855*D855</f>
        <v>0</v>
      </c>
      <c r="J855" s="1669">
        <f>SUM(H855:I855)</f>
        <v>8380.1560499999996</v>
      </c>
      <c r="K855" s="1708"/>
      <c r="L855" s="1721"/>
      <c r="M855" s="1710" t="s">
        <v>1019</v>
      </c>
      <c r="N855" s="1711"/>
    </row>
    <row r="856" spans="1:14" ht="24" customHeight="1">
      <c r="A856" s="1712"/>
      <c r="B856" s="2368" t="s">
        <v>250</v>
      </c>
      <c r="C856" s="2370"/>
      <c r="D856" s="1675"/>
      <c r="E856" s="1676"/>
      <c r="F856" s="1669"/>
      <c r="G856" s="1669"/>
      <c r="H856" s="1669"/>
      <c r="I856" s="1678"/>
      <c r="J856" s="1669"/>
      <c r="K856" s="1708"/>
      <c r="L856" s="1721"/>
      <c r="M856" s="1711"/>
      <c r="N856" s="1711"/>
    </row>
    <row r="857" spans="1:14" ht="24" customHeight="1">
      <c r="A857" s="1702"/>
      <c r="B857" s="2369" t="s">
        <v>422</v>
      </c>
      <c r="C857" s="2373"/>
      <c r="D857" s="1705"/>
      <c r="E857" s="1706"/>
      <c r="F857" s="1707"/>
      <c r="G857" s="1707"/>
      <c r="H857" s="1707"/>
      <c r="I857" s="1669"/>
      <c r="J857" s="1669"/>
      <c r="K857" s="1708"/>
      <c r="L857" s="1721"/>
      <c r="M857" s="1711"/>
      <c r="N857" s="1711"/>
    </row>
    <row r="858" spans="1:14" ht="24" customHeight="1">
      <c r="A858" s="1712"/>
      <c r="B858" s="1673" t="s">
        <v>139</v>
      </c>
      <c r="C858" s="1674" t="s">
        <v>228</v>
      </c>
      <c r="D858" s="1675">
        <v>2.6</v>
      </c>
      <c r="E858" s="1676" t="s">
        <v>85</v>
      </c>
      <c r="F858" s="1736">
        <v>2679.9</v>
      </c>
      <c r="G858" s="1736">
        <v>519</v>
      </c>
      <c r="H858" s="1669">
        <f t="shared" ref="H858:H875" si="128">F858*D858</f>
        <v>6967.7400000000007</v>
      </c>
      <c r="I858" s="1669">
        <f t="shared" ref="I858:I875" si="129">G858*D858</f>
        <v>1349.4</v>
      </c>
      <c r="J858" s="1669">
        <f t="shared" ref="J858:J875" si="130">SUM(H858:I858)</f>
        <v>8317.1400000000012</v>
      </c>
      <c r="K858" s="1708"/>
      <c r="L858" s="1721"/>
      <c r="M858" s="1710" t="s">
        <v>1016</v>
      </c>
      <c r="N858" s="1711"/>
    </row>
    <row r="859" spans="1:14" ht="24" customHeight="1">
      <c r="A859" s="1712"/>
      <c r="B859" s="2368" t="s">
        <v>227</v>
      </c>
      <c r="C859" s="2370"/>
      <c r="D859" s="1675">
        <v>28.3</v>
      </c>
      <c r="E859" s="1676"/>
      <c r="F859" s="1669"/>
      <c r="G859" s="1669"/>
      <c r="H859" s="1669"/>
      <c r="I859" s="1669"/>
      <c r="J859" s="1669"/>
      <c r="K859" s="1708"/>
      <c r="L859" s="1721"/>
      <c r="M859" s="1711"/>
      <c r="N859" s="1711"/>
    </row>
    <row r="860" spans="1:14" ht="24" customHeight="1">
      <c r="A860" s="1780"/>
      <c r="B860" s="1780"/>
      <c r="C860" s="1827" t="s">
        <v>133</v>
      </c>
      <c r="D860" s="2365"/>
      <c r="E860" s="2365"/>
      <c r="F860" s="2365"/>
      <c r="G860" s="2365"/>
      <c r="H860" s="2365"/>
      <c r="I860" s="2365"/>
      <c r="J860" s="2365"/>
      <c r="K860" s="2365"/>
      <c r="L860" s="1721"/>
      <c r="M860" s="1711"/>
      <c r="N860" s="1711"/>
    </row>
    <row r="861" spans="1:14" ht="24" customHeight="1">
      <c r="A861" s="1780"/>
      <c r="B861" s="2366" t="s">
        <v>1769</v>
      </c>
      <c r="C861" s="2366"/>
      <c r="D861" s="1828"/>
      <c r="E861" s="1769"/>
      <c r="F861" s="1828"/>
      <c r="G861" s="1828" t="s">
        <v>134</v>
      </c>
      <c r="H861" s="1828"/>
      <c r="I861" s="1828"/>
      <c r="J861" s="1828"/>
      <c r="K861" s="1828"/>
      <c r="L861" s="1721"/>
      <c r="M861" s="1711"/>
      <c r="N861" s="1711"/>
    </row>
    <row r="862" spans="1:14" ht="24" customHeight="1">
      <c r="A862" s="1780"/>
      <c r="B862" s="2367" t="s">
        <v>1970</v>
      </c>
      <c r="C862" s="2367"/>
      <c r="D862" s="1831"/>
      <c r="E862" s="1832"/>
      <c r="F862" s="1833"/>
      <c r="G862" s="1833" t="s">
        <v>1971</v>
      </c>
      <c r="H862" s="1833"/>
      <c r="I862" s="1833"/>
      <c r="J862" s="1833"/>
      <c r="K862" s="1833"/>
      <c r="L862" s="1721"/>
      <c r="M862" s="1711"/>
      <c r="N862" s="1711"/>
    </row>
    <row r="863" spans="1:14" ht="24" customHeight="1">
      <c r="A863" s="1830"/>
      <c r="B863" s="1828" t="s">
        <v>2031</v>
      </c>
      <c r="C863" s="1830"/>
      <c r="D863" s="1830"/>
      <c r="E863" s="1830"/>
      <c r="F863" s="1830"/>
      <c r="G863" s="1828" t="s">
        <v>2031</v>
      </c>
      <c r="H863" s="1830"/>
      <c r="I863" s="1830"/>
      <c r="J863" s="1830"/>
      <c r="K863" s="1830"/>
      <c r="L863" s="1721"/>
      <c r="M863" s="1711"/>
      <c r="N863" s="1711"/>
    </row>
    <row r="864" spans="1:14" ht="24" customHeight="1">
      <c r="B864" s="1721" t="s">
        <v>1984</v>
      </c>
      <c r="C864" s="1830"/>
      <c r="D864" s="1685"/>
      <c r="E864" s="1685"/>
      <c r="G864" s="1721" t="s">
        <v>1985</v>
      </c>
      <c r="H864" s="1685"/>
      <c r="I864" s="1685"/>
      <c r="J864" s="1685"/>
      <c r="K864" s="1685"/>
      <c r="L864" s="1721"/>
      <c r="M864" s="1711"/>
      <c r="N864" s="1711"/>
    </row>
    <row r="865" spans="1:14" ht="24" customHeight="1">
      <c r="B865" s="1828" t="s">
        <v>670</v>
      </c>
      <c r="L865" s="1721"/>
      <c r="M865" s="1711"/>
      <c r="N865" s="1711"/>
    </row>
    <row r="866" spans="1:14" ht="24" customHeight="1">
      <c r="B866" s="1721" t="s">
        <v>1972</v>
      </c>
      <c r="L866" s="1721"/>
      <c r="M866" s="1711"/>
      <c r="N866" s="1711"/>
    </row>
    <row r="867" spans="1:14" ht="24" customHeight="1">
      <c r="A867" s="1712"/>
      <c r="B867" s="1673" t="s">
        <v>139</v>
      </c>
      <c r="C867" s="1674" t="s">
        <v>1784</v>
      </c>
      <c r="D867" s="1675">
        <f>D859</f>
        <v>28.3</v>
      </c>
      <c r="E867" s="1676" t="s">
        <v>86</v>
      </c>
      <c r="F867" s="1669"/>
      <c r="G867" s="1669">
        <v>121</v>
      </c>
      <c r="H867" s="1669">
        <f t="shared" si="128"/>
        <v>0</v>
      </c>
      <c r="I867" s="1669">
        <f t="shared" si="129"/>
        <v>3424.3</v>
      </c>
      <c r="J867" s="1669">
        <f t="shared" si="130"/>
        <v>3424.3</v>
      </c>
      <c r="K867" s="1708"/>
      <c r="L867" s="1721"/>
      <c r="M867" s="1710" t="s">
        <v>1017</v>
      </c>
      <c r="N867" s="1711"/>
    </row>
    <row r="868" spans="1:14" ht="24" customHeight="1">
      <c r="A868" s="1712"/>
      <c r="B868" s="1673" t="s">
        <v>139</v>
      </c>
      <c r="C868" s="1674" t="s">
        <v>198</v>
      </c>
      <c r="D868" s="1675">
        <f>D859*0.5</f>
        <v>14.15</v>
      </c>
      <c r="E868" s="1676" t="s">
        <v>164</v>
      </c>
      <c r="F868" s="1669">
        <v>400</v>
      </c>
      <c r="G868" s="1669"/>
      <c r="H868" s="1669">
        <f t="shared" si="128"/>
        <v>5660</v>
      </c>
      <c r="I868" s="1669">
        <f t="shared" si="129"/>
        <v>0</v>
      </c>
      <c r="J868" s="1669">
        <f t="shared" si="130"/>
        <v>5660</v>
      </c>
      <c r="K868" s="1708"/>
      <c r="L868" s="1721"/>
      <c r="M868" s="1710" t="s">
        <v>1018</v>
      </c>
      <c r="N868" s="1711"/>
    </row>
    <row r="869" spans="1:14" ht="24" customHeight="1">
      <c r="A869" s="1712"/>
      <c r="B869" s="1673" t="s">
        <v>139</v>
      </c>
      <c r="C869" s="1674" t="s">
        <v>1782</v>
      </c>
      <c r="D869" s="1675">
        <f>D868*0.3</f>
        <v>4.2450000000000001</v>
      </c>
      <c r="E869" s="1676" t="s">
        <v>164</v>
      </c>
      <c r="F869" s="1669">
        <v>400</v>
      </c>
      <c r="G869" s="1669">
        <v>0</v>
      </c>
      <c r="H869" s="1669">
        <f t="shared" si="128"/>
        <v>1698</v>
      </c>
      <c r="I869" s="1669">
        <f t="shared" si="129"/>
        <v>0</v>
      </c>
      <c r="J869" s="1669">
        <f t="shared" si="130"/>
        <v>1698</v>
      </c>
      <c r="K869" s="1708"/>
      <c r="L869" s="1721"/>
      <c r="M869" s="1710" t="s">
        <v>1018</v>
      </c>
      <c r="N869" s="1711"/>
    </row>
    <row r="870" spans="1:14" ht="24" customHeight="1">
      <c r="A870" s="1712"/>
      <c r="B870" s="1673" t="s">
        <v>139</v>
      </c>
      <c r="C870" s="1674" t="s">
        <v>1142</v>
      </c>
      <c r="D870" s="1675">
        <v>34</v>
      </c>
      <c r="E870" s="1676" t="s">
        <v>83</v>
      </c>
      <c r="F870" s="1669">
        <v>28</v>
      </c>
      <c r="G870" s="1669">
        <v>0</v>
      </c>
      <c r="H870" s="1669">
        <f t="shared" si="128"/>
        <v>952</v>
      </c>
      <c r="I870" s="1669">
        <f t="shared" si="129"/>
        <v>0</v>
      </c>
      <c r="J870" s="1669">
        <f t="shared" si="130"/>
        <v>952</v>
      </c>
      <c r="K870" s="1708"/>
      <c r="L870" s="1721"/>
      <c r="M870" s="1710" t="s">
        <v>1018</v>
      </c>
      <c r="N870" s="1711"/>
    </row>
    <row r="871" spans="1:14" ht="24" customHeight="1">
      <c r="A871" s="1712"/>
      <c r="B871" s="1673" t="s">
        <v>139</v>
      </c>
      <c r="C871" s="1674" t="s">
        <v>1781</v>
      </c>
      <c r="D871" s="1675">
        <f>D859*0.25</f>
        <v>7.0750000000000002</v>
      </c>
      <c r="E871" s="1676" t="s">
        <v>87</v>
      </c>
      <c r="F871" s="1736">
        <v>23.89</v>
      </c>
      <c r="G871" s="1736">
        <v>0</v>
      </c>
      <c r="H871" s="1669">
        <f t="shared" si="128"/>
        <v>169.02175</v>
      </c>
      <c r="I871" s="1669">
        <f t="shared" si="129"/>
        <v>0</v>
      </c>
      <c r="J871" s="1669">
        <f t="shared" si="130"/>
        <v>169.02175</v>
      </c>
      <c r="K871" s="1708"/>
      <c r="L871" s="1721"/>
      <c r="M871" s="1710" t="s">
        <v>660</v>
      </c>
      <c r="N871" s="1711"/>
    </row>
    <row r="872" spans="1:14" ht="24" customHeight="1">
      <c r="A872" s="1712"/>
      <c r="B872" s="2368" t="s">
        <v>251</v>
      </c>
      <c r="C872" s="2370"/>
      <c r="D872" s="1675"/>
      <c r="E872" s="1676"/>
      <c r="F872" s="1669"/>
      <c r="G872" s="1669"/>
      <c r="H872" s="1669">
        <f t="shared" si="128"/>
        <v>0</v>
      </c>
      <c r="I872" s="1669">
        <f t="shared" si="129"/>
        <v>0</v>
      </c>
      <c r="J872" s="1669">
        <f t="shared" si="130"/>
        <v>0</v>
      </c>
      <c r="K872" s="1708"/>
      <c r="L872" s="1721"/>
      <c r="M872" s="1711"/>
      <c r="N872" s="1711"/>
    </row>
    <row r="873" spans="1:14" ht="24" customHeight="1">
      <c r="A873" s="1664"/>
      <c r="B873" s="1665" t="s">
        <v>139</v>
      </c>
      <c r="C873" s="1666" t="s">
        <v>88</v>
      </c>
      <c r="D873" s="1667">
        <v>138.5</v>
      </c>
      <c r="E873" s="1668" t="s">
        <v>87</v>
      </c>
      <c r="F873" s="1744">
        <v>21.4</v>
      </c>
      <c r="G873" s="1744">
        <v>4.4000000000000004</v>
      </c>
      <c r="H873" s="1670">
        <f t="shared" si="128"/>
        <v>2963.8999999999996</v>
      </c>
      <c r="I873" s="1670">
        <f t="shared" si="129"/>
        <v>609.40000000000009</v>
      </c>
      <c r="J873" s="1670">
        <f t="shared" si="130"/>
        <v>3573.2999999999997</v>
      </c>
      <c r="K873" s="1746"/>
      <c r="L873" s="1721"/>
      <c r="M873" s="1710" t="s">
        <v>1016</v>
      </c>
      <c r="N873" s="1711" t="s">
        <v>659</v>
      </c>
    </row>
    <row r="874" spans="1:14" ht="24" customHeight="1">
      <c r="A874" s="1712"/>
      <c r="B874" s="1673" t="s">
        <v>139</v>
      </c>
      <c r="C874" s="1674" t="s">
        <v>90</v>
      </c>
      <c r="D874" s="1675">
        <v>517</v>
      </c>
      <c r="E874" s="1676" t="s">
        <v>87</v>
      </c>
      <c r="F874" s="1677">
        <v>21.2</v>
      </c>
      <c r="G874" s="1677">
        <v>3.6</v>
      </c>
      <c r="H874" s="1669">
        <f t="shared" si="128"/>
        <v>10960.4</v>
      </c>
      <c r="I874" s="1669">
        <f t="shared" si="129"/>
        <v>1861.2</v>
      </c>
      <c r="J874" s="1669">
        <f t="shared" si="130"/>
        <v>12821.6</v>
      </c>
      <c r="K874" s="1708"/>
      <c r="L874" s="1721"/>
      <c r="M874" s="1710" t="s">
        <v>1016</v>
      </c>
      <c r="N874" s="1711" t="s">
        <v>659</v>
      </c>
    </row>
    <row r="875" spans="1:14" ht="24" customHeight="1">
      <c r="A875" s="1712"/>
      <c r="B875" s="1673" t="s">
        <v>139</v>
      </c>
      <c r="C875" s="1674" t="s">
        <v>200</v>
      </c>
      <c r="D875" s="1675">
        <f>SUM(D873:D874)*0.03</f>
        <v>19.664999999999999</v>
      </c>
      <c r="E875" s="1676" t="s">
        <v>87</v>
      </c>
      <c r="F875" s="1677">
        <v>25.83</v>
      </c>
      <c r="G875" s="1677">
        <v>0</v>
      </c>
      <c r="H875" s="1669">
        <f t="shared" si="128"/>
        <v>507.94694999999996</v>
      </c>
      <c r="I875" s="1669">
        <f t="shared" si="129"/>
        <v>0</v>
      </c>
      <c r="J875" s="1669">
        <f t="shared" si="130"/>
        <v>507.94694999999996</v>
      </c>
      <c r="K875" s="1708"/>
      <c r="L875" s="1721"/>
      <c r="M875" s="1710" t="s">
        <v>1019</v>
      </c>
      <c r="N875" s="1711"/>
    </row>
    <row r="876" spans="1:14" ht="24" customHeight="1">
      <c r="A876" s="1712"/>
      <c r="B876" s="2368" t="s">
        <v>249</v>
      </c>
      <c r="C876" s="2370"/>
      <c r="D876" s="1675"/>
      <c r="E876" s="1676"/>
      <c r="F876" s="1669"/>
      <c r="G876" s="1669"/>
      <c r="H876" s="1669"/>
      <c r="I876" s="1669"/>
      <c r="J876" s="1669"/>
      <c r="K876" s="1708"/>
      <c r="L876" s="1721"/>
      <c r="M876" s="1711"/>
      <c r="N876" s="1711"/>
    </row>
    <row r="877" spans="1:14" ht="24" customHeight="1">
      <c r="A877" s="1712"/>
      <c r="B877" s="2368" t="s">
        <v>394</v>
      </c>
      <c r="C877" s="2370"/>
      <c r="D877" s="1675"/>
      <c r="E877" s="1676"/>
      <c r="F877" s="1669"/>
      <c r="G877" s="1669"/>
      <c r="H877" s="1669"/>
      <c r="I877" s="1669"/>
      <c r="J877" s="1669"/>
      <c r="K877" s="1708"/>
      <c r="L877" s="1721"/>
      <c r="M877" s="1711"/>
      <c r="N877" s="1711"/>
    </row>
    <row r="878" spans="1:14" ht="24" customHeight="1">
      <c r="A878" s="1702"/>
      <c r="B878" s="2369" t="s">
        <v>416</v>
      </c>
      <c r="C878" s="2373"/>
      <c r="D878" s="1705"/>
      <c r="E878" s="1706"/>
      <c r="F878" s="1707"/>
      <c r="G878" s="1707"/>
      <c r="H878" s="1707"/>
      <c r="I878" s="1707"/>
      <c r="J878" s="1707"/>
      <c r="K878" s="1709"/>
      <c r="L878" s="1721"/>
      <c r="M878" s="1711"/>
      <c r="N878" s="1711"/>
    </row>
    <row r="879" spans="1:14" ht="24" customHeight="1">
      <c r="A879" s="1712"/>
      <c r="B879" s="1673" t="s">
        <v>139</v>
      </c>
      <c r="C879" s="1674" t="s">
        <v>228</v>
      </c>
      <c r="D879" s="1675">
        <v>4.5</v>
      </c>
      <c r="E879" s="1676" t="s">
        <v>85</v>
      </c>
      <c r="F879" s="1736">
        <v>2679.9</v>
      </c>
      <c r="G879" s="1736">
        <v>519</v>
      </c>
      <c r="H879" s="1669">
        <f t="shared" ref="H879:H890" si="131">F879*D879</f>
        <v>12059.550000000001</v>
      </c>
      <c r="I879" s="1669">
        <f t="shared" ref="I879:I890" si="132">G879*D879</f>
        <v>2335.5</v>
      </c>
      <c r="J879" s="1669">
        <f t="shared" ref="J879:J885" si="133">SUM(H879:I879)</f>
        <v>14395.050000000001</v>
      </c>
      <c r="K879" s="1708"/>
      <c r="L879" s="1721"/>
      <c r="M879" s="1710" t="s">
        <v>1016</v>
      </c>
      <c r="N879" s="1711" t="s">
        <v>664</v>
      </c>
    </row>
    <row r="880" spans="1:14" ht="24" customHeight="1">
      <c r="A880" s="1712"/>
      <c r="B880" s="2368" t="s">
        <v>418</v>
      </c>
      <c r="C880" s="2370"/>
      <c r="D880" s="1675">
        <v>22.5</v>
      </c>
      <c r="E880" s="1676"/>
      <c r="F880" s="1669"/>
      <c r="G880" s="1669"/>
      <c r="H880" s="1669"/>
      <c r="I880" s="1669"/>
      <c r="J880" s="1669"/>
      <c r="K880" s="1708"/>
      <c r="L880" s="1721"/>
      <c r="M880" s="1711"/>
      <c r="N880" s="1711"/>
    </row>
    <row r="881" spans="1:14" ht="24" customHeight="1">
      <c r="A881" s="1712"/>
      <c r="B881" s="1673" t="s">
        <v>139</v>
      </c>
      <c r="C881" s="1674" t="s">
        <v>1784</v>
      </c>
      <c r="D881" s="1675">
        <f>D880</f>
        <v>22.5</v>
      </c>
      <c r="E881" s="1676" t="s">
        <v>86</v>
      </c>
      <c r="F881" s="1669"/>
      <c r="G881" s="1669">
        <v>121</v>
      </c>
      <c r="H881" s="1669">
        <f t="shared" si="131"/>
        <v>0</v>
      </c>
      <c r="I881" s="1669">
        <f t="shared" si="132"/>
        <v>2722.5</v>
      </c>
      <c r="J881" s="1669">
        <f t="shared" si="133"/>
        <v>2722.5</v>
      </c>
      <c r="K881" s="1708"/>
      <c r="L881" s="1721"/>
      <c r="M881" s="1710" t="s">
        <v>1017</v>
      </c>
      <c r="N881" s="1711" t="s">
        <v>664</v>
      </c>
    </row>
    <row r="882" spans="1:14" ht="24" customHeight="1">
      <c r="A882" s="1712"/>
      <c r="B882" s="1673" t="s">
        <v>139</v>
      </c>
      <c r="C882" s="1674" t="s">
        <v>198</v>
      </c>
      <c r="D882" s="1675">
        <f>D880*0.5</f>
        <v>11.25</v>
      </c>
      <c r="E882" s="1676" t="s">
        <v>164</v>
      </c>
      <c r="F882" s="1669">
        <v>400</v>
      </c>
      <c r="G882" s="1669"/>
      <c r="H882" s="1669">
        <f t="shared" si="131"/>
        <v>4500</v>
      </c>
      <c r="I882" s="1669">
        <f t="shared" si="132"/>
        <v>0</v>
      </c>
      <c r="J882" s="1669">
        <f t="shared" si="133"/>
        <v>4500</v>
      </c>
      <c r="K882" s="1708"/>
      <c r="L882" s="1721"/>
      <c r="M882" s="1710" t="s">
        <v>1018</v>
      </c>
      <c r="N882" s="1711"/>
    </row>
    <row r="883" spans="1:14" ht="24" customHeight="1">
      <c r="A883" s="1712"/>
      <c r="B883" s="1673" t="s">
        <v>139</v>
      </c>
      <c r="C883" s="1674" t="s">
        <v>1782</v>
      </c>
      <c r="D883" s="1675">
        <f>D882*0.3</f>
        <v>3.375</v>
      </c>
      <c r="E883" s="1676" t="s">
        <v>164</v>
      </c>
      <c r="F883" s="1669">
        <v>400</v>
      </c>
      <c r="G883" s="1669">
        <v>0</v>
      </c>
      <c r="H883" s="1669">
        <f t="shared" si="131"/>
        <v>1350</v>
      </c>
      <c r="I883" s="1669">
        <f t="shared" si="132"/>
        <v>0</v>
      </c>
      <c r="J883" s="1669">
        <f t="shared" si="133"/>
        <v>1350</v>
      </c>
      <c r="K883" s="1708"/>
      <c r="L883" s="1721"/>
      <c r="M883" s="1710" t="s">
        <v>1018</v>
      </c>
      <c r="N883" s="1711"/>
    </row>
    <row r="884" spans="1:14" ht="24" customHeight="1">
      <c r="A884" s="1712"/>
      <c r="B884" s="1673" t="s">
        <v>139</v>
      </c>
      <c r="C884" s="1674" t="s">
        <v>163</v>
      </c>
      <c r="D884" s="1675">
        <f>D880</f>
        <v>22.5</v>
      </c>
      <c r="E884" s="1676" t="s">
        <v>83</v>
      </c>
      <c r="F884" s="1669">
        <v>28</v>
      </c>
      <c r="G884" s="1669">
        <v>0</v>
      </c>
      <c r="H884" s="1669">
        <f t="shared" si="131"/>
        <v>630</v>
      </c>
      <c r="I884" s="1669">
        <f t="shared" si="132"/>
        <v>0</v>
      </c>
      <c r="J884" s="1669">
        <f t="shared" si="133"/>
        <v>630</v>
      </c>
      <c r="K884" s="1708"/>
      <c r="L884" s="1721"/>
      <c r="M884" s="1710" t="s">
        <v>1018</v>
      </c>
      <c r="N884" s="1711"/>
    </row>
    <row r="885" spans="1:14" ht="24" customHeight="1">
      <c r="A885" s="1712"/>
      <c r="B885" s="1673" t="s">
        <v>139</v>
      </c>
      <c r="C885" s="1674" t="s">
        <v>1781</v>
      </c>
      <c r="D885" s="1675">
        <f>D880*0.25</f>
        <v>5.625</v>
      </c>
      <c r="E885" s="1676" t="s">
        <v>87</v>
      </c>
      <c r="F885" s="1736">
        <v>23.89</v>
      </c>
      <c r="G885" s="1736">
        <v>0</v>
      </c>
      <c r="H885" s="1669">
        <f t="shared" si="131"/>
        <v>134.38124999999999</v>
      </c>
      <c r="I885" s="1669">
        <f t="shared" si="132"/>
        <v>0</v>
      </c>
      <c r="J885" s="1669">
        <f t="shared" si="133"/>
        <v>134.38124999999999</v>
      </c>
      <c r="K885" s="1708"/>
      <c r="L885" s="1721"/>
      <c r="M885" s="1710" t="s">
        <v>660</v>
      </c>
      <c r="N885" s="1711"/>
    </row>
    <row r="886" spans="1:14" ht="24" customHeight="1">
      <c r="A886" s="1712"/>
      <c r="B886" s="2368" t="s">
        <v>417</v>
      </c>
      <c r="C886" s="2370"/>
      <c r="D886" s="1675"/>
      <c r="E886" s="1676"/>
      <c r="F886" s="1669"/>
      <c r="G886" s="1669"/>
      <c r="H886" s="1669"/>
      <c r="I886" s="1669"/>
      <c r="J886" s="1669"/>
      <c r="K886" s="1708"/>
      <c r="L886" s="1721"/>
      <c r="M886" s="1711"/>
      <c r="N886" s="1711"/>
    </row>
    <row r="887" spans="1:14" ht="24" customHeight="1">
      <c r="A887" s="1712"/>
      <c r="B887" s="1673" t="s">
        <v>139</v>
      </c>
      <c r="C887" s="1674" t="s">
        <v>88</v>
      </c>
      <c r="D887" s="1675">
        <v>168.6</v>
      </c>
      <c r="E887" s="1676" t="s">
        <v>87</v>
      </c>
      <c r="F887" s="1677">
        <v>21.4</v>
      </c>
      <c r="G887" s="1677">
        <v>4.4000000000000004</v>
      </c>
      <c r="H887" s="1669">
        <f t="shared" si="131"/>
        <v>3608.0399999999995</v>
      </c>
      <c r="I887" s="1669">
        <f t="shared" si="132"/>
        <v>741.84</v>
      </c>
      <c r="J887" s="1669">
        <f>SUM(H887:I887)</f>
        <v>4349.8799999999992</v>
      </c>
      <c r="K887" s="1708"/>
      <c r="L887" s="1721"/>
      <c r="M887" s="1710" t="s">
        <v>1016</v>
      </c>
      <c r="N887" s="1711" t="s">
        <v>659</v>
      </c>
    </row>
    <row r="888" spans="1:14" ht="24" customHeight="1">
      <c r="A888" s="1664"/>
      <c r="B888" s="1665" t="s">
        <v>139</v>
      </c>
      <c r="C888" s="1666" t="s">
        <v>89</v>
      </c>
      <c r="D888" s="1667">
        <v>100.4</v>
      </c>
      <c r="E888" s="1668" t="s">
        <v>87</v>
      </c>
      <c r="F888" s="1744">
        <v>21.4</v>
      </c>
      <c r="G888" s="1744">
        <v>3.6</v>
      </c>
      <c r="H888" s="1670">
        <f t="shared" si="131"/>
        <v>2148.56</v>
      </c>
      <c r="I888" s="1670">
        <f t="shared" si="132"/>
        <v>361.44000000000005</v>
      </c>
      <c r="J888" s="1670">
        <f>SUM(H888:I888)</f>
        <v>2510</v>
      </c>
      <c r="K888" s="1746"/>
      <c r="L888" s="1721"/>
      <c r="M888" s="1710" t="s">
        <v>1016</v>
      </c>
      <c r="N888" s="1711" t="s">
        <v>659</v>
      </c>
    </row>
    <row r="889" spans="1:14" ht="24" customHeight="1">
      <c r="A889" s="1712"/>
      <c r="B889" s="1673" t="s">
        <v>139</v>
      </c>
      <c r="C889" s="1674" t="s">
        <v>90</v>
      </c>
      <c r="D889" s="1675">
        <v>280.89999999999998</v>
      </c>
      <c r="E889" s="1676" t="s">
        <v>87</v>
      </c>
      <c r="F889" s="1677">
        <v>21.2</v>
      </c>
      <c r="G889" s="1677">
        <v>3.6</v>
      </c>
      <c r="H889" s="1669">
        <f t="shared" si="131"/>
        <v>5955.079999999999</v>
      </c>
      <c r="I889" s="1669">
        <f t="shared" si="132"/>
        <v>1011.2399999999999</v>
      </c>
      <c r="J889" s="1669">
        <f>SUM(H889:I889)</f>
        <v>6966.3199999999988</v>
      </c>
      <c r="K889" s="1708"/>
      <c r="L889" s="1721"/>
      <c r="M889" s="1710" t="s">
        <v>1016</v>
      </c>
      <c r="N889" s="1711" t="s">
        <v>659</v>
      </c>
    </row>
    <row r="890" spans="1:14" ht="24" customHeight="1">
      <c r="A890" s="1712"/>
      <c r="B890" s="1673" t="s">
        <v>139</v>
      </c>
      <c r="C890" s="1674" t="s">
        <v>200</v>
      </c>
      <c r="D890" s="1675">
        <f>SUM(D887:D889)*0.03</f>
        <v>16.497</v>
      </c>
      <c r="E890" s="1676" t="s">
        <v>87</v>
      </c>
      <c r="F890" s="1677">
        <v>25.83</v>
      </c>
      <c r="G890" s="1677">
        <v>0</v>
      </c>
      <c r="H890" s="1669">
        <f t="shared" si="131"/>
        <v>426.11750999999998</v>
      </c>
      <c r="I890" s="1669">
        <f t="shared" si="132"/>
        <v>0</v>
      </c>
      <c r="J890" s="1669">
        <f>SUM(H890:I890)</f>
        <v>426.11750999999998</v>
      </c>
      <c r="K890" s="1708"/>
      <c r="L890" s="1721"/>
      <c r="M890" s="1710" t="s">
        <v>1019</v>
      </c>
      <c r="N890" s="1711"/>
    </row>
    <row r="891" spans="1:14" ht="24" customHeight="1">
      <c r="A891" s="1780"/>
      <c r="B891" s="1780"/>
      <c r="C891" s="1827" t="s">
        <v>133</v>
      </c>
      <c r="D891" s="2365"/>
      <c r="E891" s="2365"/>
      <c r="F891" s="2365"/>
      <c r="G891" s="2365"/>
      <c r="H891" s="2365"/>
      <c r="I891" s="2365"/>
      <c r="J891" s="2365"/>
      <c r="K891" s="2365"/>
      <c r="L891" s="1721"/>
      <c r="M891" s="1710"/>
      <c r="N891" s="1711"/>
    </row>
    <row r="892" spans="1:14" ht="24" customHeight="1">
      <c r="A892" s="1780"/>
      <c r="B892" s="2366" t="s">
        <v>1769</v>
      </c>
      <c r="C892" s="2366"/>
      <c r="D892" s="1828"/>
      <c r="E892" s="1769"/>
      <c r="F892" s="1828"/>
      <c r="G892" s="1828" t="s">
        <v>134</v>
      </c>
      <c r="H892" s="1828"/>
      <c r="I892" s="1828"/>
      <c r="J892" s="1828"/>
      <c r="K892" s="1828"/>
      <c r="L892" s="1721"/>
      <c r="M892" s="1710"/>
      <c r="N892" s="1711"/>
    </row>
    <row r="893" spans="1:14" ht="24" customHeight="1">
      <c r="A893" s="1780"/>
      <c r="B893" s="2367" t="s">
        <v>1970</v>
      </c>
      <c r="C893" s="2367"/>
      <c r="D893" s="1831"/>
      <c r="E893" s="1832"/>
      <c r="F893" s="1833"/>
      <c r="G893" s="1833" t="s">
        <v>1971</v>
      </c>
      <c r="H893" s="1833"/>
      <c r="I893" s="1833"/>
      <c r="J893" s="1833"/>
      <c r="K893" s="1833"/>
      <c r="L893" s="1721"/>
      <c r="M893" s="1710"/>
      <c r="N893" s="1711"/>
    </row>
    <row r="894" spans="1:14" ht="24" customHeight="1">
      <c r="A894" s="1830"/>
      <c r="B894" s="1828" t="s">
        <v>2031</v>
      </c>
      <c r="C894" s="1830"/>
      <c r="D894" s="1830"/>
      <c r="E894" s="1830"/>
      <c r="F894" s="1830"/>
      <c r="G894" s="1828" t="s">
        <v>2031</v>
      </c>
      <c r="H894" s="1830"/>
      <c r="I894" s="1830"/>
      <c r="J894" s="1830"/>
      <c r="K894" s="1830"/>
      <c r="L894" s="1721"/>
      <c r="M894" s="1710"/>
      <c r="N894" s="1711"/>
    </row>
    <row r="895" spans="1:14" ht="24" customHeight="1">
      <c r="B895" s="1721" t="s">
        <v>1984</v>
      </c>
      <c r="C895" s="1830"/>
      <c r="D895" s="1685"/>
      <c r="E895" s="1685"/>
      <c r="G895" s="1721" t="s">
        <v>1985</v>
      </c>
      <c r="H895" s="1685"/>
      <c r="I895" s="1685"/>
      <c r="J895" s="1685"/>
      <c r="K895" s="1685"/>
      <c r="L895" s="1721"/>
      <c r="M895" s="1710"/>
      <c r="N895" s="1711"/>
    </row>
    <row r="896" spans="1:14" ht="24" customHeight="1">
      <c r="B896" s="1828" t="s">
        <v>670</v>
      </c>
      <c r="L896" s="1721"/>
      <c r="M896" s="1710"/>
      <c r="N896" s="1711"/>
    </row>
    <row r="897" spans="1:14" ht="24" customHeight="1">
      <c r="B897" s="1721" t="s">
        <v>1972</v>
      </c>
      <c r="L897" s="1721"/>
      <c r="M897" s="1710"/>
      <c r="N897" s="1711"/>
    </row>
    <row r="898" spans="1:14" s="1685" customFormat="1" ht="24" customHeight="1">
      <c r="A898" s="1712"/>
      <c r="B898" s="2368" t="s">
        <v>395</v>
      </c>
      <c r="C898" s="2370"/>
      <c r="D898" s="1675"/>
      <c r="E898" s="1676"/>
      <c r="F898" s="1669"/>
      <c r="G898" s="1669"/>
      <c r="H898" s="1669"/>
      <c r="I898" s="1669"/>
      <c r="J898" s="1669"/>
      <c r="K898" s="1708"/>
      <c r="L898" s="1721"/>
      <c r="M898" s="1711"/>
      <c r="N898" s="1711"/>
    </row>
    <row r="899" spans="1:14" s="1685" customFormat="1" ht="24" customHeight="1">
      <c r="A899" s="1712"/>
      <c r="B899" s="2368" t="s">
        <v>420</v>
      </c>
      <c r="C899" s="2370"/>
      <c r="D899" s="1675"/>
      <c r="E899" s="1676"/>
      <c r="F899" s="1669"/>
      <c r="G899" s="1669"/>
      <c r="H899" s="1669"/>
      <c r="I899" s="1669"/>
      <c r="J899" s="1669"/>
      <c r="K899" s="1708"/>
      <c r="L899" s="1721"/>
      <c r="M899" s="1711"/>
      <c r="N899" s="1711"/>
    </row>
    <row r="900" spans="1:14" s="1685" customFormat="1" ht="24" customHeight="1">
      <c r="A900" s="1702"/>
      <c r="B900" s="1703" t="s">
        <v>139</v>
      </c>
      <c r="C900" s="1743" t="s">
        <v>228</v>
      </c>
      <c r="D900" s="1705">
        <v>5.5</v>
      </c>
      <c r="E900" s="1706" t="s">
        <v>85</v>
      </c>
      <c r="F900" s="1742">
        <v>2679.9</v>
      </c>
      <c r="G900" s="1742">
        <v>519</v>
      </c>
      <c r="H900" s="1707">
        <f t="shared" ref="H900:H911" si="134">F900*D900</f>
        <v>14739.45</v>
      </c>
      <c r="I900" s="1707">
        <f t="shared" ref="I900:I911" si="135">G900*D900</f>
        <v>2854.5</v>
      </c>
      <c r="J900" s="1707">
        <f t="shared" ref="J900:J906" si="136">SUM(H900:I900)</f>
        <v>17593.95</v>
      </c>
      <c r="K900" s="1709"/>
      <c r="L900" s="1721"/>
      <c r="M900" s="1710" t="s">
        <v>1016</v>
      </c>
      <c r="N900" s="1711" t="s">
        <v>664</v>
      </c>
    </row>
    <row r="901" spans="1:14" ht="24" customHeight="1">
      <c r="A901" s="1712"/>
      <c r="B901" s="2368" t="s">
        <v>421</v>
      </c>
      <c r="C901" s="2370"/>
      <c r="D901" s="1675">
        <v>28.6</v>
      </c>
      <c r="E901" s="1676"/>
      <c r="F901" s="1669"/>
      <c r="G901" s="1669"/>
      <c r="H901" s="1669"/>
      <c r="I901" s="1669"/>
      <c r="J901" s="1669"/>
      <c r="K901" s="1708"/>
      <c r="L901" s="1721"/>
      <c r="M901" s="1711"/>
      <c r="N901" s="1711"/>
    </row>
    <row r="902" spans="1:14" ht="24" customHeight="1">
      <c r="A902" s="1712"/>
      <c r="B902" s="1673" t="s">
        <v>139</v>
      </c>
      <c r="C902" s="1674" t="s">
        <v>1784</v>
      </c>
      <c r="D902" s="1675">
        <f>D901</f>
        <v>28.6</v>
      </c>
      <c r="E902" s="1676" t="s">
        <v>86</v>
      </c>
      <c r="F902" s="1669"/>
      <c r="G902" s="1669">
        <v>121</v>
      </c>
      <c r="H902" s="1669">
        <f t="shared" si="134"/>
        <v>0</v>
      </c>
      <c r="I902" s="1669">
        <f t="shared" si="135"/>
        <v>3460.6000000000004</v>
      </c>
      <c r="J902" s="1669">
        <f t="shared" si="136"/>
        <v>3460.6000000000004</v>
      </c>
      <c r="K902" s="1708"/>
      <c r="L902" s="1721"/>
      <c r="M902" s="1710" t="s">
        <v>1017</v>
      </c>
      <c r="N902" s="1711" t="s">
        <v>664</v>
      </c>
    </row>
    <row r="903" spans="1:14" ht="24" customHeight="1">
      <c r="A903" s="1712"/>
      <c r="B903" s="1673" t="s">
        <v>139</v>
      </c>
      <c r="C903" s="1674" t="s">
        <v>198</v>
      </c>
      <c r="D903" s="1675">
        <f>D901*0.5</f>
        <v>14.3</v>
      </c>
      <c r="E903" s="1676" t="s">
        <v>164</v>
      </c>
      <c r="F903" s="1669">
        <v>400</v>
      </c>
      <c r="G903" s="1669"/>
      <c r="H903" s="1669">
        <f t="shared" si="134"/>
        <v>5720</v>
      </c>
      <c r="I903" s="1669">
        <f t="shared" si="135"/>
        <v>0</v>
      </c>
      <c r="J903" s="1669">
        <f t="shared" si="136"/>
        <v>5720</v>
      </c>
      <c r="K903" s="1708"/>
      <c r="L903" s="1721"/>
      <c r="M903" s="1710" t="s">
        <v>1018</v>
      </c>
      <c r="N903" s="1711"/>
    </row>
    <row r="904" spans="1:14" ht="24" customHeight="1">
      <c r="A904" s="1712"/>
      <c r="B904" s="1673" t="s">
        <v>139</v>
      </c>
      <c r="C904" s="1674" t="s">
        <v>1782</v>
      </c>
      <c r="D904" s="1675">
        <f>D903*0.3</f>
        <v>4.29</v>
      </c>
      <c r="E904" s="1676" t="s">
        <v>164</v>
      </c>
      <c r="F904" s="1669">
        <v>400</v>
      </c>
      <c r="G904" s="1669">
        <v>0</v>
      </c>
      <c r="H904" s="1669">
        <f t="shared" si="134"/>
        <v>1716</v>
      </c>
      <c r="I904" s="1669">
        <f t="shared" si="135"/>
        <v>0</v>
      </c>
      <c r="J904" s="1669">
        <f t="shared" si="136"/>
        <v>1716</v>
      </c>
      <c r="K904" s="1708"/>
      <c r="L904" s="1721"/>
      <c r="M904" s="1710" t="s">
        <v>1018</v>
      </c>
      <c r="N904" s="1711"/>
    </row>
    <row r="905" spans="1:14" ht="24" customHeight="1">
      <c r="A905" s="1712"/>
      <c r="B905" s="1673" t="s">
        <v>139</v>
      </c>
      <c r="C905" s="1674" t="s">
        <v>163</v>
      </c>
      <c r="D905" s="1675">
        <f>D901</f>
        <v>28.6</v>
      </c>
      <c r="E905" s="1676" t="s">
        <v>83</v>
      </c>
      <c r="F905" s="1669">
        <v>28</v>
      </c>
      <c r="G905" s="1669">
        <v>0</v>
      </c>
      <c r="H905" s="1669">
        <f t="shared" si="134"/>
        <v>800.80000000000007</v>
      </c>
      <c r="I905" s="1669">
        <f t="shared" si="135"/>
        <v>0</v>
      </c>
      <c r="J905" s="1669">
        <f t="shared" si="136"/>
        <v>800.80000000000007</v>
      </c>
      <c r="K905" s="1708"/>
      <c r="L905" s="1721"/>
      <c r="M905" s="1710" t="s">
        <v>1018</v>
      </c>
      <c r="N905" s="1711"/>
    </row>
    <row r="906" spans="1:14" ht="24" customHeight="1">
      <c r="A906" s="1712"/>
      <c r="B906" s="1673" t="s">
        <v>139</v>
      </c>
      <c r="C906" s="1674" t="s">
        <v>1781</v>
      </c>
      <c r="D906" s="1675">
        <f>D901*0.25</f>
        <v>7.15</v>
      </c>
      <c r="E906" s="1676" t="s">
        <v>87</v>
      </c>
      <c r="F906" s="1736">
        <v>23.89</v>
      </c>
      <c r="G906" s="1736">
        <v>0</v>
      </c>
      <c r="H906" s="1669">
        <f t="shared" si="134"/>
        <v>170.8135</v>
      </c>
      <c r="I906" s="1669">
        <f t="shared" si="135"/>
        <v>0</v>
      </c>
      <c r="J906" s="1669">
        <f t="shared" si="136"/>
        <v>170.8135</v>
      </c>
      <c r="K906" s="1708"/>
      <c r="L906" s="1721"/>
      <c r="M906" s="1710" t="s">
        <v>660</v>
      </c>
      <c r="N906" s="1711"/>
    </row>
    <row r="907" spans="1:14" ht="24" customHeight="1">
      <c r="A907" s="1664"/>
      <c r="B907" s="2371" t="s">
        <v>419</v>
      </c>
      <c r="C907" s="2372"/>
      <c r="D907" s="1667"/>
      <c r="E907" s="1668"/>
      <c r="F907" s="1670"/>
      <c r="G907" s="1670"/>
      <c r="H907" s="1670"/>
      <c r="I907" s="1670"/>
      <c r="J907" s="1670"/>
      <c r="K907" s="1746"/>
      <c r="L907" s="1721"/>
      <c r="M907" s="1711"/>
      <c r="N907" s="1711"/>
    </row>
    <row r="908" spans="1:14" ht="24" customHeight="1">
      <c r="A908" s="1712"/>
      <c r="B908" s="1673" t="s">
        <v>139</v>
      </c>
      <c r="C908" s="1674" t="s">
        <v>88</v>
      </c>
      <c r="D908" s="1675">
        <v>240.5</v>
      </c>
      <c r="E908" s="1676" t="s">
        <v>87</v>
      </c>
      <c r="F908" s="1677">
        <v>21.4</v>
      </c>
      <c r="G908" s="1677">
        <v>4.4000000000000004</v>
      </c>
      <c r="H908" s="1669">
        <f t="shared" si="134"/>
        <v>5146.7</v>
      </c>
      <c r="I908" s="1669">
        <f t="shared" si="135"/>
        <v>1058.2</v>
      </c>
      <c r="J908" s="1669">
        <f>SUM(H908:I908)</f>
        <v>6204.9</v>
      </c>
      <c r="K908" s="1708"/>
      <c r="L908" s="1721"/>
      <c r="M908" s="1710" t="s">
        <v>1016</v>
      </c>
      <c r="N908" s="1711" t="s">
        <v>659</v>
      </c>
    </row>
    <row r="909" spans="1:14" ht="24" customHeight="1">
      <c r="A909" s="1664"/>
      <c r="B909" s="1665" t="s">
        <v>139</v>
      </c>
      <c r="C909" s="1666" t="s">
        <v>89</v>
      </c>
      <c r="D909" s="1667">
        <v>97.1</v>
      </c>
      <c r="E909" s="1668" t="s">
        <v>87</v>
      </c>
      <c r="F909" s="1744">
        <v>21.4</v>
      </c>
      <c r="G909" s="1744">
        <v>3.6</v>
      </c>
      <c r="H909" s="1669">
        <f t="shared" si="134"/>
        <v>2077.9399999999996</v>
      </c>
      <c r="I909" s="1669">
        <f t="shared" si="135"/>
        <v>349.56</v>
      </c>
      <c r="J909" s="1669">
        <f>SUM(H909:I909)</f>
        <v>2427.4999999999995</v>
      </c>
      <c r="K909" s="1708"/>
      <c r="L909" s="1721"/>
      <c r="M909" s="1710" t="s">
        <v>1016</v>
      </c>
      <c r="N909" s="1711" t="s">
        <v>659</v>
      </c>
    </row>
    <row r="910" spans="1:14" ht="24" customHeight="1">
      <c r="A910" s="1712"/>
      <c r="B910" s="1673" t="s">
        <v>139</v>
      </c>
      <c r="C910" s="1674" t="s">
        <v>90</v>
      </c>
      <c r="D910" s="1675">
        <v>361.3</v>
      </c>
      <c r="E910" s="1676" t="s">
        <v>87</v>
      </c>
      <c r="F910" s="1677">
        <v>21.2</v>
      </c>
      <c r="G910" s="1677">
        <v>3.6</v>
      </c>
      <c r="H910" s="1678">
        <f t="shared" si="134"/>
        <v>7659.56</v>
      </c>
      <c r="I910" s="1669">
        <f t="shared" si="135"/>
        <v>1300.68</v>
      </c>
      <c r="J910" s="1669">
        <f>SUM(H910:I910)</f>
        <v>8960.24</v>
      </c>
      <c r="K910" s="1708"/>
      <c r="L910" s="1721"/>
      <c r="M910" s="1710" t="s">
        <v>1016</v>
      </c>
      <c r="N910" s="1711" t="s">
        <v>659</v>
      </c>
    </row>
    <row r="911" spans="1:14" ht="24" customHeight="1">
      <c r="A911" s="1664"/>
      <c r="B911" s="1665" t="s">
        <v>139</v>
      </c>
      <c r="C911" s="1666" t="s">
        <v>200</v>
      </c>
      <c r="D911" s="1667">
        <f>SUM(D908:D910)*0.03</f>
        <v>20.967000000000002</v>
      </c>
      <c r="E911" s="1668" t="s">
        <v>87</v>
      </c>
      <c r="F911" s="1744">
        <v>25.83</v>
      </c>
      <c r="G911" s="1744">
        <v>0</v>
      </c>
      <c r="H911" s="1669">
        <f t="shared" si="134"/>
        <v>541.57761000000005</v>
      </c>
      <c r="I911" s="1669">
        <f t="shared" si="135"/>
        <v>0</v>
      </c>
      <c r="J911" s="1669">
        <f>SUM(H911:I911)</f>
        <v>541.57761000000005</v>
      </c>
      <c r="K911" s="1708"/>
      <c r="L911" s="1721"/>
      <c r="M911" s="1710" t="s">
        <v>1019</v>
      </c>
      <c r="N911" s="1711"/>
    </row>
    <row r="912" spans="1:14" ht="24" customHeight="1">
      <c r="A912" s="1664"/>
      <c r="B912" s="1755" t="s">
        <v>1051</v>
      </c>
      <c r="C912" s="1666"/>
      <c r="D912" s="1667"/>
      <c r="E912" s="1668"/>
      <c r="F912" s="1744"/>
      <c r="G912" s="1744"/>
      <c r="H912" s="1669"/>
      <c r="I912" s="1669"/>
      <c r="J912" s="1669"/>
      <c r="K912" s="1708"/>
      <c r="L912" s="1721"/>
      <c r="M912" s="1710"/>
      <c r="N912" s="1711"/>
    </row>
    <row r="913" spans="1:14" s="1685" customFormat="1" ht="24" customHeight="1">
      <c r="A913" s="1712"/>
      <c r="B913" s="2368" t="s">
        <v>1052</v>
      </c>
      <c r="C913" s="2370"/>
      <c r="D913" s="1675"/>
      <c r="E913" s="1676"/>
      <c r="F913" s="1669"/>
      <c r="G913" s="1669"/>
      <c r="H913" s="1678"/>
      <c r="I913" s="1669"/>
      <c r="J913" s="1669"/>
      <c r="K913" s="1708"/>
      <c r="L913" s="1721"/>
      <c r="M913" s="1711"/>
      <c r="N913" s="1711"/>
    </row>
    <row r="914" spans="1:14" ht="24" customHeight="1">
      <c r="A914" s="1712"/>
      <c r="B914" s="1673" t="s">
        <v>139</v>
      </c>
      <c r="C914" s="1674" t="s">
        <v>228</v>
      </c>
      <c r="D914" s="1675">
        <v>4.5</v>
      </c>
      <c r="E914" s="1676" t="s">
        <v>85</v>
      </c>
      <c r="F914" s="1736">
        <v>2679.9</v>
      </c>
      <c r="G914" s="1736">
        <v>519</v>
      </c>
      <c r="H914" s="1678">
        <f t="shared" ref="H914:H932" si="137">F914*D914</f>
        <v>12059.550000000001</v>
      </c>
      <c r="I914" s="1669">
        <f t="shared" ref="I914:I932" si="138">G914*D914</f>
        <v>2335.5</v>
      </c>
      <c r="J914" s="1669">
        <f t="shared" ref="J914:J920" si="139">SUM(H914:I914)</f>
        <v>14395.050000000001</v>
      </c>
      <c r="K914" s="1708"/>
      <c r="L914" s="1721"/>
      <c r="M914" s="1710" t="s">
        <v>1016</v>
      </c>
      <c r="N914" s="1711" t="s">
        <v>664</v>
      </c>
    </row>
    <row r="915" spans="1:14" ht="24" customHeight="1">
      <c r="A915" s="1712"/>
      <c r="B915" s="2368" t="s">
        <v>1053</v>
      </c>
      <c r="C915" s="2370"/>
      <c r="D915" s="1675">
        <v>20.8</v>
      </c>
      <c r="E915" s="1676"/>
      <c r="F915" s="1669"/>
      <c r="G915" s="1669"/>
      <c r="H915" s="1678"/>
      <c r="I915" s="1669"/>
      <c r="J915" s="1669"/>
      <c r="K915" s="1708"/>
      <c r="L915" s="1721"/>
      <c r="M915" s="1711"/>
      <c r="N915" s="1711"/>
    </row>
    <row r="916" spans="1:14" ht="24" customHeight="1">
      <c r="A916" s="1712"/>
      <c r="B916" s="1673" t="s">
        <v>139</v>
      </c>
      <c r="C916" s="1674" t="s">
        <v>1784</v>
      </c>
      <c r="D916" s="1675">
        <f>D915</f>
        <v>20.8</v>
      </c>
      <c r="E916" s="1676" t="s">
        <v>86</v>
      </c>
      <c r="F916" s="1669"/>
      <c r="G916" s="1669">
        <v>121</v>
      </c>
      <c r="H916" s="1669">
        <f t="shared" si="137"/>
        <v>0</v>
      </c>
      <c r="I916" s="1669">
        <f t="shared" si="138"/>
        <v>2516.8000000000002</v>
      </c>
      <c r="J916" s="1669">
        <f t="shared" si="139"/>
        <v>2516.8000000000002</v>
      </c>
      <c r="K916" s="1708"/>
      <c r="L916" s="1721"/>
      <c r="M916" s="1710" t="s">
        <v>1017</v>
      </c>
      <c r="N916" s="1711" t="s">
        <v>664</v>
      </c>
    </row>
    <row r="917" spans="1:14" ht="24" customHeight="1">
      <c r="A917" s="1712"/>
      <c r="B917" s="1673" t="s">
        <v>139</v>
      </c>
      <c r="C917" s="1674" t="s">
        <v>198</v>
      </c>
      <c r="D917" s="1675">
        <f>D915*0.5</f>
        <v>10.4</v>
      </c>
      <c r="E917" s="1676" t="s">
        <v>164</v>
      </c>
      <c r="F917" s="1669">
        <v>400</v>
      </c>
      <c r="G917" s="1669"/>
      <c r="H917" s="1669">
        <f t="shared" si="137"/>
        <v>4160</v>
      </c>
      <c r="I917" s="1669">
        <f t="shared" si="138"/>
        <v>0</v>
      </c>
      <c r="J917" s="1669">
        <f t="shared" si="139"/>
        <v>4160</v>
      </c>
      <c r="K917" s="1708"/>
      <c r="L917" s="1721"/>
      <c r="M917" s="1710" t="s">
        <v>1018</v>
      </c>
      <c r="N917" s="1711"/>
    </row>
    <row r="918" spans="1:14" ht="24" customHeight="1">
      <c r="A918" s="1712"/>
      <c r="B918" s="1673" t="s">
        <v>139</v>
      </c>
      <c r="C918" s="1674" t="s">
        <v>1782</v>
      </c>
      <c r="D918" s="1675">
        <f>D917*0.3</f>
        <v>3.12</v>
      </c>
      <c r="E918" s="1676" t="s">
        <v>164</v>
      </c>
      <c r="F918" s="1669">
        <v>400</v>
      </c>
      <c r="G918" s="1669">
        <v>0</v>
      </c>
      <c r="H918" s="1669">
        <f t="shared" si="137"/>
        <v>1248</v>
      </c>
      <c r="I918" s="1669">
        <f t="shared" si="138"/>
        <v>0</v>
      </c>
      <c r="J918" s="1669">
        <f t="shared" si="139"/>
        <v>1248</v>
      </c>
      <c r="K918" s="1708"/>
      <c r="L918" s="1721"/>
      <c r="M918" s="1710" t="s">
        <v>1018</v>
      </c>
      <c r="N918" s="1711"/>
    </row>
    <row r="919" spans="1:14" ht="24" customHeight="1">
      <c r="A919" s="1712"/>
      <c r="B919" s="1673" t="s">
        <v>139</v>
      </c>
      <c r="C919" s="1674" t="s">
        <v>163</v>
      </c>
      <c r="D919" s="1675">
        <f>D915</f>
        <v>20.8</v>
      </c>
      <c r="E919" s="1676" t="s">
        <v>83</v>
      </c>
      <c r="F919" s="1669">
        <v>28</v>
      </c>
      <c r="G919" s="1669">
        <v>0</v>
      </c>
      <c r="H919" s="1669">
        <f t="shared" si="137"/>
        <v>582.4</v>
      </c>
      <c r="I919" s="1669">
        <f t="shared" si="138"/>
        <v>0</v>
      </c>
      <c r="J919" s="1669">
        <f t="shared" si="139"/>
        <v>582.4</v>
      </c>
      <c r="K919" s="1708"/>
      <c r="L919" s="1721"/>
      <c r="M919" s="1710" t="s">
        <v>1018</v>
      </c>
      <c r="N919" s="1711"/>
    </row>
    <row r="920" spans="1:14" ht="24" customHeight="1">
      <c r="A920" s="1712"/>
      <c r="B920" s="1673" t="s">
        <v>139</v>
      </c>
      <c r="C920" s="1674" t="s">
        <v>1781</v>
      </c>
      <c r="D920" s="1675">
        <f>D915*0.25</f>
        <v>5.2</v>
      </c>
      <c r="E920" s="1676" t="s">
        <v>87</v>
      </c>
      <c r="F920" s="1736">
        <v>23.89</v>
      </c>
      <c r="G920" s="1736">
        <v>0</v>
      </c>
      <c r="H920" s="1669">
        <f t="shared" si="137"/>
        <v>124.22800000000001</v>
      </c>
      <c r="I920" s="1669">
        <f t="shared" si="138"/>
        <v>0</v>
      </c>
      <c r="J920" s="1669">
        <f t="shared" si="139"/>
        <v>124.22800000000001</v>
      </c>
      <c r="K920" s="1708"/>
      <c r="L920" s="1721"/>
      <c r="M920" s="1710" t="s">
        <v>660</v>
      </c>
      <c r="N920" s="1711"/>
    </row>
    <row r="921" spans="1:14" ht="24" customHeight="1">
      <c r="A921" s="1780"/>
      <c r="B921" s="1780"/>
      <c r="C921" s="1827" t="s">
        <v>133</v>
      </c>
      <c r="D921" s="2365"/>
      <c r="E921" s="2365"/>
      <c r="F921" s="2365"/>
      <c r="G921" s="2365"/>
      <c r="H921" s="2365"/>
      <c r="I921" s="2365"/>
      <c r="J921" s="2365"/>
      <c r="K921" s="2365"/>
      <c r="L921" s="1721"/>
      <c r="M921" s="1710"/>
      <c r="N921" s="1711"/>
    </row>
    <row r="922" spans="1:14" ht="24" customHeight="1">
      <c r="A922" s="1780"/>
      <c r="B922" s="2366" t="s">
        <v>1769</v>
      </c>
      <c r="C922" s="2366"/>
      <c r="D922" s="1828"/>
      <c r="E922" s="1769"/>
      <c r="F922" s="1828"/>
      <c r="G922" s="1828" t="s">
        <v>134</v>
      </c>
      <c r="H922" s="1828"/>
      <c r="I922" s="1828"/>
      <c r="J922" s="1828"/>
      <c r="K922" s="1828"/>
      <c r="L922" s="1721"/>
      <c r="M922" s="1710"/>
      <c r="N922" s="1711"/>
    </row>
    <row r="923" spans="1:14" ht="24" customHeight="1">
      <c r="A923" s="1780"/>
      <c r="B923" s="2367" t="s">
        <v>1970</v>
      </c>
      <c r="C923" s="2367"/>
      <c r="D923" s="1831"/>
      <c r="E923" s="1832"/>
      <c r="F923" s="1833"/>
      <c r="G923" s="1833" t="s">
        <v>1971</v>
      </c>
      <c r="H923" s="1833"/>
      <c r="I923" s="1833"/>
      <c r="J923" s="1833"/>
      <c r="K923" s="1833"/>
      <c r="L923" s="1721"/>
      <c r="M923" s="1710"/>
      <c r="N923" s="1711"/>
    </row>
    <row r="924" spans="1:14" ht="24" customHeight="1">
      <c r="A924" s="1830"/>
      <c r="B924" s="1828" t="s">
        <v>2031</v>
      </c>
      <c r="C924" s="1830"/>
      <c r="D924" s="1830"/>
      <c r="E924" s="1830"/>
      <c r="F924" s="1830"/>
      <c r="G924" s="1828" t="s">
        <v>2031</v>
      </c>
      <c r="H924" s="1830"/>
      <c r="I924" s="1830"/>
      <c r="J924" s="1830"/>
      <c r="K924" s="1830"/>
      <c r="L924" s="1721"/>
      <c r="M924" s="1710"/>
      <c r="N924" s="1711"/>
    </row>
    <row r="925" spans="1:14" ht="24" customHeight="1">
      <c r="B925" s="1721" t="s">
        <v>1984</v>
      </c>
      <c r="C925" s="1830"/>
      <c r="D925" s="1685"/>
      <c r="E925" s="1685"/>
      <c r="G925" s="1721" t="s">
        <v>1985</v>
      </c>
      <c r="H925" s="1685"/>
      <c r="I925" s="1685"/>
      <c r="J925" s="1685"/>
      <c r="K925" s="1685"/>
      <c r="L925" s="1721"/>
      <c r="M925" s="1710"/>
      <c r="N925" s="1711"/>
    </row>
    <row r="926" spans="1:14" ht="24" customHeight="1">
      <c r="B926" s="1828" t="s">
        <v>670</v>
      </c>
      <c r="L926" s="1721"/>
      <c r="M926" s="1710"/>
      <c r="N926" s="1711"/>
    </row>
    <row r="927" spans="1:14" ht="24" customHeight="1">
      <c r="B927" s="1721" t="s">
        <v>1972</v>
      </c>
      <c r="L927" s="1721"/>
      <c r="M927" s="1710"/>
      <c r="N927" s="1711"/>
    </row>
    <row r="928" spans="1:14" ht="24" customHeight="1">
      <c r="A928" s="1712"/>
      <c r="B928" s="2368" t="s">
        <v>1054</v>
      </c>
      <c r="C928" s="2370"/>
      <c r="D928" s="1675"/>
      <c r="E928" s="1676"/>
      <c r="F928" s="1669"/>
      <c r="G928" s="1669"/>
      <c r="H928" s="1669"/>
      <c r="I928" s="1669"/>
      <c r="J928" s="1669"/>
      <c r="K928" s="1708"/>
      <c r="L928" s="1721"/>
      <c r="M928" s="1711"/>
      <c r="N928" s="1711"/>
    </row>
    <row r="929" spans="1:14" ht="24" customHeight="1">
      <c r="A929" s="1712"/>
      <c r="B929" s="1673" t="s">
        <v>139</v>
      </c>
      <c r="C929" s="1674" t="s">
        <v>88</v>
      </c>
      <c r="D929" s="1675">
        <v>168</v>
      </c>
      <c r="E929" s="1676" t="s">
        <v>87</v>
      </c>
      <c r="F929" s="1677">
        <v>21.4</v>
      </c>
      <c r="G929" s="1677">
        <v>4.4000000000000004</v>
      </c>
      <c r="H929" s="1669">
        <f t="shared" si="137"/>
        <v>3595.2</v>
      </c>
      <c r="I929" s="1669">
        <f t="shared" si="138"/>
        <v>739.2</v>
      </c>
      <c r="J929" s="1669">
        <f>SUM(H929:I929)</f>
        <v>4334.3999999999996</v>
      </c>
      <c r="K929" s="1708"/>
      <c r="L929" s="1721"/>
      <c r="M929" s="1710" t="s">
        <v>1016</v>
      </c>
      <c r="N929" s="1711" t="s">
        <v>659</v>
      </c>
    </row>
    <row r="930" spans="1:14" ht="24" customHeight="1">
      <c r="A930" s="1712"/>
      <c r="B930" s="1673" t="s">
        <v>139</v>
      </c>
      <c r="C930" s="1674" t="s">
        <v>89</v>
      </c>
      <c r="D930" s="1675">
        <v>72.900000000000006</v>
      </c>
      <c r="E930" s="1676" t="s">
        <v>87</v>
      </c>
      <c r="F930" s="1677">
        <v>21.4</v>
      </c>
      <c r="G930" s="1677">
        <v>3.6</v>
      </c>
      <c r="H930" s="1669">
        <f t="shared" si="137"/>
        <v>1560.06</v>
      </c>
      <c r="I930" s="1669">
        <f t="shared" si="138"/>
        <v>262.44000000000005</v>
      </c>
      <c r="J930" s="1669">
        <f>SUM(H930:I930)</f>
        <v>1822.5</v>
      </c>
      <c r="K930" s="1708"/>
      <c r="L930" s="1721"/>
      <c r="M930" s="1710" t="s">
        <v>1016</v>
      </c>
      <c r="N930" s="1711" t="s">
        <v>659</v>
      </c>
    </row>
    <row r="931" spans="1:14" ht="24" customHeight="1">
      <c r="A931" s="1712"/>
      <c r="B931" s="1665" t="s">
        <v>139</v>
      </c>
      <c r="C931" s="1666" t="s">
        <v>90</v>
      </c>
      <c r="D931" s="1667">
        <v>223.8</v>
      </c>
      <c r="E931" s="1668" t="s">
        <v>87</v>
      </c>
      <c r="F931" s="1744">
        <v>21.2</v>
      </c>
      <c r="G931" s="1744">
        <v>3.6</v>
      </c>
      <c r="H931" s="1670">
        <f t="shared" si="137"/>
        <v>4744.5600000000004</v>
      </c>
      <c r="I931" s="1669">
        <f t="shared" si="138"/>
        <v>805.68000000000006</v>
      </c>
      <c r="J931" s="1669">
        <f>SUM(H931:I931)</f>
        <v>5550.2400000000007</v>
      </c>
      <c r="K931" s="1708"/>
      <c r="L931" s="1721"/>
      <c r="M931" s="1710" t="s">
        <v>1016</v>
      </c>
      <c r="N931" s="1711" t="s">
        <v>659</v>
      </c>
    </row>
    <row r="932" spans="1:14" ht="24" customHeight="1">
      <c r="A932" s="1672"/>
      <c r="B932" s="1673" t="s">
        <v>139</v>
      </c>
      <c r="C932" s="1674" t="s">
        <v>200</v>
      </c>
      <c r="D932" s="1675">
        <f>SUM(D929:D931)*0.03</f>
        <v>13.941000000000001</v>
      </c>
      <c r="E932" s="1676" t="s">
        <v>87</v>
      </c>
      <c r="F932" s="1677">
        <v>25.83</v>
      </c>
      <c r="G932" s="1677">
        <v>0</v>
      </c>
      <c r="H932" s="1669">
        <f t="shared" si="137"/>
        <v>360.09602999999998</v>
      </c>
      <c r="I932" s="1678">
        <f t="shared" si="138"/>
        <v>0</v>
      </c>
      <c r="J932" s="1669">
        <f>SUM(H932:I932)</f>
        <v>360.09602999999998</v>
      </c>
      <c r="K932" s="1708"/>
      <c r="L932" s="1721"/>
      <c r="M932" s="1710" t="s">
        <v>1019</v>
      </c>
      <c r="N932" s="1711"/>
    </row>
    <row r="933" spans="1:14" s="1685" customFormat="1" ht="24" customHeight="1">
      <c r="A933" s="1672"/>
      <c r="B933" s="2368" t="s">
        <v>1055</v>
      </c>
      <c r="C933" s="2370"/>
      <c r="D933" s="1675"/>
      <c r="E933" s="1676"/>
      <c r="F933" s="1669"/>
      <c r="G933" s="1669"/>
      <c r="H933" s="1669"/>
      <c r="I933" s="1678"/>
      <c r="J933" s="1669"/>
      <c r="K933" s="1708"/>
      <c r="L933" s="1721"/>
      <c r="M933" s="1711"/>
      <c r="N933" s="1711"/>
    </row>
    <row r="934" spans="1:14" s="1685" customFormat="1" ht="24" customHeight="1">
      <c r="A934" s="1712"/>
      <c r="B934" s="2369" t="s">
        <v>1056</v>
      </c>
      <c r="C934" s="2373"/>
      <c r="D934" s="1705"/>
      <c r="E934" s="1706"/>
      <c r="F934" s="1707"/>
      <c r="G934" s="1707"/>
      <c r="H934" s="1707"/>
      <c r="I934" s="1669"/>
      <c r="J934" s="1669"/>
      <c r="K934" s="1708"/>
      <c r="L934" s="1721"/>
      <c r="M934" s="1711"/>
      <c r="N934" s="1711"/>
    </row>
    <row r="935" spans="1:14" ht="24" customHeight="1">
      <c r="A935" s="1712"/>
      <c r="B935" s="1673" t="s">
        <v>139</v>
      </c>
      <c r="C935" s="1674" t="s">
        <v>228</v>
      </c>
      <c r="D935" s="1675">
        <v>4.5</v>
      </c>
      <c r="E935" s="1676" t="s">
        <v>85</v>
      </c>
      <c r="F935" s="1736">
        <v>2679.9</v>
      </c>
      <c r="G935" s="1736">
        <v>519</v>
      </c>
      <c r="H935" s="1669">
        <f t="shared" ref="H935:H946" si="140">F935*D935</f>
        <v>12059.550000000001</v>
      </c>
      <c r="I935" s="1669">
        <f t="shared" ref="I935:I946" si="141">G935*D935</f>
        <v>2335.5</v>
      </c>
      <c r="J935" s="1669">
        <f t="shared" ref="J935:J941" si="142">SUM(H935:I935)</f>
        <v>14395.050000000001</v>
      </c>
      <c r="K935" s="1708"/>
      <c r="L935" s="1721"/>
      <c r="M935" s="1710" t="s">
        <v>1016</v>
      </c>
      <c r="N935" s="1711" t="s">
        <v>664</v>
      </c>
    </row>
    <row r="936" spans="1:14" ht="24" customHeight="1">
      <c r="A936" s="1712"/>
      <c r="B936" s="2368" t="s">
        <v>1057</v>
      </c>
      <c r="C936" s="2370"/>
      <c r="D936" s="1675">
        <v>22.9</v>
      </c>
      <c r="E936" s="1676"/>
      <c r="F936" s="1669"/>
      <c r="G936" s="1669"/>
      <c r="H936" s="1669"/>
      <c r="I936" s="1669"/>
      <c r="J936" s="1669"/>
      <c r="K936" s="1708"/>
      <c r="L936" s="1721"/>
      <c r="M936" s="1711"/>
      <c r="N936" s="1711"/>
    </row>
    <row r="937" spans="1:14" ht="24" customHeight="1">
      <c r="A937" s="1712"/>
      <c r="B937" s="1673" t="s">
        <v>139</v>
      </c>
      <c r="C937" s="1674" t="s">
        <v>1784</v>
      </c>
      <c r="D937" s="1675">
        <f>D936</f>
        <v>22.9</v>
      </c>
      <c r="E937" s="1676" t="s">
        <v>86</v>
      </c>
      <c r="F937" s="1669"/>
      <c r="G937" s="1669">
        <v>121</v>
      </c>
      <c r="H937" s="1669">
        <f t="shared" si="140"/>
        <v>0</v>
      </c>
      <c r="I937" s="1669">
        <f t="shared" si="141"/>
        <v>2770.8999999999996</v>
      </c>
      <c r="J937" s="1669">
        <f t="shared" si="142"/>
        <v>2770.8999999999996</v>
      </c>
      <c r="K937" s="1708"/>
      <c r="L937" s="1721"/>
      <c r="M937" s="1710" t="s">
        <v>1017</v>
      </c>
      <c r="N937" s="1711" t="s">
        <v>664</v>
      </c>
    </row>
    <row r="938" spans="1:14" ht="24" customHeight="1">
      <c r="A938" s="1712"/>
      <c r="B938" s="1673" t="s">
        <v>139</v>
      </c>
      <c r="C938" s="1674" t="s">
        <v>198</v>
      </c>
      <c r="D938" s="1675">
        <f>D936*0.5</f>
        <v>11.45</v>
      </c>
      <c r="E938" s="1676" t="s">
        <v>164</v>
      </c>
      <c r="F938" s="1669">
        <v>400</v>
      </c>
      <c r="G938" s="1669"/>
      <c r="H938" s="1669">
        <f t="shared" si="140"/>
        <v>4580</v>
      </c>
      <c r="I938" s="1669">
        <f t="shared" si="141"/>
        <v>0</v>
      </c>
      <c r="J938" s="1669">
        <f t="shared" si="142"/>
        <v>4580</v>
      </c>
      <c r="K938" s="1708"/>
      <c r="L938" s="1721"/>
      <c r="M938" s="1710" t="s">
        <v>1018</v>
      </c>
      <c r="N938" s="1711"/>
    </row>
    <row r="939" spans="1:14" ht="24" customHeight="1">
      <c r="A939" s="1712"/>
      <c r="B939" s="1673" t="s">
        <v>139</v>
      </c>
      <c r="C939" s="1674" t="s">
        <v>1782</v>
      </c>
      <c r="D939" s="1675">
        <f>D938*0.3</f>
        <v>3.4349999999999996</v>
      </c>
      <c r="E939" s="1676" t="s">
        <v>164</v>
      </c>
      <c r="F939" s="1669">
        <v>400</v>
      </c>
      <c r="G939" s="1669">
        <v>0</v>
      </c>
      <c r="H939" s="1669">
        <f t="shared" si="140"/>
        <v>1373.9999999999998</v>
      </c>
      <c r="I939" s="1669">
        <f t="shared" si="141"/>
        <v>0</v>
      </c>
      <c r="J939" s="1669">
        <f t="shared" si="142"/>
        <v>1373.9999999999998</v>
      </c>
      <c r="K939" s="1708"/>
      <c r="L939" s="1721"/>
      <c r="M939" s="1710" t="s">
        <v>1018</v>
      </c>
      <c r="N939" s="1711"/>
    </row>
    <row r="940" spans="1:14" ht="24" customHeight="1">
      <c r="A940" s="1712"/>
      <c r="B940" s="1673" t="s">
        <v>139</v>
      </c>
      <c r="C940" s="1674" t="s">
        <v>163</v>
      </c>
      <c r="D940" s="1675">
        <f>D936</f>
        <v>22.9</v>
      </c>
      <c r="E940" s="1676" t="s">
        <v>83</v>
      </c>
      <c r="F940" s="1669">
        <v>28</v>
      </c>
      <c r="G940" s="1669">
        <v>0</v>
      </c>
      <c r="H940" s="1669">
        <f t="shared" si="140"/>
        <v>641.19999999999993</v>
      </c>
      <c r="I940" s="1669">
        <f t="shared" si="141"/>
        <v>0</v>
      </c>
      <c r="J940" s="1669">
        <f t="shared" si="142"/>
        <v>641.19999999999993</v>
      </c>
      <c r="K940" s="1708"/>
      <c r="L940" s="1721"/>
      <c r="M940" s="1710" t="s">
        <v>1018</v>
      </c>
      <c r="N940" s="1711"/>
    </row>
    <row r="941" spans="1:14" ht="24" customHeight="1">
      <c r="A941" s="1712"/>
      <c r="B941" s="1673" t="s">
        <v>139</v>
      </c>
      <c r="C941" s="1674" t="s">
        <v>1781</v>
      </c>
      <c r="D941" s="1675">
        <f>D936*0.25</f>
        <v>5.7249999999999996</v>
      </c>
      <c r="E941" s="1676" t="s">
        <v>87</v>
      </c>
      <c r="F941" s="1736">
        <v>23.89</v>
      </c>
      <c r="G941" s="1736">
        <v>0</v>
      </c>
      <c r="H941" s="1669">
        <f t="shared" si="140"/>
        <v>136.77025</v>
      </c>
      <c r="I941" s="1669">
        <f t="shared" si="141"/>
        <v>0</v>
      </c>
      <c r="J941" s="1669">
        <f t="shared" si="142"/>
        <v>136.77025</v>
      </c>
      <c r="K941" s="1708"/>
      <c r="L941" s="1721"/>
      <c r="M941" s="1710" t="s">
        <v>660</v>
      </c>
      <c r="N941" s="1711"/>
    </row>
    <row r="942" spans="1:14" ht="24" customHeight="1">
      <c r="A942" s="1712"/>
      <c r="B942" s="1748" t="s">
        <v>1058</v>
      </c>
      <c r="C942" s="1674"/>
      <c r="D942" s="1675"/>
      <c r="E942" s="1676"/>
      <c r="F942" s="1736"/>
      <c r="G942" s="1736"/>
      <c r="H942" s="1669"/>
      <c r="I942" s="1669"/>
      <c r="J942" s="1669"/>
      <c r="K942" s="1708"/>
      <c r="L942" s="1721"/>
      <c r="M942" s="1710"/>
      <c r="N942" s="1711"/>
    </row>
    <row r="943" spans="1:14" ht="24" customHeight="1">
      <c r="A943" s="1712"/>
      <c r="B943" s="1673" t="s">
        <v>139</v>
      </c>
      <c r="C943" s="1674" t="s">
        <v>88</v>
      </c>
      <c r="D943" s="1675">
        <v>186</v>
      </c>
      <c r="E943" s="1676" t="s">
        <v>87</v>
      </c>
      <c r="F943" s="1677">
        <v>21.4</v>
      </c>
      <c r="G943" s="1677">
        <v>4.4000000000000004</v>
      </c>
      <c r="H943" s="1669">
        <f t="shared" si="140"/>
        <v>3980.3999999999996</v>
      </c>
      <c r="I943" s="1669">
        <f t="shared" si="141"/>
        <v>818.40000000000009</v>
      </c>
      <c r="J943" s="1669">
        <f>SUM(H943:I943)</f>
        <v>4798.7999999999993</v>
      </c>
      <c r="K943" s="1708"/>
      <c r="L943" s="1721"/>
      <c r="M943" s="1710" t="s">
        <v>1016</v>
      </c>
      <c r="N943" s="1711" t="s">
        <v>659</v>
      </c>
    </row>
    <row r="944" spans="1:14" ht="24" customHeight="1">
      <c r="A944" s="1712"/>
      <c r="B944" s="1673" t="s">
        <v>139</v>
      </c>
      <c r="C944" s="1674" t="s">
        <v>89</v>
      </c>
      <c r="D944" s="1675">
        <v>91.1</v>
      </c>
      <c r="E944" s="1676" t="s">
        <v>87</v>
      </c>
      <c r="F944" s="1677">
        <v>21.4</v>
      </c>
      <c r="G944" s="1677">
        <v>3.6</v>
      </c>
      <c r="H944" s="1669">
        <f t="shared" si="140"/>
        <v>1949.5399999999997</v>
      </c>
      <c r="I944" s="1669">
        <f t="shared" si="141"/>
        <v>327.96</v>
      </c>
      <c r="J944" s="1669">
        <f>SUM(H944:I944)</f>
        <v>2277.4999999999995</v>
      </c>
      <c r="K944" s="1708"/>
      <c r="L944" s="1721"/>
      <c r="M944" s="1710" t="s">
        <v>1016</v>
      </c>
      <c r="N944" s="1711" t="s">
        <v>659</v>
      </c>
    </row>
    <row r="945" spans="1:14" ht="24" customHeight="1">
      <c r="A945" s="1672"/>
      <c r="B945" s="1673" t="s">
        <v>139</v>
      </c>
      <c r="C945" s="1674" t="s">
        <v>90</v>
      </c>
      <c r="D945" s="1675">
        <v>245.7</v>
      </c>
      <c r="E945" s="1676" t="s">
        <v>87</v>
      </c>
      <c r="F945" s="1677">
        <v>21.2</v>
      </c>
      <c r="G945" s="1677">
        <v>3.6</v>
      </c>
      <c r="H945" s="1678">
        <f t="shared" si="140"/>
        <v>5208.8399999999992</v>
      </c>
      <c r="I945" s="1669">
        <f t="shared" si="141"/>
        <v>884.52</v>
      </c>
      <c r="J945" s="1669">
        <f>SUM(H945:I945)</f>
        <v>6093.3599999999988</v>
      </c>
      <c r="K945" s="1708"/>
      <c r="L945" s="1721"/>
      <c r="M945" s="1710" t="s">
        <v>1016</v>
      </c>
      <c r="N945" s="1711" t="s">
        <v>659</v>
      </c>
    </row>
    <row r="946" spans="1:14" ht="24" customHeight="1">
      <c r="A946" s="1672"/>
      <c r="B946" s="1673" t="s">
        <v>139</v>
      </c>
      <c r="C946" s="1674" t="s">
        <v>200</v>
      </c>
      <c r="D946" s="1675">
        <f>SUM(D943:D945)*0.03</f>
        <v>15.683999999999997</v>
      </c>
      <c r="E946" s="1676" t="s">
        <v>87</v>
      </c>
      <c r="F946" s="1677">
        <v>25.83</v>
      </c>
      <c r="G946" s="1677">
        <v>0</v>
      </c>
      <c r="H946" s="1678">
        <f t="shared" si="140"/>
        <v>405.11771999999991</v>
      </c>
      <c r="I946" s="1669">
        <f t="shared" si="141"/>
        <v>0</v>
      </c>
      <c r="J946" s="1669">
        <f>SUM(H946:I946)</f>
        <v>405.11771999999991</v>
      </c>
      <c r="K946" s="1708"/>
      <c r="L946" s="1721"/>
      <c r="M946" s="1710" t="s">
        <v>1019</v>
      </c>
      <c r="N946" s="1711"/>
    </row>
    <row r="947" spans="1:14" ht="24" customHeight="1">
      <c r="A947" s="1672"/>
      <c r="B947" s="2368" t="s">
        <v>1030</v>
      </c>
      <c r="C947" s="2370"/>
      <c r="D947" s="1675"/>
      <c r="E947" s="1676"/>
      <c r="F947" s="1669"/>
      <c r="G947" s="1669"/>
      <c r="H947" s="1678"/>
      <c r="I947" s="1669"/>
      <c r="J947" s="1669"/>
      <c r="K947" s="1708"/>
      <c r="L947" s="1721"/>
      <c r="M947" s="1711"/>
      <c r="N947" s="1711"/>
    </row>
    <row r="948" spans="1:14" ht="24" customHeight="1">
      <c r="A948" s="1672"/>
      <c r="B948" s="2368" t="s">
        <v>1031</v>
      </c>
      <c r="C948" s="2370"/>
      <c r="D948" s="1675"/>
      <c r="E948" s="1676"/>
      <c r="F948" s="1669"/>
      <c r="G948" s="1669"/>
      <c r="H948" s="1678"/>
      <c r="I948" s="1669"/>
      <c r="J948" s="1669"/>
      <c r="K948" s="1708"/>
      <c r="L948" s="1721"/>
      <c r="M948" s="1711"/>
      <c r="N948" s="1711"/>
    </row>
    <row r="949" spans="1:14" ht="24" customHeight="1">
      <c r="A949" s="1780"/>
      <c r="B949" s="1780"/>
      <c r="C949" s="1827" t="s">
        <v>133</v>
      </c>
      <c r="D949" s="2365"/>
      <c r="E949" s="2365"/>
      <c r="F949" s="2365"/>
      <c r="G949" s="2365"/>
      <c r="H949" s="2365"/>
      <c r="I949" s="2365"/>
      <c r="J949" s="2365"/>
      <c r="K949" s="2365"/>
      <c r="L949" s="1721"/>
      <c r="M949" s="1711"/>
      <c r="N949" s="1711"/>
    </row>
    <row r="950" spans="1:14" ht="24" customHeight="1">
      <c r="A950" s="1780"/>
      <c r="B950" s="2366" t="s">
        <v>1769</v>
      </c>
      <c r="C950" s="2366"/>
      <c r="D950" s="1828"/>
      <c r="E950" s="1769"/>
      <c r="F950" s="1828"/>
      <c r="G950" s="1828" t="s">
        <v>134</v>
      </c>
      <c r="H950" s="1828"/>
      <c r="I950" s="1828"/>
      <c r="J950" s="1828"/>
      <c r="K950" s="1828"/>
      <c r="L950" s="1721"/>
      <c r="M950" s="1711"/>
      <c r="N950" s="1711"/>
    </row>
    <row r="951" spans="1:14" ht="24" customHeight="1">
      <c r="A951" s="1780"/>
      <c r="B951" s="2367" t="s">
        <v>1970</v>
      </c>
      <c r="C951" s="2367"/>
      <c r="D951" s="1831"/>
      <c r="E951" s="1832"/>
      <c r="F951" s="1833"/>
      <c r="G951" s="1833" t="s">
        <v>1971</v>
      </c>
      <c r="H951" s="1833"/>
      <c r="I951" s="1833"/>
      <c r="J951" s="1833"/>
      <c r="K951" s="1833"/>
      <c r="L951" s="1721"/>
      <c r="M951" s="1711"/>
      <c r="N951" s="1711"/>
    </row>
    <row r="952" spans="1:14" ht="24" customHeight="1">
      <c r="A952" s="1830"/>
      <c r="B952" s="1828" t="s">
        <v>2031</v>
      </c>
      <c r="C952" s="1830"/>
      <c r="D952" s="1830"/>
      <c r="E952" s="1830"/>
      <c r="F952" s="1830"/>
      <c r="G952" s="1828" t="s">
        <v>2031</v>
      </c>
      <c r="H952" s="1830"/>
      <c r="I952" s="1830"/>
      <c r="J952" s="1830"/>
      <c r="K952" s="1830"/>
      <c r="L952" s="1721"/>
      <c r="M952" s="1711"/>
      <c r="N952" s="1711"/>
    </row>
    <row r="953" spans="1:14" ht="24" customHeight="1">
      <c r="B953" s="1721" t="s">
        <v>1984</v>
      </c>
      <c r="C953" s="1830"/>
      <c r="D953" s="1685"/>
      <c r="E953" s="1685"/>
      <c r="G953" s="1721" t="s">
        <v>1985</v>
      </c>
      <c r="H953" s="1685"/>
      <c r="I953" s="1685"/>
      <c r="J953" s="1685"/>
      <c r="K953" s="1685"/>
      <c r="L953" s="1721"/>
      <c r="M953" s="1711"/>
      <c r="N953" s="1711"/>
    </row>
    <row r="954" spans="1:14" ht="24" customHeight="1">
      <c r="B954" s="1828" t="s">
        <v>670</v>
      </c>
      <c r="L954" s="1721"/>
      <c r="M954" s="1711"/>
      <c r="N954" s="1711"/>
    </row>
    <row r="955" spans="1:14" ht="24" customHeight="1">
      <c r="B955" s="1721" t="s">
        <v>1972</v>
      </c>
      <c r="L955" s="1721"/>
      <c r="M955" s="1711"/>
      <c r="N955" s="1711"/>
    </row>
    <row r="956" spans="1:14" ht="24" customHeight="1">
      <c r="A956" s="1712"/>
      <c r="B956" s="1703" t="s">
        <v>139</v>
      </c>
      <c r="C956" s="1743" t="s">
        <v>228</v>
      </c>
      <c r="D956" s="1705">
        <v>15.9</v>
      </c>
      <c r="E956" s="1706" t="s">
        <v>85</v>
      </c>
      <c r="F956" s="1742">
        <v>2679.9</v>
      </c>
      <c r="G956" s="1742">
        <v>519</v>
      </c>
      <c r="H956" s="1669">
        <f t="shared" ref="H956:H971" si="143">F956*D956</f>
        <v>42610.41</v>
      </c>
      <c r="I956" s="1669">
        <f t="shared" ref="I956:I971" si="144">G956*D956</f>
        <v>8252.1</v>
      </c>
      <c r="J956" s="1669">
        <f t="shared" ref="J956:J962" si="145">SUM(H956:I956)</f>
        <v>50862.51</v>
      </c>
      <c r="K956" s="1708"/>
      <c r="L956" s="1721"/>
      <c r="M956" s="1710" t="s">
        <v>1016</v>
      </c>
      <c r="N956" s="1711" t="s">
        <v>659</v>
      </c>
    </row>
    <row r="957" spans="1:14" ht="24" customHeight="1">
      <c r="A957" s="1712"/>
      <c r="B957" s="2368" t="s">
        <v>1033</v>
      </c>
      <c r="C957" s="2370"/>
      <c r="D957" s="1675">
        <v>65.400000000000006</v>
      </c>
      <c r="E957" s="1676"/>
      <c r="F957" s="1669"/>
      <c r="G957" s="1669"/>
      <c r="H957" s="1669"/>
      <c r="I957" s="1669"/>
      <c r="J957" s="1669"/>
      <c r="K957" s="1708"/>
      <c r="L957" s="1721"/>
      <c r="M957" s="1711"/>
      <c r="N957" s="1711"/>
    </row>
    <row r="958" spans="1:14" ht="24" customHeight="1">
      <c r="A958" s="1712"/>
      <c r="B958" s="1673" t="s">
        <v>139</v>
      </c>
      <c r="C958" s="1674" t="s">
        <v>1784</v>
      </c>
      <c r="D958" s="1675">
        <f>D957</f>
        <v>65.400000000000006</v>
      </c>
      <c r="E958" s="1676" t="s">
        <v>86</v>
      </c>
      <c r="F958" s="1736">
        <v>0</v>
      </c>
      <c r="G958" s="1669">
        <v>121</v>
      </c>
      <c r="H958" s="1669">
        <f t="shared" si="143"/>
        <v>0</v>
      </c>
      <c r="I958" s="1669">
        <f t="shared" si="144"/>
        <v>7913.4000000000005</v>
      </c>
      <c r="J958" s="1669">
        <f t="shared" si="145"/>
        <v>7913.4000000000005</v>
      </c>
      <c r="K958" s="1708"/>
      <c r="L958" s="1721"/>
      <c r="M958" s="1710" t="s">
        <v>1017</v>
      </c>
      <c r="N958" s="1711" t="s">
        <v>659</v>
      </c>
    </row>
    <row r="959" spans="1:14" ht="24" customHeight="1">
      <c r="A959" s="1712"/>
      <c r="B959" s="1673" t="s">
        <v>139</v>
      </c>
      <c r="C959" s="1674" t="s">
        <v>198</v>
      </c>
      <c r="D959" s="1675">
        <f>D957*0.5</f>
        <v>32.700000000000003</v>
      </c>
      <c r="E959" s="1676" t="s">
        <v>164</v>
      </c>
      <c r="F959" s="1736">
        <v>400</v>
      </c>
      <c r="G959" s="1736">
        <v>0</v>
      </c>
      <c r="H959" s="1669">
        <f t="shared" si="143"/>
        <v>13080.000000000002</v>
      </c>
      <c r="I959" s="1669">
        <f t="shared" si="144"/>
        <v>0</v>
      </c>
      <c r="J959" s="1669">
        <f t="shared" si="145"/>
        <v>13080.000000000002</v>
      </c>
      <c r="K959" s="1708"/>
      <c r="L959" s="1721"/>
      <c r="M959" s="1710" t="s">
        <v>1018</v>
      </c>
      <c r="N959" s="1711"/>
    </row>
    <row r="960" spans="1:14" ht="24" customHeight="1">
      <c r="A960" s="1712"/>
      <c r="B960" s="1673" t="s">
        <v>139</v>
      </c>
      <c r="C960" s="1674" t="s">
        <v>1782</v>
      </c>
      <c r="D960" s="1675">
        <f>D959*0.3</f>
        <v>9.81</v>
      </c>
      <c r="E960" s="1676" t="s">
        <v>164</v>
      </c>
      <c r="F960" s="1736">
        <v>400</v>
      </c>
      <c r="G960" s="1736">
        <v>0</v>
      </c>
      <c r="H960" s="1669">
        <f t="shared" si="143"/>
        <v>3924</v>
      </c>
      <c r="I960" s="1669">
        <f t="shared" si="144"/>
        <v>0</v>
      </c>
      <c r="J960" s="1669">
        <f t="shared" si="145"/>
        <v>3924</v>
      </c>
      <c r="K960" s="1708"/>
      <c r="L960" s="1721"/>
      <c r="M960" s="1710" t="s">
        <v>1018</v>
      </c>
      <c r="N960" s="1685"/>
    </row>
    <row r="961" spans="1:14" s="1685" customFormat="1" ht="24" customHeight="1">
      <c r="A961" s="1712"/>
      <c r="B961" s="1673" t="s">
        <v>139</v>
      </c>
      <c r="C961" s="1674" t="s">
        <v>163</v>
      </c>
      <c r="D961" s="1675">
        <f>D957</f>
        <v>65.400000000000006</v>
      </c>
      <c r="E961" s="1676" t="s">
        <v>83</v>
      </c>
      <c r="F961" s="1736">
        <v>28</v>
      </c>
      <c r="G961" s="1736">
        <v>0</v>
      </c>
      <c r="H961" s="1669">
        <f t="shared" si="143"/>
        <v>1831.2000000000003</v>
      </c>
      <c r="I961" s="1669">
        <f t="shared" si="144"/>
        <v>0</v>
      </c>
      <c r="J961" s="1669">
        <f t="shared" si="145"/>
        <v>1831.2000000000003</v>
      </c>
      <c r="K961" s="1708"/>
      <c r="L961" s="1721"/>
      <c r="M961" s="1710" t="s">
        <v>1018</v>
      </c>
    </row>
    <row r="962" spans="1:14" s="1685" customFormat="1" ht="24" customHeight="1">
      <c r="A962" s="1712"/>
      <c r="B962" s="1673" t="s">
        <v>139</v>
      </c>
      <c r="C962" s="1674" t="s">
        <v>1781</v>
      </c>
      <c r="D962" s="1675">
        <f>D957*0.25</f>
        <v>16.350000000000001</v>
      </c>
      <c r="E962" s="1676" t="s">
        <v>87</v>
      </c>
      <c r="F962" s="1736">
        <v>23.89</v>
      </c>
      <c r="G962" s="1736">
        <v>0</v>
      </c>
      <c r="H962" s="1669">
        <f t="shared" si="143"/>
        <v>390.60150000000004</v>
      </c>
      <c r="I962" s="1669">
        <f t="shared" si="144"/>
        <v>0</v>
      </c>
      <c r="J962" s="1669">
        <f t="shared" si="145"/>
        <v>390.60150000000004</v>
      </c>
      <c r="K962" s="1708"/>
      <c r="L962" s="1721"/>
      <c r="M962" s="1710" t="s">
        <v>660</v>
      </c>
    </row>
    <row r="963" spans="1:14" s="1685" customFormat="1" ht="24" customHeight="1">
      <c r="A963" s="1712"/>
      <c r="B963" s="2368" t="s">
        <v>1032</v>
      </c>
      <c r="C963" s="2370"/>
      <c r="D963" s="1675"/>
      <c r="E963" s="1676"/>
      <c r="F963" s="1669"/>
      <c r="G963" s="1669"/>
      <c r="H963" s="1669"/>
      <c r="I963" s="1669"/>
      <c r="J963" s="1669"/>
      <c r="K963" s="1708"/>
      <c r="L963" s="1721"/>
      <c r="M963" s="1711"/>
      <c r="N963" s="1711"/>
    </row>
    <row r="964" spans="1:14" ht="24" customHeight="1">
      <c r="A964" s="1712"/>
      <c r="B964" s="1673" t="s">
        <v>139</v>
      </c>
      <c r="C964" s="1674" t="s">
        <v>88</v>
      </c>
      <c r="D964" s="1675">
        <v>326.3</v>
      </c>
      <c r="E964" s="1676" t="s">
        <v>87</v>
      </c>
      <c r="F964" s="1677">
        <v>21.4</v>
      </c>
      <c r="G964" s="1677">
        <v>4.4000000000000004</v>
      </c>
      <c r="H964" s="1669">
        <f t="shared" si="143"/>
        <v>6982.82</v>
      </c>
      <c r="I964" s="1669">
        <f t="shared" si="144"/>
        <v>1435.7200000000003</v>
      </c>
      <c r="J964" s="1669">
        <f t="shared" ref="J964:J971" si="146">SUM(H964:I964)</f>
        <v>8418.5400000000009</v>
      </c>
      <c r="K964" s="1708"/>
      <c r="L964" s="1721"/>
      <c r="M964" s="1710" t="s">
        <v>1016</v>
      </c>
      <c r="N964" s="1711" t="s">
        <v>659</v>
      </c>
    </row>
    <row r="965" spans="1:14" ht="24" customHeight="1">
      <c r="A965" s="1712"/>
      <c r="B965" s="1673" t="s">
        <v>139</v>
      </c>
      <c r="C965" s="1674" t="s">
        <v>89</v>
      </c>
      <c r="D965" s="1675">
        <v>833.5</v>
      </c>
      <c r="E965" s="1676" t="s">
        <v>87</v>
      </c>
      <c r="F965" s="1677">
        <v>21.4</v>
      </c>
      <c r="G965" s="1677">
        <v>3.6</v>
      </c>
      <c r="H965" s="1669">
        <f t="shared" si="143"/>
        <v>17836.899999999998</v>
      </c>
      <c r="I965" s="1669">
        <f t="shared" si="144"/>
        <v>3000.6</v>
      </c>
      <c r="J965" s="1669">
        <f t="shared" si="146"/>
        <v>20837.499999999996</v>
      </c>
      <c r="K965" s="1708"/>
      <c r="L965" s="1721"/>
      <c r="M965" s="1710" t="s">
        <v>1016</v>
      </c>
      <c r="N965" s="1711" t="s">
        <v>659</v>
      </c>
    </row>
    <row r="966" spans="1:14" ht="24" customHeight="1">
      <c r="A966" s="1664"/>
      <c r="B966" s="1665" t="s">
        <v>139</v>
      </c>
      <c r="C966" s="1666" t="s">
        <v>91</v>
      </c>
      <c r="D966" s="1667">
        <v>757.6</v>
      </c>
      <c r="E966" s="1668" t="s">
        <v>87</v>
      </c>
      <c r="F966" s="1744">
        <v>21.2</v>
      </c>
      <c r="G966" s="1744">
        <v>3.1</v>
      </c>
      <c r="H966" s="1670">
        <f t="shared" si="143"/>
        <v>16061.12</v>
      </c>
      <c r="I966" s="1670">
        <f t="shared" si="144"/>
        <v>2348.56</v>
      </c>
      <c r="J966" s="1669">
        <f t="shared" si="146"/>
        <v>18409.68</v>
      </c>
      <c r="K966" s="1708"/>
      <c r="L966" s="1721"/>
      <c r="M966" s="1710" t="s">
        <v>1016</v>
      </c>
      <c r="N966" s="1711" t="s">
        <v>659</v>
      </c>
    </row>
    <row r="967" spans="1:14" ht="24" customHeight="1">
      <c r="A967" s="1712"/>
      <c r="B967" s="1673" t="s">
        <v>139</v>
      </c>
      <c r="C967" s="1674" t="s">
        <v>200</v>
      </c>
      <c r="D967" s="1675">
        <f>SUM(D964:D966)*0.03</f>
        <v>57.521999999999998</v>
      </c>
      <c r="E967" s="1676" t="s">
        <v>87</v>
      </c>
      <c r="F967" s="1677">
        <v>25.83</v>
      </c>
      <c r="G967" s="1677">
        <v>0</v>
      </c>
      <c r="H967" s="1669">
        <f t="shared" si="143"/>
        <v>1485.7932599999999</v>
      </c>
      <c r="I967" s="1669">
        <f t="shared" si="144"/>
        <v>0</v>
      </c>
      <c r="J967" s="1678">
        <f t="shared" si="146"/>
        <v>1485.7932599999999</v>
      </c>
      <c r="K967" s="1708"/>
      <c r="L967" s="1721"/>
      <c r="M967" s="1710" t="s">
        <v>1019</v>
      </c>
      <c r="N967" s="1711"/>
    </row>
    <row r="968" spans="1:14" ht="24" customHeight="1">
      <c r="A968" s="1712"/>
      <c r="B968" s="1673" t="s">
        <v>139</v>
      </c>
      <c r="C968" s="1713" t="s">
        <v>1104</v>
      </c>
      <c r="D968" s="1675">
        <v>4140</v>
      </c>
      <c r="E968" s="1676" t="s">
        <v>87</v>
      </c>
      <c r="F968" s="1669">
        <v>38.799999999999997</v>
      </c>
      <c r="G968" s="1669">
        <v>12</v>
      </c>
      <c r="H968" s="1669">
        <f t="shared" si="143"/>
        <v>160632</v>
      </c>
      <c r="I968" s="1669">
        <f t="shared" si="144"/>
        <v>49680</v>
      </c>
      <c r="J968" s="1678">
        <f t="shared" si="146"/>
        <v>210312</v>
      </c>
      <c r="K968" s="1708"/>
      <c r="L968" s="1721"/>
      <c r="M968" s="1710" t="s">
        <v>1020</v>
      </c>
      <c r="N968" s="1711" t="s">
        <v>664</v>
      </c>
    </row>
    <row r="969" spans="1:14" ht="24" customHeight="1">
      <c r="A969" s="1712"/>
      <c r="B969" s="1673" t="s">
        <v>139</v>
      </c>
      <c r="C969" s="1713" t="s">
        <v>1105</v>
      </c>
      <c r="D969" s="1675">
        <v>410.4</v>
      </c>
      <c r="E969" s="1676" t="s">
        <v>87</v>
      </c>
      <c r="F969" s="1736">
        <v>36.4</v>
      </c>
      <c r="G969" s="1669">
        <v>12</v>
      </c>
      <c r="H969" s="1669">
        <f t="shared" si="143"/>
        <v>14938.56</v>
      </c>
      <c r="I969" s="1669">
        <f t="shared" si="144"/>
        <v>4924.7999999999993</v>
      </c>
      <c r="J969" s="1678">
        <f t="shared" si="146"/>
        <v>19863.36</v>
      </c>
      <c r="K969" s="1708"/>
      <c r="L969" s="1721"/>
      <c r="M969" s="1710" t="s">
        <v>1020</v>
      </c>
      <c r="N969" s="1711" t="s">
        <v>664</v>
      </c>
    </row>
    <row r="970" spans="1:14" ht="24" customHeight="1">
      <c r="A970" s="1702"/>
      <c r="B970" s="1703" t="s">
        <v>139</v>
      </c>
      <c r="C970" s="1704" t="s">
        <v>1207</v>
      </c>
      <c r="D970" s="1705">
        <v>155.69999999999999</v>
      </c>
      <c r="E970" s="1706" t="s">
        <v>87</v>
      </c>
      <c r="F970" s="1707">
        <v>30.1</v>
      </c>
      <c r="G970" s="1707">
        <v>12</v>
      </c>
      <c r="H970" s="1707">
        <f t="shared" si="143"/>
        <v>4686.57</v>
      </c>
      <c r="I970" s="1707">
        <f t="shared" si="144"/>
        <v>1868.3999999999999</v>
      </c>
      <c r="J970" s="1669">
        <f t="shared" si="146"/>
        <v>6554.9699999999993</v>
      </c>
      <c r="K970" s="1708"/>
      <c r="L970" s="1721"/>
      <c r="M970" s="1710" t="s">
        <v>1020</v>
      </c>
      <c r="N970" s="1711" t="s">
        <v>664</v>
      </c>
    </row>
    <row r="971" spans="1:14" ht="24" customHeight="1">
      <c r="A971" s="1712"/>
      <c r="B971" s="1673" t="s">
        <v>139</v>
      </c>
      <c r="C971" s="1713" t="s">
        <v>90</v>
      </c>
      <c r="D971" s="1675">
        <v>22.8</v>
      </c>
      <c r="E971" s="1676" t="s">
        <v>87</v>
      </c>
      <c r="F971" s="1736">
        <v>21.2</v>
      </c>
      <c r="G971" s="1669">
        <v>3.6</v>
      </c>
      <c r="H971" s="1669">
        <f t="shared" si="143"/>
        <v>483.36</v>
      </c>
      <c r="I971" s="1669">
        <f t="shared" si="144"/>
        <v>82.08</v>
      </c>
      <c r="J971" s="1678">
        <f t="shared" si="146"/>
        <v>565.44000000000005</v>
      </c>
      <c r="K971" s="1708"/>
      <c r="L971" s="1721"/>
      <c r="M971" s="1710" t="s">
        <v>1016</v>
      </c>
      <c r="N971" s="1711" t="s">
        <v>659</v>
      </c>
    </row>
    <row r="972" spans="1:14" ht="24" customHeight="1">
      <c r="A972" s="1712"/>
      <c r="B972" s="1748" t="s">
        <v>1035</v>
      </c>
      <c r="C972" s="1713"/>
      <c r="D972" s="1675"/>
      <c r="E972" s="1676"/>
      <c r="F972" s="1736"/>
      <c r="G972" s="1669"/>
      <c r="H972" s="1669"/>
      <c r="I972" s="1669"/>
      <c r="J972" s="1678"/>
      <c r="K972" s="1708"/>
      <c r="L972" s="1721"/>
      <c r="M972" s="1710"/>
      <c r="N972" s="1711"/>
    </row>
    <row r="973" spans="1:14" ht="24" customHeight="1">
      <c r="A973" s="1712"/>
      <c r="B973" s="2368" t="s">
        <v>1034</v>
      </c>
      <c r="C973" s="2370"/>
      <c r="D973" s="1675"/>
      <c r="E973" s="1676"/>
      <c r="F973" s="1669"/>
      <c r="G973" s="1669"/>
      <c r="H973" s="1669"/>
      <c r="I973" s="1669"/>
      <c r="J973" s="1669"/>
      <c r="K973" s="1708"/>
      <c r="L973" s="1721"/>
      <c r="M973" s="1711"/>
      <c r="N973" s="1711"/>
    </row>
    <row r="974" spans="1:14" ht="24" customHeight="1">
      <c r="A974" s="1712"/>
      <c r="B974" s="1673" t="s">
        <v>139</v>
      </c>
      <c r="C974" s="1674" t="s">
        <v>228</v>
      </c>
      <c r="D974" s="1675">
        <v>17</v>
      </c>
      <c r="E974" s="1676" t="s">
        <v>85</v>
      </c>
      <c r="F974" s="1736">
        <v>2679.9</v>
      </c>
      <c r="G974" s="1736">
        <v>519</v>
      </c>
      <c r="H974" s="1669">
        <f t="shared" ref="H974:H993" si="147">F974*D974</f>
        <v>45558.3</v>
      </c>
      <c r="I974" s="1669">
        <f t="shared" ref="I974:I993" si="148">G974*D974</f>
        <v>8823</v>
      </c>
      <c r="J974" s="1669">
        <f t="shared" ref="J974:J980" si="149">SUM(H974:I974)</f>
        <v>54381.3</v>
      </c>
      <c r="K974" s="1708"/>
      <c r="L974" s="1721"/>
      <c r="M974" s="1710" t="s">
        <v>1016</v>
      </c>
      <c r="N974" s="1711" t="s">
        <v>659</v>
      </c>
    </row>
    <row r="975" spans="1:14" ht="24" customHeight="1">
      <c r="A975" s="1712"/>
      <c r="B975" s="2368" t="s">
        <v>1036</v>
      </c>
      <c r="C975" s="2370"/>
      <c r="D975" s="1675">
        <v>93.9</v>
      </c>
      <c r="E975" s="1676"/>
      <c r="F975" s="1669"/>
      <c r="G975" s="1669"/>
      <c r="H975" s="1669"/>
      <c r="I975" s="1669"/>
      <c r="J975" s="1669"/>
      <c r="K975" s="1708"/>
      <c r="L975" s="1721"/>
      <c r="M975" s="1711"/>
      <c r="N975" s="1711"/>
    </row>
    <row r="976" spans="1:14" ht="24" customHeight="1">
      <c r="A976" s="1712"/>
      <c r="B976" s="1673" t="s">
        <v>139</v>
      </c>
      <c r="C976" s="1674" t="s">
        <v>1784</v>
      </c>
      <c r="D976" s="1675">
        <f>D975</f>
        <v>93.9</v>
      </c>
      <c r="E976" s="1676" t="s">
        <v>86</v>
      </c>
      <c r="F976" s="1736">
        <v>0</v>
      </c>
      <c r="G976" s="1669">
        <v>121</v>
      </c>
      <c r="H976" s="1669">
        <f t="shared" si="147"/>
        <v>0</v>
      </c>
      <c r="I976" s="1669">
        <f t="shared" si="148"/>
        <v>11361.900000000001</v>
      </c>
      <c r="J976" s="1669">
        <f t="shared" si="149"/>
        <v>11361.900000000001</v>
      </c>
      <c r="K976" s="1708"/>
      <c r="L976" s="1721"/>
      <c r="M976" s="1710" t="s">
        <v>1017</v>
      </c>
      <c r="N976" s="1711" t="s">
        <v>659</v>
      </c>
    </row>
    <row r="977" spans="1:14" ht="24" customHeight="1">
      <c r="A977" s="1712"/>
      <c r="B977" s="1673" t="s">
        <v>139</v>
      </c>
      <c r="C977" s="1674" t="s">
        <v>198</v>
      </c>
      <c r="D977" s="1675">
        <f>D975*0.5</f>
        <v>46.95</v>
      </c>
      <c r="E977" s="1676" t="s">
        <v>164</v>
      </c>
      <c r="F977" s="1736">
        <v>400</v>
      </c>
      <c r="G977" s="1736">
        <v>0</v>
      </c>
      <c r="H977" s="1669">
        <f t="shared" si="147"/>
        <v>18780</v>
      </c>
      <c r="I977" s="1669">
        <f t="shared" si="148"/>
        <v>0</v>
      </c>
      <c r="J977" s="1669">
        <f t="shared" si="149"/>
        <v>18780</v>
      </c>
      <c r="K977" s="1708"/>
      <c r="L977" s="1721"/>
      <c r="M977" s="1710" t="s">
        <v>1018</v>
      </c>
      <c r="N977" s="1711"/>
    </row>
    <row r="978" spans="1:14" ht="24" customHeight="1">
      <c r="A978" s="1712"/>
      <c r="B978" s="1673" t="s">
        <v>139</v>
      </c>
      <c r="C978" s="1674" t="s">
        <v>1782</v>
      </c>
      <c r="D978" s="1675">
        <f>D977*0.3</f>
        <v>14.085000000000001</v>
      </c>
      <c r="E978" s="1676" t="s">
        <v>164</v>
      </c>
      <c r="F978" s="1736">
        <v>400</v>
      </c>
      <c r="G978" s="1736">
        <v>0</v>
      </c>
      <c r="H978" s="1669">
        <f t="shared" si="147"/>
        <v>5634</v>
      </c>
      <c r="I978" s="1669">
        <f t="shared" si="148"/>
        <v>0</v>
      </c>
      <c r="J978" s="1669">
        <f t="shared" si="149"/>
        <v>5634</v>
      </c>
      <c r="K978" s="1708"/>
      <c r="L978" s="1721"/>
      <c r="M978" s="1710" t="s">
        <v>1018</v>
      </c>
      <c r="N978" s="1685"/>
    </row>
    <row r="979" spans="1:14" ht="24" customHeight="1">
      <c r="A979" s="1712"/>
      <c r="B979" s="1673" t="s">
        <v>139</v>
      </c>
      <c r="C979" s="1674" t="s">
        <v>163</v>
      </c>
      <c r="D979" s="1675">
        <f>D975</f>
        <v>93.9</v>
      </c>
      <c r="E979" s="1676" t="s">
        <v>83</v>
      </c>
      <c r="F979" s="1736">
        <v>28</v>
      </c>
      <c r="G979" s="1736">
        <v>0</v>
      </c>
      <c r="H979" s="1669">
        <f t="shared" si="147"/>
        <v>2629.2000000000003</v>
      </c>
      <c r="I979" s="1669">
        <f t="shared" si="148"/>
        <v>0</v>
      </c>
      <c r="J979" s="1669">
        <f t="shared" si="149"/>
        <v>2629.2000000000003</v>
      </c>
      <c r="K979" s="1708"/>
      <c r="L979" s="1721"/>
      <c r="M979" s="1710" t="s">
        <v>1018</v>
      </c>
      <c r="N979" s="1685"/>
    </row>
    <row r="980" spans="1:14" ht="24" customHeight="1">
      <c r="A980" s="1712"/>
      <c r="B980" s="1673" t="s">
        <v>139</v>
      </c>
      <c r="C980" s="1674" t="s">
        <v>1781</v>
      </c>
      <c r="D980" s="1675">
        <f>D975*0.25</f>
        <v>23.475000000000001</v>
      </c>
      <c r="E980" s="1676" t="s">
        <v>87</v>
      </c>
      <c r="F980" s="1736">
        <v>23.89</v>
      </c>
      <c r="G980" s="1736">
        <v>0</v>
      </c>
      <c r="H980" s="1669">
        <f t="shared" si="147"/>
        <v>560.81775000000005</v>
      </c>
      <c r="I980" s="1669">
        <f t="shared" si="148"/>
        <v>0</v>
      </c>
      <c r="J980" s="1669">
        <f t="shared" si="149"/>
        <v>560.81775000000005</v>
      </c>
      <c r="K980" s="1708"/>
      <c r="L980" s="1721"/>
      <c r="M980" s="1710" t="s">
        <v>660</v>
      </c>
      <c r="N980" s="1685"/>
    </row>
    <row r="981" spans="1:14" ht="24" customHeight="1">
      <c r="A981" s="1712"/>
      <c r="B981" s="1673"/>
      <c r="C981" s="1674"/>
      <c r="D981" s="1675"/>
      <c r="E981" s="1676"/>
      <c r="F981" s="1736"/>
      <c r="G981" s="1736"/>
      <c r="H981" s="1669"/>
      <c r="I981" s="1669"/>
      <c r="J981" s="1669"/>
      <c r="K981" s="1708"/>
      <c r="L981" s="1721"/>
      <c r="M981" s="1710"/>
      <c r="N981" s="1685"/>
    </row>
    <row r="982" spans="1:14" ht="24" customHeight="1">
      <c r="A982" s="1780"/>
      <c r="B982" s="1780"/>
      <c r="C982" s="1827" t="s">
        <v>133</v>
      </c>
      <c r="D982" s="2365"/>
      <c r="E982" s="2365"/>
      <c r="F982" s="2365"/>
      <c r="G982" s="2365"/>
      <c r="H982" s="2365"/>
      <c r="I982" s="2365"/>
      <c r="J982" s="2365"/>
      <c r="K982" s="2365"/>
      <c r="L982" s="1721"/>
      <c r="M982" s="1710"/>
      <c r="N982" s="1685"/>
    </row>
    <row r="983" spans="1:14" ht="24" customHeight="1">
      <c r="A983" s="1780"/>
      <c r="B983" s="2366" t="s">
        <v>1769</v>
      </c>
      <c r="C983" s="2366"/>
      <c r="D983" s="1828"/>
      <c r="E983" s="1769"/>
      <c r="F983" s="1828"/>
      <c r="G983" s="1828" t="s">
        <v>134</v>
      </c>
      <c r="H983" s="1828"/>
      <c r="I983" s="1828"/>
      <c r="J983" s="1828"/>
      <c r="K983" s="1828"/>
      <c r="L983" s="1721"/>
      <c r="M983" s="1710"/>
      <c r="N983" s="1685"/>
    </row>
    <row r="984" spans="1:14" ht="24" customHeight="1">
      <c r="A984" s="1780"/>
      <c r="B984" s="2367" t="s">
        <v>1970</v>
      </c>
      <c r="C984" s="2367"/>
      <c r="D984" s="1831"/>
      <c r="E984" s="1832"/>
      <c r="F984" s="1833"/>
      <c r="G984" s="1833" t="s">
        <v>1971</v>
      </c>
      <c r="H984" s="1833"/>
      <c r="I984" s="1833"/>
      <c r="J984" s="1833"/>
      <c r="K984" s="1833"/>
      <c r="L984" s="1721"/>
      <c r="M984" s="1710"/>
      <c r="N984" s="1685"/>
    </row>
    <row r="985" spans="1:14" ht="24" customHeight="1">
      <c r="A985" s="1830"/>
      <c r="B985" s="1828" t="s">
        <v>2031</v>
      </c>
      <c r="C985" s="1830"/>
      <c r="D985" s="1830"/>
      <c r="E985" s="1830"/>
      <c r="F985" s="1830"/>
      <c r="G985" s="1828" t="s">
        <v>2031</v>
      </c>
      <c r="H985" s="1830"/>
      <c r="I985" s="1830"/>
      <c r="J985" s="1830"/>
      <c r="K985" s="1830"/>
      <c r="L985" s="1721"/>
      <c r="M985" s="1710"/>
      <c r="N985" s="1685"/>
    </row>
    <row r="986" spans="1:14" ht="24" customHeight="1">
      <c r="B986" s="1721" t="s">
        <v>1984</v>
      </c>
      <c r="C986" s="1830"/>
      <c r="D986" s="1685"/>
      <c r="E986" s="1685"/>
      <c r="G986" s="1721" t="s">
        <v>1985</v>
      </c>
      <c r="H986" s="1685"/>
      <c r="I986" s="1685"/>
      <c r="J986" s="1685"/>
      <c r="K986" s="1685"/>
      <c r="L986" s="1721"/>
      <c r="M986" s="1710"/>
      <c r="N986" s="1685"/>
    </row>
    <row r="987" spans="1:14" ht="24" customHeight="1">
      <c r="B987" s="1828" t="s">
        <v>670</v>
      </c>
      <c r="L987" s="1721"/>
      <c r="M987" s="1710"/>
      <c r="N987" s="1685"/>
    </row>
    <row r="988" spans="1:14" ht="24" customHeight="1">
      <c r="B988" s="1721" t="s">
        <v>1972</v>
      </c>
      <c r="L988" s="1721"/>
      <c r="M988" s="1710"/>
      <c r="N988" s="1685"/>
    </row>
    <row r="989" spans="1:14" ht="24" customHeight="1">
      <c r="A989" s="1712"/>
      <c r="B989" s="2368" t="s">
        <v>1037</v>
      </c>
      <c r="C989" s="2370"/>
      <c r="D989" s="1675"/>
      <c r="E989" s="1676"/>
      <c r="F989" s="1669"/>
      <c r="G989" s="1669"/>
      <c r="H989" s="1669"/>
      <c r="I989" s="1669"/>
      <c r="J989" s="1669"/>
      <c r="K989" s="1708"/>
      <c r="L989" s="1721"/>
      <c r="M989" s="1711"/>
      <c r="N989" s="1711"/>
    </row>
    <row r="990" spans="1:14" s="1685" customFormat="1" ht="24" customHeight="1">
      <c r="A990" s="1712"/>
      <c r="B990" s="1673" t="s">
        <v>139</v>
      </c>
      <c r="C990" s="1674" t="s">
        <v>88</v>
      </c>
      <c r="D990" s="1675">
        <v>345.2</v>
      </c>
      <c r="E990" s="1676" t="s">
        <v>87</v>
      </c>
      <c r="F990" s="1677">
        <v>21.4</v>
      </c>
      <c r="G990" s="1677">
        <v>4.4000000000000004</v>
      </c>
      <c r="H990" s="1669">
        <f t="shared" si="147"/>
        <v>7387.2799999999988</v>
      </c>
      <c r="I990" s="1669">
        <f t="shared" si="148"/>
        <v>1518.88</v>
      </c>
      <c r="J990" s="1669">
        <f>SUM(H990:I990)</f>
        <v>8906.16</v>
      </c>
      <c r="K990" s="1708"/>
      <c r="L990" s="1721"/>
      <c r="M990" s="1710" t="s">
        <v>1016</v>
      </c>
      <c r="N990" s="1711" t="s">
        <v>659</v>
      </c>
    </row>
    <row r="991" spans="1:14" ht="24" customHeight="1">
      <c r="A991" s="1712"/>
      <c r="B991" s="1673" t="s">
        <v>139</v>
      </c>
      <c r="C991" s="1674" t="s">
        <v>89</v>
      </c>
      <c r="D991" s="1718">
        <v>1167.2</v>
      </c>
      <c r="E991" s="1676" t="s">
        <v>87</v>
      </c>
      <c r="F991" s="1677">
        <v>21.4</v>
      </c>
      <c r="G991" s="1677">
        <v>3.6</v>
      </c>
      <c r="H991" s="1669">
        <f t="shared" si="147"/>
        <v>24978.079999999998</v>
      </c>
      <c r="I991" s="1669">
        <f t="shared" si="148"/>
        <v>4201.92</v>
      </c>
      <c r="J991" s="1669">
        <f>SUM(H991:I991)</f>
        <v>29180</v>
      </c>
      <c r="K991" s="1708"/>
      <c r="L991" s="1721"/>
      <c r="M991" s="1710" t="s">
        <v>1016</v>
      </c>
      <c r="N991" s="1711" t="s">
        <v>659</v>
      </c>
    </row>
    <row r="992" spans="1:14" ht="24" customHeight="1">
      <c r="A992" s="1712"/>
      <c r="B992" s="1665" t="s">
        <v>139</v>
      </c>
      <c r="C992" s="1666" t="s">
        <v>91</v>
      </c>
      <c r="D992" s="1675">
        <v>628.1</v>
      </c>
      <c r="E992" s="1668" t="s">
        <v>87</v>
      </c>
      <c r="F992" s="1744">
        <v>21.2</v>
      </c>
      <c r="G992" s="1744">
        <v>3.1</v>
      </c>
      <c r="H992" s="1670">
        <f t="shared" si="147"/>
        <v>13315.72</v>
      </c>
      <c r="I992" s="1669">
        <f t="shared" si="148"/>
        <v>1947.1100000000001</v>
      </c>
      <c r="J992" s="1669">
        <f>SUM(H992:I992)</f>
        <v>15262.83</v>
      </c>
      <c r="K992" s="1708"/>
      <c r="L992" s="1721"/>
      <c r="M992" s="1710" t="s">
        <v>1016</v>
      </c>
      <c r="N992" s="1711" t="s">
        <v>659</v>
      </c>
    </row>
    <row r="993" spans="1:14" ht="24" customHeight="1">
      <c r="A993" s="1672"/>
      <c r="B993" s="1673" t="s">
        <v>139</v>
      </c>
      <c r="C993" s="1674" t="s">
        <v>200</v>
      </c>
      <c r="D993" s="1675">
        <f>SUM(D990:D992)*0.03</f>
        <v>64.215000000000003</v>
      </c>
      <c r="E993" s="1676" t="s">
        <v>87</v>
      </c>
      <c r="F993" s="1677">
        <v>25.83</v>
      </c>
      <c r="G993" s="1677">
        <v>0</v>
      </c>
      <c r="H993" s="1669">
        <f t="shared" si="147"/>
        <v>1658.67345</v>
      </c>
      <c r="I993" s="1678">
        <f t="shared" si="148"/>
        <v>0</v>
      </c>
      <c r="J993" s="1669">
        <f>SUM(H993:I993)</f>
        <v>1658.67345</v>
      </c>
      <c r="K993" s="1708"/>
      <c r="L993" s="1721"/>
      <c r="M993" s="1710" t="s">
        <v>1019</v>
      </c>
      <c r="N993" s="1711"/>
    </row>
    <row r="994" spans="1:14" ht="24" customHeight="1">
      <c r="A994" s="1672"/>
      <c r="B994" s="2368" t="s">
        <v>1038</v>
      </c>
      <c r="C994" s="2370"/>
      <c r="D994" s="1675"/>
      <c r="E994" s="1676"/>
      <c r="F994" s="1669"/>
      <c r="G994" s="1669"/>
      <c r="H994" s="1669"/>
      <c r="I994" s="1678"/>
      <c r="J994" s="1669"/>
      <c r="K994" s="1708"/>
      <c r="L994" s="1721"/>
      <c r="M994" s="1711"/>
      <c r="N994" s="1711"/>
    </row>
    <row r="995" spans="1:14" ht="24" customHeight="1">
      <c r="A995" s="1672"/>
      <c r="B995" s="2368" t="s">
        <v>1039</v>
      </c>
      <c r="C995" s="2370"/>
      <c r="D995" s="1675"/>
      <c r="E995" s="1676"/>
      <c r="F995" s="1669"/>
      <c r="G995" s="1669"/>
      <c r="H995" s="1669"/>
      <c r="I995" s="1678"/>
      <c r="J995" s="1669"/>
      <c r="K995" s="1708"/>
      <c r="L995" s="1721"/>
      <c r="M995" s="1711"/>
      <c r="N995" s="1711"/>
    </row>
    <row r="996" spans="1:14" ht="24" customHeight="1">
      <c r="A996" s="1712"/>
      <c r="B996" s="1703" t="s">
        <v>139</v>
      </c>
      <c r="C996" s="1743" t="s">
        <v>228</v>
      </c>
      <c r="D996" s="1705">
        <v>14.2</v>
      </c>
      <c r="E996" s="1706" t="s">
        <v>85</v>
      </c>
      <c r="F996" s="1742">
        <v>2679.9</v>
      </c>
      <c r="G996" s="1742">
        <v>519</v>
      </c>
      <c r="H996" s="1707">
        <f t="shared" ref="H996:H1007" si="150">F996*D996</f>
        <v>38054.58</v>
      </c>
      <c r="I996" s="1669">
        <f t="shared" ref="I996:I1007" si="151">G996*D996</f>
        <v>7369.7999999999993</v>
      </c>
      <c r="J996" s="1669">
        <f t="shared" ref="J996:J1002" si="152">SUM(H996:I996)</f>
        <v>45424.380000000005</v>
      </c>
      <c r="K996" s="1708"/>
      <c r="L996" s="1721"/>
      <c r="M996" s="1710" t="s">
        <v>1016</v>
      </c>
      <c r="N996" s="1711" t="s">
        <v>659</v>
      </c>
    </row>
    <row r="997" spans="1:14" ht="24" customHeight="1">
      <c r="A997" s="1712"/>
      <c r="B997" s="2368" t="s">
        <v>1040</v>
      </c>
      <c r="C997" s="2370"/>
      <c r="D997" s="1675">
        <v>95</v>
      </c>
      <c r="E997" s="1676"/>
      <c r="F997" s="1669"/>
      <c r="G997" s="1669"/>
      <c r="H997" s="1669"/>
      <c r="I997" s="1669"/>
      <c r="J997" s="1669"/>
      <c r="K997" s="1708"/>
      <c r="L997" s="1721"/>
      <c r="M997" s="1711"/>
      <c r="N997" s="1711"/>
    </row>
    <row r="998" spans="1:14" ht="24" customHeight="1">
      <c r="A998" s="1712"/>
      <c r="B998" s="1673" t="s">
        <v>139</v>
      </c>
      <c r="C998" s="1674" t="s">
        <v>1784</v>
      </c>
      <c r="D998" s="1675">
        <f>D997</f>
        <v>95</v>
      </c>
      <c r="E998" s="1676" t="s">
        <v>86</v>
      </c>
      <c r="F998" s="1736">
        <v>0</v>
      </c>
      <c r="G998" s="1669">
        <v>121</v>
      </c>
      <c r="H998" s="1669">
        <f t="shared" si="150"/>
        <v>0</v>
      </c>
      <c r="I998" s="1669">
        <f t="shared" si="151"/>
        <v>11495</v>
      </c>
      <c r="J998" s="1669">
        <f t="shared" si="152"/>
        <v>11495</v>
      </c>
      <c r="K998" s="1708"/>
      <c r="L998" s="1721"/>
      <c r="M998" s="1710" t="s">
        <v>1017</v>
      </c>
      <c r="N998" s="1711" t="s">
        <v>659</v>
      </c>
    </row>
    <row r="999" spans="1:14" ht="24" customHeight="1">
      <c r="A999" s="1712"/>
      <c r="B999" s="1673" t="s">
        <v>139</v>
      </c>
      <c r="C999" s="1674" t="s">
        <v>198</v>
      </c>
      <c r="D999" s="1675">
        <f>D997*0.5</f>
        <v>47.5</v>
      </c>
      <c r="E999" s="1676" t="s">
        <v>164</v>
      </c>
      <c r="F999" s="1736">
        <v>400</v>
      </c>
      <c r="G999" s="1736">
        <v>0</v>
      </c>
      <c r="H999" s="1669">
        <f t="shared" si="150"/>
        <v>19000</v>
      </c>
      <c r="I999" s="1669">
        <f t="shared" si="151"/>
        <v>0</v>
      </c>
      <c r="J999" s="1669">
        <f t="shared" si="152"/>
        <v>19000</v>
      </c>
      <c r="K999" s="1708"/>
      <c r="L999" s="1721"/>
      <c r="M999" s="1710" t="s">
        <v>1018</v>
      </c>
      <c r="N999" s="1711"/>
    </row>
    <row r="1000" spans="1:14" ht="24" customHeight="1">
      <c r="A1000" s="1712"/>
      <c r="B1000" s="1673" t="s">
        <v>139</v>
      </c>
      <c r="C1000" s="1674" t="s">
        <v>1782</v>
      </c>
      <c r="D1000" s="1675">
        <f>D999*0.3</f>
        <v>14.25</v>
      </c>
      <c r="E1000" s="1676" t="s">
        <v>164</v>
      </c>
      <c r="F1000" s="1736">
        <v>400</v>
      </c>
      <c r="G1000" s="1736">
        <v>0</v>
      </c>
      <c r="H1000" s="1669">
        <f t="shared" si="150"/>
        <v>5700</v>
      </c>
      <c r="I1000" s="1669">
        <f t="shared" si="151"/>
        <v>0</v>
      </c>
      <c r="J1000" s="1669">
        <f t="shared" si="152"/>
        <v>5700</v>
      </c>
      <c r="K1000" s="1708"/>
      <c r="L1000" s="1721"/>
      <c r="M1000" s="1710" t="s">
        <v>1018</v>
      </c>
      <c r="N1000" s="1685"/>
    </row>
    <row r="1001" spans="1:14" ht="24" customHeight="1">
      <c r="A1001" s="1712"/>
      <c r="B1001" s="1673" t="s">
        <v>139</v>
      </c>
      <c r="C1001" s="1674" t="s">
        <v>163</v>
      </c>
      <c r="D1001" s="1675">
        <f>D997</f>
        <v>95</v>
      </c>
      <c r="E1001" s="1676" t="s">
        <v>83</v>
      </c>
      <c r="F1001" s="1736">
        <v>28</v>
      </c>
      <c r="G1001" s="1736">
        <v>0</v>
      </c>
      <c r="H1001" s="1669">
        <f t="shared" si="150"/>
        <v>2660</v>
      </c>
      <c r="I1001" s="1669">
        <f t="shared" si="151"/>
        <v>0</v>
      </c>
      <c r="J1001" s="1669">
        <f t="shared" si="152"/>
        <v>2660</v>
      </c>
      <c r="K1001" s="1708"/>
      <c r="L1001" s="1721"/>
      <c r="M1001" s="1710" t="s">
        <v>1018</v>
      </c>
      <c r="N1001" s="1685"/>
    </row>
    <row r="1002" spans="1:14" ht="24" customHeight="1">
      <c r="A1002" s="1712"/>
      <c r="B1002" s="1673" t="s">
        <v>139</v>
      </c>
      <c r="C1002" s="1674" t="s">
        <v>1781</v>
      </c>
      <c r="D1002" s="1675">
        <f>D997*0.25</f>
        <v>23.75</v>
      </c>
      <c r="E1002" s="1676" t="s">
        <v>87</v>
      </c>
      <c r="F1002" s="1736">
        <v>23.89</v>
      </c>
      <c r="G1002" s="1736">
        <v>0</v>
      </c>
      <c r="H1002" s="1669">
        <f t="shared" si="150"/>
        <v>567.38750000000005</v>
      </c>
      <c r="I1002" s="1669">
        <f t="shared" si="151"/>
        <v>0</v>
      </c>
      <c r="J1002" s="1669">
        <f t="shared" si="152"/>
        <v>567.38750000000005</v>
      </c>
      <c r="K1002" s="1708"/>
      <c r="L1002" s="1721"/>
      <c r="M1002" s="1710" t="s">
        <v>660</v>
      </c>
      <c r="N1002" s="1685"/>
    </row>
    <row r="1003" spans="1:14" ht="24" customHeight="1">
      <c r="A1003" s="1712"/>
      <c r="B1003" s="1748" t="s">
        <v>1041</v>
      </c>
      <c r="C1003" s="1674"/>
      <c r="D1003" s="1675"/>
      <c r="E1003" s="1676"/>
      <c r="F1003" s="1736"/>
      <c r="G1003" s="1736"/>
      <c r="H1003" s="1669"/>
      <c r="I1003" s="1669"/>
      <c r="J1003" s="1669"/>
      <c r="K1003" s="1708"/>
      <c r="L1003" s="1721"/>
      <c r="M1003" s="1710"/>
      <c r="N1003" s="1685"/>
    </row>
    <row r="1004" spans="1:14" s="1685" customFormat="1" ht="24" customHeight="1">
      <c r="A1004" s="1712"/>
      <c r="B1004" s="1673" t="s">
        <v>139</v>
      </c>
      <c r="C1004" s="1674" t="s">
        <v>88</v>
      </c>
      <c r="D1004" s="1675">
        <v>288.60000000000002</v>
      </c>
      <c r="E1004" s="1676" t="s">
        <v>87</v>
      </c>
      <c r="F1004" s="1677">
        <v>21.4</v>
      </c>
      <c r="G1004" s="1677">
        <v>4.4000000000000004</v>
      </c>
      <c r="H1004" s="1669">
        <f t="shared" si="150"/>
        <v>6176.04</v>
      </c>
      <c r="I1004" s="1669">
        <f t="shared" si="151"/>
        <v>1269.8400000000001</v>
      </c>
      <c r="J1004" s="1669">
        <f>SUM(H1004:I1004)</f>
        <v>7445.88</v>
      </c>
      <c r="K1004" s="1708"/>
      <c r="L1004" s="1721"/>
      <c r="M1004" s="1710" t="s">
        <v>1016</v>
      </c>
      <c r="N1004" s="1711" t="s">
        <v>659</v>
      </c>
    </row>
    <row r="1005" spans="1:14" ht="24" customHeight="1">
      <c r="A1005" s="1712"/>
      <c r="B1005" s="1673" t="s">
        <v>139</v>
      </c>
      <c r="C1005" s="1674" t="s">
        <v>89</v>
      </c>
      <c r="D1005" s="1675">
        <v>1118.7</v>
      </c>
      <c r="E1005" s="1676" t="s">
        <v>87</v>
      </c>
      <c r="F1005" s="1677">
        <v>21.4</v>
      </c>
      <c r="G1005" s="1677">
        <v>3.6</v>
      </c>
      <c r="H1005" s="1669">
        <f t="shared" si="150"/>
        <v>23940.18</v>
      </c>
      <c r="I1005" s="1669">
        <f t="shared" si="151"/>
        <v>4027.32</v>
      </c>
      <c r="J1005" s="1669">
        <f>SUM(H1005:I1005)</f>
        <v>27967.5</v>
      </c>
      <c r="K1005" s="1708"/>
      <c r="L1005" s="1721"/>
      <c r="M1005" s="1710" t="s">
        <v>1016</v>
      </c>
      <c r="N1005" s="1711" t="s">
        <v>659</v>
      </c>
    </row>
    <row r="1006" spans="1:14" ht="24" customHeight="1">
      <c r="A1006" s="1712"/>
      <c r="B1006" s="1673" t="s">
        <v>139</v>
      </c>
      <c r="C1006" s="1674" t="s">
        <v>1014</v>
      </c>
      <c r="D1006" s="1675">
        <v>841.5</v>
      </c>
      <c r="E1006" s="1676" t="s">
        <v>87</v>
      </c>
      <c r="F1006" s="1677">
        <v>21.2</v>
      </c>
      <c r="G1006" s="1677">
        <v>3.1</v>
      </c>
      <c r="H1006" s="1669">
        <f t="shared" si="150"/>
        <v>17839.8</v>
      </c>
      <c r="I1006" s="1669">
        <f t="shared" si="151"/>
        <v>2608.65</v>
      </c>
      <c r="J1006" s="1669">
        <f>SUM(H1006:I1006)</f>
        <v>20448.45</v>
      </c>
      <c r="K1006" s="1708"/>
      <c r="L1006" s="1721"/>
      <c r="M1006" s="1710" t="s">
        <v>1016</v>
      </c>
      <c r="N1006" s="1711" t="s">
        <v>659</v>
      </c>
    </row>
    <row r="1007" spans="1:14" ht="24" customHeight="1">
      <c r="A1007" s="1712"/>
      <c r="B1007" s="1673" t="s">
        <v>139</v>
      </c>
      <c r="C1007" s="1674" t="s">
        <v>200</v>
      </c>
      <c r="D1007" s="1675">
        <f>SUM(D1004:D1006)*0.03</f>
        <v>67.463999999999999</v>
      </c>
      <c r="E1007" s="1676" t="s">
        <v>87</v>
      </c>
      <c r="F1007" s="1677">
        <v>25.83</v>
      </c>
      <c r="G1007" s="1677">
        <v>0</v>
      </c>
      <c r="H1007" s="1669">
        <f t="shared" si="150"/>
        <v>1742.59512</v>
      </c>
      <c r="I1007" s="1669">
        <f t="shared" si="151"/>
        <v>0</v>
      </c>
      <c r="J1007" s="1669">
        <f>SUM(H1007:I1007)</f>
        <v>1742.59512</v>
      </c>
      <c r="K1007" s="1708"/>
      <c r="L1007" s="1721"/>
      <c r="M1007" s="1710" t="s">
        <v>1019</v>
      </c>
      <c r="N1007" s="1711"/>
    </row>
    <row r="1008" spans="1:14" ht="24" customHeight="1">
      <c r="A1008" s="1715"/>
      <c r="B1008" s="1716"/>
      <c r="C1008" s="1717"/>
      <c r="D1008" s="1718"/>
      <c r="E1008" s="1719"/>
      <c r="F1008" s="1751"/>
      <c r="G1008" s="1751"/>
      <c r="H1008" s="1720"/>
      <c r="I1008" s="1720"/>
      <c r="J1008" s="1720"/>
      <c r="K1008" s="1752"/>
      <c r="L1008" s="1721"/>
      <c r="M1008" s="1710"/>
      <c r="N1008" s="1711"/>
    </row>
    <row r="1009" spans="1:22" ht="24" customHeight="1" thickBot="1">
      <c r="A1009" s="1722"/>
      <c r="B1009" s="1753"/>
      <c r="C1009" s="1724" t="str">
        <f>"รวมราคา "&amp;B818</f>
        <v>รวมราคา งานโครงสร้างชั้น 4</v>
      </c>
      <c r="D1009" s="1725"/>
      <c r="E1009" s="1726"/>
      <c r="F1009" s="1727"/>
      <c r="G1009" s="1727"/>
      <c r="H1009" s="1727">
        <f>SUM(H819:H1007)</f>
        <v>3639881.7415900007</v>
      </c>
      <c r="I1009" s="1727">
        <f>SUM(I819:I1007)</f>
        <v>711393.55</v>
      </c>
      <c r="J1009" s="1727">
        <f>SUM(J819:J1007)</f>
        <v>4351275.2915899986</v>
      </c>
      <c r="K1009" s="1727"/>
      <c r="L1009" s="1759"/>
      <c r="M1009" s="1701"/>
      <c r="N1009" s="1701"/>
    </row>
    <row r="1010" spans="1:22" ht="24" customHeight="1" thickTop="1">
      <c r="A1010" s="1730">
        <v>1.7</v>
      </c>
      <c r="B1010" s="2374" t="s">
        <v>257</v>
      </c>
      <c r="C1010" s="2375"/>
      <c r="D1010" s="1731"/>
      <c r="E1010" s="1732"/>
      <c r="F1010" s="1733"/>
      <c r="G1010" s="1733"/>
      <c r="H1010" s="1733"/>
      <c r="I1010" s="1733"/>
      <c r="J1010" s="1733"/>
      <c r="K1010" s="1733"/>
      <c r="L1010" s="1759"/>
      <c r="M1010" s="1701"/>
      <c r="N1010" s="1701"/>
    </row>
    <row r="1011" spans="1:22" ht="24" customHeight="1">
      <c r="A1011" s="1702"/>
      <c r="B1011" s="2369" t="s">
        <v>245</v>
      </c>
      <c r="C1011" s="2373"/>
      <c r="D1011" s="1705"/>
      <c r="E1011" s="1706"/>
      <c r="F1011" s="1707"/>
      <c r="G1011" s="1707"/>
      <c r="H1011" s="1707"/>
      <c r="I1011" s="1707"/>
      <c r="J1011" s="1707"/>
      <c r="K1011" s="1709"/>
      <c r="L1011" s="1721"/>
      <c r="M1011" s="1711"/>
      <c r="N1011" s="1711"/>
    </row>
    <row r="1012" spans="1:22" ht="24" customHeight="1">
      <c r="A1012" s="1712"/>
      <c r="B1012" s="1673" t="s">
        <v>139</v>
      </c>
      <c r="C1012" s="1674" t="s">
        <v>97</v>
      </c>
      <c r="D1012" s="1675">
        <v>1036.0999999999999</v>
      </c>
      <c r="E1012" s="1676" t="s">
        <v>86</v>
      </c>
      <c r="F1012" s="1669">
        <v>430</v>
      </c>
      <c r="G1012" s="1669">
        <v>0</v>
      </c>
      <c r="H1012" s="1669">
        <f t="shared" ref="H1012:H1034" si="153">F1012*D1012</f>
        <v>445522.99999999994</v>
      </c>
      <c r="I1012" s="1669">
        <f t="shared" ref="I1012:I1034" si="154">G1012*D1012</f>
        <v>0</v>
      </c>
      <c r="J1012" s="1669">
        <f t="shared" ref="J1012:J1027" si="155">SUM(H1012:I1012)</f>
        <v>445522.99999999994</v>
      </c>
      <c r="K1012" s="1679"/>
      <c r="L1012" s="1708" t="s">
        <v>1893</v>
      </c>
      <c r="M1012" s="1710" t="s">
        <v>1871</v>
      </c>
      <c r="N1012" s="1711" t="s">
        <v>663</v>
      </c>
      <c r="V1012" s="1711"/>
    </row>
    <row r="1013" spans="1:22" ht="24" customHeight="1">
      <c r="A1013" s="1712"/>
      <c r="B1013" s="2368" t="s">
        <v>423</v>
      </c>
      <c r="C1013" s="2370"/>
      <c r="D1013" s="1675"/>
      <c r="E1013" s="1676"/>
      <c r="F1013" s="1669"/>
      <c r="G1013" s="1669"/>
      <c r="H1013" s="1669">
        <f t="shared" si="153"/>
        <v>0</v>
      </c>
      <c r="I1013" s="1669">
        <f t="shared" si="154"/>
        <v>0</v>
      </c>
      <c r="J1013" s="1669">
        <f t="shared" si="155"/>
        <v>0</v>
      </c>
      <c r="K1013" s="1708"/>
      <c r="L1013" s="1721"/>
      <c r="M1013" s="1711"/>
      <c r="N1013" s="1711"/>
    </row>
    <row r="1014" spans="1:22" ht="24" customHeight="1">
      <c r="A1014" s="1712"/>
      <c r="B1014" s="1673" t="s">
        <v>139</v>
      </c>
      <c r="C1014" s="1674" t="s">
        <v>228</v>
      </c>
      <c r="D1014" s="1675">
        <v>264.60000000000002</v>
      </c>
      <c r="E1014" s="1676" t="s">
        <v>85</v>
      </c>
      <c r="F1014" s="1736">
        <v>2679.9</v>
      </c>
      <c r="G1014" s="1736">
        <v>519</v>
      </c>
      <c r="H1014" s="1669">
        <f t="shared" si="153"/>
        <v>709101.54</v>
      </c>
      <c r="I1014" s="1669">
        <f t="shared" si="154"/>
        <v>137327.40000000002</v>
      </c>
      <c r="J1014" s="1669">
        <f t="shared" si="155"/>
        <v>846428.94000000006</v>
      </c>
      <c r="K1014" s="1708"/>
      <c r="L1014" s="1721"/>
      <c r="M1014" s="1710" t="s">
        <v>1016</v>
      </c>
      <c r="N1014" s="1711" t="s">
        <v>659</v>
      </c>
    </row>
    <row r="1015" spans="1:22" ht="24" customHeight="1">
      <c r="A1015" s="1712"/>
      <c r="B1015" s="2368" t="s">
        <v>225</v>
      </c>
      <c r="C1015" s="2370"/>
      <c r="D1015" s="1675">
        <v>1095.5999999999999</v>
      </c>
      <c r="E1015" s="1676"/>
      <c r="F1015" s="1669"/>
      <c r="G1015" s="1669"/>
      <c r="H1015" s="1669"/>
      <c r="I1015" s="1669"/>
      <c r="J1015" s="1669"/>
      <c r="K1015" s="1708"/>
      <c r="L1015" s="1721"/>
      <c r="M1015" s="1711"/>
      <c r="N1015" s="1711"/>
    </row>
    <row r="1016" spans="1:22" ht="24" customHeight="1">
      <c r="A1016" s="1712"/>
      <c r="B1016" s="1673" t="s">
        <v>139</v>
      </c>
      <c r="C1016" s="1674" t="s">
        <v>1784</v>
      </c>
      <c r="D1016" s="1675">
        <f>D1015</f>
        <v>1095.5999999999999</v>
      </c>
      <c r="E1016" s="1676" t="s">
        <v>86</v>
      </c>
      <c r="F1016" s="1669"/>
      <c r="G1016" s="1669">
        <v>121</v>
      </c>
      <c r="H1016" s="1669">
        <f t="shared" si="153"/>
        <v>0</v>
      </c>
      <c r="I1016" s="1669">
        <f t="shared" si="154"/>
        <v>132567.59999999998</v>
      </c>
      <c r="J1016" s="1669">
        <f t="shared" si="155"/>
        <v>132567.59999999998</v>
      </c>
      <c r="K1016" s="1708"/>
      <c r="L1016" s="1721"/>
      <c r="M1016" s="1710" t="s">
        <v>1017</v>
      </c>
      <c r="N1016" s="1711" t="s">
        <v>659</v>
      </c>
    </row>
    <row r="1017" spans="1:22" ht="24" customHeight="1">
      <c r="A1017" s="1712"/>
      <c r="B1017" s="1673" t="s">
        <v>139</v>
      </c>
      <c r="C1017" s="1674" t="s">
        <v>198</v>
      </c>
      <c r="D1017" s="1675">
        <f>D1015*0.5</f>
        <v>547.79999999999995</v>
      </c>
      <c r="E1017" s="1676" t="s">
        <v>164</v>
      </c>
      <c r="F1017" s="1669">
        <v>400</v>
      </c>
      <c r="G1017" s="1669"/>
      <c r="H1017" s="1669">
        <f t="shared" si="153"/>
        <v>219119.99999999997</v>
      </c>
      <c r="I1017" s="1669">
        <f t="shared" si="154"/>
        <v>0</v>
      </c>
      <c r="J1017" s="1669">
        <f t="shared" si="155"/>
        <v>219119.99999999997</v>
      </c>
      <c r="K1017" s="1708"/>
      <c r="L1017" s="1721"/>
      <c r="M1017" s="1710" t="s">
        <v>1018</v>
      </c>
      <c r="N1017" s="1711"/>
    </row>
    <row r="1018" spans="1:22" ht="24" customHeight="1">
      <c r="A1018" s="1780"/>
      <c r="B1018" s="1780"/>
      <c r="C1018" s="1827" t="s">
        <v>133</v>
      </c>
      <c r="D1018" s="2365"/>
      <c r="E1018" s="2365"/>
      <c r="F1018" s="2365"/>
      <c r="G1018" s="2365"/>
      <c r="H1018" s="2365"/>
      <c r="I1018" s="2365"/>
      <c r="J1018" s="2365"/>
      <c r="K1018" s="2365"/>
      <c r="L1018" s="1721"/>
      <c r="M1018" s="1710"/>
      <c r="N1018" s="1711"/>
    </row>
    <row r="1019" spans="1:22" ht="24" customHeight="1">
      <c r="A1019" s="1780"/>
      <c r="B1019" s="2366" t="s">
        <v>1769</v>
      </c>
      <c r="C1019" s="2366"/>
      <c r="D1019" s="1828"/>
      <c r="E1019" s="1769"/>
      <c r="F1019" s="1828"/>
      <c r="G1019" s="1828" t="s">
        <v>134</v>
      </c>
      <c r="H1019" s="1828"/>
      <c r="I1019" s="1828"/>
      <c r="J1019" s="1828"/>
      <c r="K1019" s="1828"/>
      <c r="L1019" s="1721"/>
      <c r="M1019" s="1710"/>
      <c r="N1019" s="1711"/>
    </row>
    <row r="1020" spans="1:22" ht="24" customHeight="1">
      <c r="A1020" s="1780"/>
      <c r="B1020" s="2367" t="s">
        <v>1970</v>
      </c>
      <c r="C1020" s="2367"/>
      <c r="D1020" s="1831"/>
      <c r="E1020" s="1832"/>
      <c r="F1020" s="1833"/>
      <c r="G1020" s="1833" t="s">
        <v>1971</v>
      </c>
      <c r="H1020" s="1833"/>
      <c r="I1020" s="1833"/>
      <c r="J1020" s="1833"/>
      <c r="K1020" s="1833"/>
      <c r="L1020" s="1721"/>
      <c r="M1020" s="1710"/>
      <c r="N1020" s="1711"/>
    </row>
    <row r="1021" spans="1:22" ht="24" customHeight="1">
      <c r="A1021" s="1830"/>
      <c r="B1021" s="1828" t="s">
        <v>2031</v>
      </c>
      <c r="C1021" s="1830"/>
      <c r="D1021" s="1830"/>
      <c r="E1021" s="1830"/>
      <c r="F1021" s="1830"/>
      <c r="G1021" s="1828" t="s">
        <v>2031</v>
      </c>
      <c r="H1021" s="1830"/>
      <c r="I1021" s="1830"/>
      <c r="J1021" s="1830"/>
      <c r="K1021" s="1830"/>
      <c r="L1021" s="1721"/>
      <c r="M1021" s="1710"/>
      <c r="N1021" s="1711"/>
    </row>
    <row r="1022" spans="1:22" ht="24" customHeight="1">
      <c r="B1022" s="1721" t="s">
        <v>1984</v>
      </c>
      <c r="C1022" s="1830"/>
      <c r="D1022" s="1685"/>
      <c r="E1022" s="1685"/>
      <c r="G1022" s="1721" t="s">
        <v>1985</v>
      </c>
      <c r="H1022" s="1685"/>
      <c r="I1022" s="1685"/>
      <c r="J1022" s="1685"/>
      <c r="K1022" s="1685"/>
      <c r="L1022" s="1721"/>
      <c r="M1022" s="1710"/>
      <c r="N1022" s="1711"/>
    </row>
    <row r="1023" spans="1:22" ht="24" customHeight="1">
      <c r="B1023" s="1828" t="s">
        <v>670</v>
      </c>
      <c r="L1023" s="1721"/>
      <c r="M1023" s="1710"/>
      <c r="N1023" s="1711"/>
    </row>
    <row r="1024" spans="1:22" ht="24" customHeight="1">
      <c r="B1024" s="1721" t="s">
        <v>1972</v>
      </c>
      <c r="L1024" s="1721"/>
      <c r="M1024" s="1710"/>
      <c r="N1024" s="1711"/>
    </row>
    <row r="1025" spans="1:14" ht="24" customHeight="1">
      <c r="A1025" s="1712"/>
      <c r="B1025" s="1673" t="s">
        <v>139</v>
      </c>
      <c r="C1025" s="1674" t="s">
        <v>1782</v>
      </c>
      <c r="D1025" s="1675">
        <f>D1017*0.3</f>
        <v>164.33999999999997</v>
      </c>
      <c r="E1025" s="1676" t="s">
        <v>164</v>
      </c>
      <c r="F1025" s="1669">
        <v>400</v>
      </c>
      <c r="G1025" s="1669">
        <v>0</v>
      </c>
      <c r="H1025" s="1669">
        <f t="shared" si="153"/>
        <v>65735.999999999985</v>
      </c>
      <c r="I1025" s="1669">
        <f t="shared" si="154"/>
        <v>0</v>
      </c>
      <c r="J1025" s="1669">
        <f t="shared" si="155"/>
        <v>65735.999999999985</v>
      </c>
      <c r="K1025" s="1708"/>
      <c r="L1025" s="1721"/>
      <c r="M1025" s="1710" t="s">
        <v>1018</v>
      </c>
      <c r="N1025" s="1711"/>
    </row>
    <row r="1026" spans="1:14" ht="24" customHeight="1">
      <c r="A1026" s="1712"/>
      <c r="B1026" s="1673" t="s">
        <v>139</v>
      </c>
      <c r="C1026" s="1674" t="s">
        <v>163</v>
      </c>
      <c r="D1026" s="1675">
        <f>D1015</f>
        <v>1095.5999999999999</v>
      </c>
      <c r="E1026" s="1676" t="s">
        <v>83</v>
      </c>
      <c r="F1026" s="1669">
        <v>28</v>
      </c>
      <c r="G1026" s="1669">
        <v>0</v>
      </c>
      <c r="H1026" s="1669">
        <f t="shared" si="153"/>
        <v>30676.799999999996</v>
      </c>
      <c r="I1026" s="1669">
        <f t="shared" si="154"/>
        <v>0</v>
      </c>
      <c r="J1026" s="1669">
        <f t="shared" si="155"/>
        <v>30676.799999999996</v>
      </c>
      <c r="K1026" s="1708"/>
      <c r="L1026" s="1721"/>
      <c r="M1026" s="1710" t="s">
        <v>1018</v>
      </c>
      <c r="N1026" s="1711"/>
    </row>
    <row r="1027" spans="1:14" ht="24" customHeight="1">
      <c r="A1027" s="1712"/>
      <c r="B1027" s="1673" t="s">
        <v>139</v>
      </c>
      <c r="C1027" s="1674" t="s">
        <v>1781</v>
      </c>
      <c r="D1027" s="1675">
        <f>D1015*0.25</f>
        <v>273.89999999999998</v>
      </c>
      <c r="E1027" s="1676" t="s">
        <v>87</v>
      </c>
      <c r="F1027" s="1736">
        <v>23.89</v>
      </c>
      <c r="G1027" s="1736">
        <v>0</v>
      </c>
      <c r="H1027" s="1669">
        <f t="shared" si="153"/>
        <v>6543.4709999999995</v>
      </c>
      <c r="I1027" s="1669">
        <f t="shared" si="154"/>
        <v>0</v>
      </c>
      <c r="J1027" s="1669">
        <f t="shared" si="155"/>
        <v>6543.4709999999995</v>
      </c>
      <c r="K1027" s="1708"/>
      <c r="L1027" s="1721"/>
      <c r="M1027" s="1710" t="s">
        <v>660</v>
      </c>
      <c r="N1027" s="1711"/>
    </row>
    <row r="1028" spans="1:14" ht="24" customHeight="1">
      <c r="A1028" s="1712"/>
      <c r="B1028" s="2368" t="s">
        <v>246</v>
      </c>
      <c r="C1028" s="2370"/>
      <c r="D1028" s="1675"/>
      <c r="E1028" s="1676"/>
      <c r="F1028" s="1669"/>
      <c r="G1028" s="1669"/>
      <c r="H1028" s="1669"/>
      <c r="I1028" s="1669"/>
      <c r="J1028" s="1669"/>
      <c r="K1028" s="1708"/>
      <c r="L1028" s="1721"/>
      <c r="M1028" s="1711"/>
      <c r="N1028" s="1711"/>
    </row>
    <row r="1029" spans="1:14" ht="24" customHeight="1">
      <c r="A1029" s="1712"/>
      <c r="B1029" s="1673" t="s">
        <v>139</v>
      </c>
      <c r="C1029" s="1674" t="s">
        <v>88</v>
      </c>
      <c r="D1029" s="1675">
        <v>1599.5</v>
      </c>
      <c r="E1029" s="1676" t="s">
        <v>87</v>
      </c>
      <c r="F1029" s="1736">
        <v>21.4</v>
      </c>
      <c r="G1029" s="1736">
        <v>4.4000000000000004</v>
      </c>
      <c r="H1029" s="1669">
        <f t="shared" si="153"/>
        <v>34229.299999999996</v>
      </c>
      <c r="I1029" s="1669">
        <f t="shared" si="154"/>
        <v>7037.8</v>
      </c>
      <c r="J1029" s="1669">
        <f t="shared" ref="J1029:J1034" si="156">SUM(H1029:I1029)</f>
        <v>41267.1</v>
      </c>
      <c r="K1029" s="1708"/>
      <c r="L1029" s="1721"/>
      <c r="M1029" s="1710" t="s">
        <v>1016</v>
      </c>
      <c r="N1029" s="1711" t="s">
        <v>659</v>
      </c>
    </row>
    <row r="1030" spans="1:14" ht="24" customHeight="1">
      <c r="A1030" s="1702"/>
      <c r="B1030" s="1703" t="s">
        <v>139</v>
      </c>
      <c r="C1030" s="1743" t="s">
        <v>89</v>
      </c>
      <c r="D1030" s="1705">
        <v>26386.799999999999</v>
      </c>
      <c r="E1030" s="1706" t="s">
        <v>87</v>
      </c>
      <c r="F1030" s="1677">
        <v>21.4</v>
      </c>
      <c r="G1030" s="1747">
        <v>3.6</v>
      </c>
      <c r="H1030" s="1707">
        <f t="shared" si="153"/>
        <v>564677.5199999999</v>
      </c>
      <c r="I1030" s="1707">
        <f t="shared" si="154"/>
        <v>94992.48</v>
      </c>
      <c r="J1030" s="1707">
        <f t="shared" si="156"/>
        <v>659669.99999999988</v>
      </c>
      <c r="K1030" s="1709"/>
      <c r="L1030" s="1721"/>
      <c r="M1030" s="1710" t="s">
        <v>1016</v>
      </c>
      <c r="N1030" s="1711" t="s">
        <v>659</v>
      </c>
    </row>
    <row r="1031" spans="1:14" ht="24" customHeight="1">
      <c r="A1031" s="1712"/>
      <c r="B1031" s="1673" t="s">
        <v>139</v>
      </c>
      <c r="C1031" s="1674" t="s">
        <v>90</v>
      </c>
      <c r="D1031" s="1675">
        <v>7419.4</v>
      </c>
      <c r="E1031" s="1676" t="s">
        <v>87</v>
      </c>
      <c r="F1031" s="1677">
        <v>21.2</v>
      </c>
      <c r="G1031" s="1677">
        <v>3.6</v>
      </c>
      <c r="H1031" s="1669">
        <f t="shared" si="153"/>
        <v>157291.28</v>
      </c>
      <c r="I1031" s="1669">
        <f t="shared" si="154"/>
        <v>26709.84</v>
      </c>
      <c r="J1031" s="1669">
        <f t="shared" si="156"/>
        <v>184001.12</v>
      </c>
      <c r="K1031" s="1708"/>
      <c r="L1031" s="1721"/>
      <c r="M1031" s="1710" t="s">
        <v>1016</v>
      </c>
      <c r="N1031" s="1711" t="s">
        <v>659</v>
      </c>
    </row>
    <row r="1032" spans="1:14" ht="24" customHeight="1">
      <c r="A1032" s="1712"/>
      <c r="B1032" s="1673" t="s">
        <v>139</v>
      </c>
      <c r="C1032" s="1674" t="s">
        <v>91</v>
      </c>
      <c r="D1032" s="1675">
        <v>2514.6</v>
      </c>
      <c r="E1032" s="1676" t="s">
        <v>87</v>
      </c>
      <c r="F1032" s="1677">
        <v>21.2</v>
      </c>
      <c r="G1032" s="1677">
        <v>3.1</v>
      </c>
      <c r="H1032" s="1669">
        <f t="shared" si="153"/>
        <v>53309.52</v>
      </c>
      <c r="I1032" s="1669">
        <f t="shared" si="154"/>
        <v>7795.26</v>
      </c>
      <c r="J1032" s="1669">
        <f t="shared" si="156"/>
        <v>61104.78</v>
      </c>
      <c r="K1032" s="1708"/>
      <c r="L1032" s="1721"/>
      <c r="M1032" s="1710" t="s">
        <v>1016</v>
      </c>
      <c r="N1032" s="1711" t="s">
        <v>659</v>
      </c>
    </row>
    <row r="1033" spans="1:14" ht="24" customHeight="1">
      <c r="A1033" s="1712"/>
      <c r="B1033" s="1673" t="s">
        <v>139</v>
      </c>
      <c r="C1033" s="1674" t="s">
        <v>1014</v>
      </c>
      <c r="D1033" s="1675">
        <v>1786.5</v>
      </c>
      <c r="E1033" s="1676" t="s">
        <v>87</v>
      </c>
      <c r="F1033" s="1677">
        <v>21.2</v>
      </c>
      <c r="G1033" s="1677">
        <v>3.1</v>
      </c>
      <c r="H1033" s="1669">
        <f t="shared" si="153"/>
        <v>37873.799999999996</v>
      </c>
      <c r="I1033" s="1669">
        <f t="shared" si="154"/>
        <v>5538.1500000000005</v>
      </c>
      <c r="J1033" s="1669">
        <f t="shared" si="156"/>
        <v>43411.95</v>
      </c>
      <c r="K1033" s="1708"/>
      <c r="L1033" s="1721"/>
      <c r="M1033" s="1710" t="s">
        <v>1016</v>
      </c>
      <c r="N1033" s="1711" t="s">
        <v>659</v>
      </c>
    </row>
    <row r="1034" spans="1:14" ht="24" customHeight="1">
      <c r="A1034" s="1712"/>
      <c r="B1034" s="1673" t="s">
        <v>139</v>
      </c>
      <c r="C1034" s="1674" t="s">
        <v>200</v>
      </c>
      <c r="D1034" s="1675">
        <f>SUM(D1029:D1033)*0.03</f>
        <v>1191.2039999999997</v>
      </c>
      <c r="E1034" s="1676" t="s">
        <v>87</v>
      </c>
      <c r="F1034" s="1677">
        <v>25.83</v>
      </c>
      <c r="G1034" s="1677">
        <v>0</v>
      </c>
      <c r="H1034" s="1669">
        <f t="shared" si="153"/>
        <v>30768.799319999991</v>
      </c>
      <c r="I1034" s="1669">
        <f t="shared" si="154"/>
        <v>0</v>
      </c>
      <c r="J1034" s="1669">
        <f t="shared" si="156"/>
        <v>30768.799319999991</v>
      </c>
      <c r="K1034" s="1708"/>
      <c r="L1034" s="1721"/>
      <c r="M1034" s="1710" t="s">
        <v>1019</v>
      </c>
      <c r="N1034" s="1711"/>
    </row>
    <row r="1035" spans="1:14" ht="24" customHeight="1">
      <c r="A1035" s="1712"/>
      <c r="B1035" s="2368" t="s">
        <v>247</v>
      </c>
      <c r="C1035" s="2370"/>
      <c r="D1035" s="1675"/>
      <c r="E1035" s="1676"/>
      <c r="F1035" s="1669"/>
      <c r="G1035" s="1669"/>
      <c r="H1035" s="1669"/>
      <c r="I1035" s="1669"/>
      <c r="J1035" s="1669"/>
      <c r="K1035" s="1708"/>
      <c r="L1035" s="1721"/>
      <c r="M1035" s="1711"/>
      <c r="N1035" s="1711"/>
    </row>
    <row r="1036" spans="1:14" ht="24" customHeight="1">
      <c r="A1036" s="1712"/>
      <c r="B1036" s="2368" t="s">
        <v>415</v>
      </c>
      <c r="C1036" s="2370"/>
      <c r="D1036" s="1675"/>
      <c r="E1036" s="1676"/>
      <c r="F1036" s="1669"/>
      <c r="G1036" s="1669"/>
      <c r="H1036" s="1669"/>
      <c r="I1036" s="1669"/>
      <c r="J1036" s="1669"/>
      <c r="K1036" s="1708"/>
      <c r="L1036" s="1721"/>
      <c r="M1036" s="1711"/>
      <c r="N1036" s="1711"/>
    </row>
    <row r="1037" spans="1:14" ht="24" customHeight="1">
      <c r="A1037" s="1712"/>
      <c r="B1037" s="1673" t="s">
        <v>139</v>
      </c>
      <c r="C1037" s="1674" t="s">
        <v>228</v>
      </c>
      <c r="D1037" s="1675">
        <v>66.5</v>
      </c>
      <c r="E1037" s="1676" t="s">
        <v>85</v>
      </c>
      <c r="F1037" s="1736">
        <v>2679.9</v>
      </c>
      <c r="G1037" s="1736">
        <v>519</v>
      </c>
      <c r="H1037" s="1669">
        <f t="shared" ref="H1037:H1043" si="157">F1037*D1037</f>
        <v>178213.35</v>
      </c>
      <c r="I1037" s="1669">
        <f t="shared" ref="I1037:I1043" si="158">G1037*D1037</f>
        <v>34513.5</v>
      </c>
      <c r="J1037" s="1669">
        <f t="shared" ref="J1037:J1043" si="159">SUM(H1037:I1037)</f>
        <v>212726.85</v>
      </c>
      <c r="K1037" s="1708"/>
      <c r="L1037" s="1721"/>
      <c r="M1037" s="1710" t="s">
        <v>1016</v>
      </c>
      <c r="N1037" s="1711" t="s">
        <v>659</v>
      </c>
    </row>
    <row r="1038" spans="1:14" ht="24" customHeight="1">
      <c r="A1038" s="1712"/>
      <c r="B1038" s="2368" t="s">
        <v>226</v>
      </c>
      <c r="C1038" s="2370"/>
      <c r="D1038" s="1675">
        <v>363.5</v>
      </c>
      <c r="E1038" s="1676"/>
      <c r="F1038" s="1736"/>
      <c r="G1038" s="1736"/>
      <c r="H1038" s="1669"/>
      <c r="I1038" s="1669"/>
      <c r="J1038" s="1669"/>
      <c r="K1038" s="1708"/>
      <c r="L1038" s="1721"/>
      <c r="M1038" s="1711"/>
      <c r="N1038" s="1711"/>
    </row>
    <row r="1039" spans="1:14" ht="24" customHeight="1">
      <c r="A1039" s="1712"/>
      <c r="B1039" s="1673" t="s">
        <v>139</v>
      </c>
      <c r="C1039" s="1674" t="s">
        <v>1783</v>
      </c>
      <c r="D1039" s="1675">
        <f>D1038</f>
        <v>363.5</v>
      </c>
      <c r="E1039" s="1676" t="s">
        <v>86</v>
      </c>
      <c r="F1039" s="1736">
        <v>0</v>
      </c>
      <c r="G1039" s="1669">
        <v>121</v>
      </c>
      <c r="H1039" s="1669">
        <f t="shared" si="157"/>
        <v>0</v>
      </c>
      <c r="I1039" s="1669">
        <f t="shared" si="158"/>
        <v>43983.5</v>
      </c>
      <c r="J1039" s="1669">
        <f t="shared" si="159"/>
        <v>43983.5</v>
      </c>
      <c r="K1039" s="1708"/>
      <c r="L1039" s="1721"/>
      <c r="M1039" s="1710" t="s">
        <v>1017</v>
      </c>
      <c r="N1039" s="1711" t="s">
        <v>659</v>
      </c>
    </row>
    <row r="1040" spans="1:14" ht="24" customHeight="1">
      <c r="A1040" s="1712"/>
      <c r="B1040" s="1673" t="s">
        <v>139</v>
      </c>
      <c r="C1040" s="1674" t="s">
        <v>198</v>
      </c>
      <c r="D1040" s="1675">
        <f>D1038*0.5</f>
        <v>181.75</v>
      </c>
      <c r="E1040" s="1676" t="s">
        <v>164</v>
      </c>
      <c r="F1040" s="1736">
        <v>400</v>
      </c>
      <c r="G1040" s="1736">
        <v>0</v>
      </c>
      <c r="H1040" s="1669">
        <f t="shared" si="157"/>
        <v>72700</v>
      </c>
      <c r="I1040" s="1669">
        <f t="shared" si="158"/>
        <v>0</v>
      </c>
      <c r="J1040" s="1669">
        <f t="shared" si="159"/>
        <v>72700</v>
      </c>
      <c r="K1040" s="1708"/>
      <c r="L1040" s="1721"/>
      <c r="M1040" s="1710" t="s">
        <v>1018</v>
      </c>
      <c r="N1040" s="1711"/>
    </row>
    <row r="1041" spans="1:14" ht="24" customHeight="1">
      <c r="A1041" s="1712"/>
      <c r="B1041" s="1673" t="s">
        <v>139</v>
      </c>
      <c r="C1041" s="1674" t="s">
        <v>1782</v>
      </c>
      <c r="D1041" s="1675">
        <f>D1040*0.3</f>
        <v>54.524999999999999</v>
      </c>
      <c r="E1041" s="1676" t="s">
        <v>164</v>
      </c>
      <c r="F1041" s="1736">
        <v>400</v>
      </c>
      <c r="G1041" s="1736">
        <v>0</v>
      </c>
      <c r="H1041" s="1669">
        <f t="shared" si="157"/>
        <v>21810</v>
      </c>
      <c r="I1041" s="1669">
        <f t="shared" si="158"/>
        <v>0</v>
      </c>
      <c r="J1041" s="1669">
        <f t="shared" si="159"/>
        <v>21810</v>
      </c>
      <c r="K1041" s="1708"/>
      <c r="L1041" s="1721"/>
      <c r="M1041" s="1710" t="s">
        <v>1018</v>
      </c>
      <c r="N1041" s="1685"/>
    </row>
    <row r="1042" spans="1:14" ht="24" customHeight="1">
      <c r="A1042" s="1712"/>
      <c r="B1042" s="1673" t="s">
        <v>139</v>
      </c>
      <c r="C1042" s="1674" t="s">
        <v>163</v>
      </c>
      <c r="D1042" s="1675">
        <f>D1038</f>
        <v>363.5</v>
      </c>
      <c r="E1042" s="1676" t="s">
        <v>83</v>
      </c>
      <c r="F1042" s="1736">
        <v>28</v>
      </c>
      <c r="G1042" s="1736">
        <v>0</v>
      </c>
      <c r="H1042" s="1669">
        <f t="shared" si="157"/>
        <v>10178</v>
      </c>
      <c r="I1042" s="1669">
        <f t="shared" si="158"/>
        <v>0</v>
      </c>
      <c r="J1042" s="1669">
        <f t="shared" si="159"/>
        <v>10178</v>
      </c>
      <c r="K1042" s="1708"/>
      <c r="L1042" s="1721"/>
      <c r="M1042" s="1710" t="s">
        <v>1018</v>
      </c>
      <c r="N1042" s="1685"/>
    </row>
    <row r="1043" spans="1:14" ht="24" customHeight="1">
      <c r="A1043" s="1712"/>
      <c r="B1043" s="1673" t="s">
        <v>139</v>
      </c>
      <c r="C1043" s="1674" t="s">
        <v>1781</v>
      </c>
      <c r="D1043" s="1675">
        <f>D1038*0.25</f>
        <v>90.875</v>
      </c>
      <c r="E1043" s="1676" t="s">
        <v>87</v>
      </c>
      <c r="F1043" s="1736">
        <v>23.89</v>
      </c>
      <c r="G1043" s="1736">
        <v>0</v>
      </c>
      <c r="H1043" s="1669">
        <f t="shared" si="157"/>
        <v>2171.0037499999999</v>
      </c>
      <c r="I1043" s="1669">
        <f t="shared" si="158"/>
        <v>0</v>
      </c>
      <c r="J1043" s="1669">
        <f t="shared" si="159"/>
        <v>2171.0037499999999</v>
      </c>
      <c r="K1043" s="1708"/>
      <c r="L1043" s="1721"/>
      <c r="M1043" s="1710" t="s">
        <v>660</v>
      </c>
      <c r="N1043" s="1685"/>
    </row>
    <row r="1044" spans="1:14" ht="24" customHeight="1">
      <c r="A1044" s="1712"/>
      <c r="B1044" s="2368" t="s">
        <v>248</v>
      </c>
      <c r="C1044" s="2370"/>
      <c r="D1044" s="1675"/>
      <c r="E1044" s="1676"/>
      <c r="F1044" s="1669"/>
      <c r="G1044" s="1669"/>
      <c r="H1044" s="1669"/>
      <c r="I1044" s="1669"/>
      <c r="J1044" s="1669"/>
      <c r="K1044" s="1708"/>
      <c r="L1044" s="1721"/>
      <c r="M1044" s="1711"/>
      <c r="N1044" s="1711"/>
    </row>
    <row r="1045" spans="1:14" ht="24" customHeight="1">
      <c r="A1045" s="1712"/>
      <c r="B1045" s="1665" t="s">
        <v>139</v>
      </c>
      <c r="C1045" s="1666" t="s">
        <v>88</v>
      </c>
      <c r="D1045" s="1667">
        <v>1868.1</v>
      </c>
      <c r="E1045" s="1668" t="s">
        <v>87</v>
      </c>
      <c r="F1045" s="1744">
        <v>21.4</v>
      </c>
      <c r="G1045" s="1744">
        <v>4.4000000000000004</v>
      </c>
      <c r="H1045" s="1670">
        <f>F1045*D1045</f>
        <v>39977.339999999997</v>
      </c>
      <c r="I1045" s="1669">
        <f>G1045*D1045</f>
        <v>8219.64</v>
      </c>
      <c r="J1045" s="1669">
        <f>SUM(H1045:I1045)</f>
        <v>48196.979999999996</v>
      </c>
      <c r="K1045" s="1708"/>
      <c r="L1045" s="1721"/>
      <c r="M1045" s="1710" t="s">
        <v>1016</v>
      </c>
      <c r="N1045" s="1711" t="s">
        <v>659</v>
      </c>
    </row>
    <row r="1046" spans="1:14" ht="24" customHeight="1">
      <c r="A1046" s="1672"/>
      <c r="B1046" s="1673" t="s">
        <v>139</v>
      </c>
      <c r="C1046" s="1674" t="s">
        <v>1014</v>
      </c>
      <c r="D1046" s="1675">
        <v>8946.4</v>
      </c>
      <c r="E1046" s="1676" t="s">
        <v>87</v>
      </c>
      <c r="F1046" s="1677">
        <v>21.2</v>
      </c>
      <c r="G1046" s="1677">
        <v>3.1</v>
      </c>
      <c r="H1046" s="1669">
        <f>F1046*D1046</f>
        <v>189663.68</v>
      </c>
      <c r="I1046" s="1678">
        <f>G1046*D1046</f>
        <v>27733.84</v>
      </c>
      <c r="J1046" s="1669">
        <f>SUM(H1046:I1046)</f>
        <v>217397.52</v>
      </c>
      <c r="K1046" s="1708"/>
      <c r="L1046" s="1721"/>
      <c r="M1046" s="1710" t="s">
        <v>1016</v>
      </c>
      <c r="N1046" s="1711" t="s">
        <v>659</v>
      </c>
    </row>
    <row r="1047" spans="1:14" ht="24" customHeight="1">
      <c r="A1047" s="1672"/>
      <c r="B1047" s="1673" t="s">
        <v>139</v>
      </c>
      <c r="C1047" s="1674" t="s">
        <v>200</v>
      </c>
      <c r="D1047" s="1675">
        <f>SUM(D1045:D1046)*0.03</f>
        <v>324.435</v>
      </c>
      <c r="E1047" s="1676" t="s">
        <v>87</v>
      </c>
      <c r="F1047" s="1677">
        <v>25.83</v>
      </c>
      <c r="G1047" s="1677">
        <v>0</v>
      </c>
      <c r="H1047" s="1669">
        <f>F1047*D1047</f>
        <v>8380.1560499999996</v>
      </c>
      <c r="I1047" s="1678">
        <f>G1047*D1047</f>
        <v>0</v>
      </c>
      <c r="J1047" s="1669">
        <f>SUM(H1047:I1047)</f>
        <v>8380.1560499999996</v>
      </c>
      <c r="K1047" s="1708"/>
      <c r="L1047" s="1721"/>
      <c r="M1047" s="1710" t="s">
        <v>1019</v>
      </c>
      <c r="N1047" s="1711"/>
    </row>
    <row r="1048" spans="1:14" ht="24" customHeight="1">
      <c r="A1048" s="1780"/>
      <c r="B1048" s="1780"/>
      <c r="C1048" s="1827" t="s">
        <v>133</v>
      </c>
      <c r="D1048" s="2365"/>
      <c r="E1048" s="2365"/>
      <c r="F1048" s="2365"/>
      <c r="G1048" s="2365"/>
      <c r="H1048" s="2365"/>
      <c r="I1048" s="2365"/>
      <c r="J1048" s="2365"/>
      <c r="K1048" s="2365"/>
      <c r="L1048" s="1721"/>
      <c r="M1048" s="1710"/>
      <c r="N1048" s="1711"/>
    </row>
    <row r="1049" spans="1:14" ht="24" customHeight="1">
      <c r="A1049" s="1780"/>
      <c r="B1049" s="2366" t="s">
        <v>1769</v>
      </c>
      <c r="C1049" s="2366"/>
      <c r="D1049" s="1828"/>
      <c r="E1049" s="1769"/>
      <c r="F1049" s="1828"/>
      <c r="G1049" s="1828" t="s">
        <v>134</v>
      </c>
      <c r="H1049" s="1828"/>
      <c r="I1049" s="1828"/>
      <c r="J1049" s="1828"/>
      <c r="K1049" s="1828"/>
      <c r="L1049" s="1721"/>
      <c r="M1049" s="1710"/>
      <c r="N1049" s="1711"/>
    </row>
    <row r="1050" spans="1:14" ht="24" customHeight="1">
      <c r="A1050" s="1780"/>
      <c r="B1050" s="2367" t="s">
        <v>1970</v>
      </c>
      <c r="C1050" s="2367"/>
      <c r="D1050" s="1831"/>
      <c r="E1050" s="1832"/>
      <c r="F1050" s="1833"/>
      <c r="G1050" s="1833" t="s">
        <v>1971</v>
      </c>
      <c r="H1050" s="1833"/>
      <c r="I1050" s="1833"/>
      <c r="J1050" s="1833"/>
      <c r="K1050" s="1833"/>
      <c r="L1050" s="1721"/>
      <c r="M1050" s="1710"/>
      <c r="N1050" s="1711"/>
    </row>
    <row r="1051" spans="1:14" ht="24" customHeight="1">
      <c r="A1051" s="1830"/>
      <c r="B1051" s="1828" t="s">
        <v>2031</v>
      </c>
      <c r="C1051" s="1830"/>
      <c r="D1051" s="1830"/>
      <c r="E1051" s="1830"/>
      <c r="F1051" s="1830"/>
      <c r="G1051" s="1828" t="s">
        <v>2031</v>
      </c>
      <c r="H1051" s="1830"/>
      <c r="I1051" s="1830"/>
      <c r="J1051" s="1830"/>
      <c r="K1051" s="1830"/>
      <c r="L1051" s="1721"/>
      <c r="M1051" s="1710"/>
      <c r="N1051" s="1711"/>
    </row>
    <row r="1052" spans="1:14" ht="24" customHeight="1">
      <c r="B1052" s="1721" t="s">
        <v>1984</v>
      </c>
      <c r="C1052" s="1830"/>
      <c r="D1052" s="1685"/>
      <c r="E1052" s="1685"/>
      <c r="G1052" s="1721" t="s">
        <v>1985</v>
      </c>
      <c r="H1052" s="1685"/>
      <c r="I1052" s="1685"/>
      <c r="J1052" s="1685"/>
      <c r="K1052" s="1685"/>
      <c r="L1052" s="1721"/>
      <c r="M1052" s="1710"/>
      <c r="N1052" s="1711"/>
    </row>
    <row r="1053" spans="1:14" ht="24" customHeight="1">
      <c r="B1053" s="1828" t="s">
        <v>670</v>
      </c>
      <c r="L1053" s="1721"/>
      <c r="M1053" s="1710"/>
      <c r="N1053" s="1711"/>
    </row>
    <row r="1054" spans="1:14" ht="24" customHeight="1">
      <c r="B1054" s="1721" t="s">
        <v>1972</v>
      </c>
      <c r="L1054" s="1721"/>
      <c r="M1054" s="1710"/>
      <c r="N1054" s="1711"/>
    </row>
    <row r="1055" spans="1:14" ht="24" customHeight="1">
      <c r="A1055" s="1672"/>
      <c r="B1055" s="2368" t="s">
        <v>250</v>
      </c>
      <c r="C1055" s="2370"/>
      <c r="D1055" s="1675"/>
      <c r="E1055" s="1676"/>
      <c r="F1055" s="1669"/>
      <c r="G1055" s="1669"/>
      <c r="H1055" s="1669"/>
      <c r="I1055" s="1678"/>
      <c r="J1055" s="1669"/>
      <c r="K1055" s="1708"/>
      <c r="L1055" s="1721"/>
      <c r="M1055" s="1711"/>
      <c r="N1055" s="1711"/>
    </row>
    <row r="1056" spans="1:14" ht="24" customHeight="1">
      <c r="A1056" s="1672"/>
      <c r="B1056" s="2368" t="s">
        <v>422</v>
      </c>
      <c r="C1056" s="2370"/>
      <c r="D1056" s="1675"/>
      <c r="E1056" s="1676"/>
      <c r="F1056" s="1669"/>
      <c r="G1056" s="1669"/>
      <c r="H1056" s="1669"/>
      <c r="I1056" s="1678"/>
      <c r="J1056" s="1669"/>
      <c r="K1056" s="1708"/>
      <c r="L1056" s="1721"/>
      <c r="M1056" s="1711"/>
      <c r="N1056" s="1711"/>
    </row>
    <row r="1057" spans="1:14" ht="24" customHeight="1">
      <c r="A1057" s="1672"/>
      <c r="B1057" s="1673" t="s">
        <v>139</v>
      </c>
      <c r="C1057" s="1674" t="s">
        <v>228</v>
      </c>
      <c r="D1057" s="1675">
        <v>5</v>
      </c>
      <c r="E1057" s="1676" t="s">
        <v>85</v>
      </c>
      <c r="F1057" s="1736">
        <v>2679.9</v>
      </c>
      <c r="G1057" s="1736">
        <v>519</v>
      </c>
      <c r="H1057" s="1669">
        <f t="shared" ref="H1057:H1063" si="160">F1057*D1057</f>
        <v>13399.5</v>
      </c>
      <c r="I1057" s="1678">
        <f t="shared" ref="I1057:I1063" si="161">G1057*D1057</f>
        <v>2595</v>
      </c>
      <c r="J1057" s="1669">
        <f t="shared" ref="J1057:J1063" si="162">SUM(H1057:I1057)</f>
        <v>15994.5</v>
      </c>
      <c r="K1057" s="1708"/>
      <c r="L1057" s="1721"/>
      <c r="M1057" s="1710" t="s">
        <v>1016</v>
      </c>
      <c r="N1057" s="1711" t="s">
        <v>659</v>
      </c>
    </row>
    <row r="1058" spans="1:14" ht="24" customHeight="1">
      <c r="A1058" s="1712"/>
      <c r="B1058" s="2369" t="s">
        <v>227</v>
      </c>
      <c r="C1058" s="2373"/>
      <c r="D1058" s="1705">
        <v>42.5</v>
      </c>
      <c r="E1058" s="1706"/>
      <c r="F1058" s="1707"/>
      <c r="G1058" s="1707"/>
      <c r="H1058" s="1707"/>
      <c r="I1058" s="1669"/>
      <c r="J1058" s="1669"/>
      <c r="K1058" s="1708"/>
      <c r="L1058" s="1721"/>
      <c r="M1058" s="1711"/>
      <c r="N1058" s="1711"/>
    </row>
    <row r="1059" spans="1:14" ht="24" customHeight="1">
      <c r="A1059" s="1664"/>
      <c r="B1059" s="1665" t="s">
        <v>139</v>
      </c>
      <c r="C1059" s="1666" t="s">
        <v>1784</v>
      </c>
      <c r="D1059" s="1667">
        <f>D1058</f>
        <v>42.5</v>
      </c>
      <c r="E1059" s="1668" t="s">
        <v>86</v>
      </c>
      <c r="F1059" s="1670"/>
      <c r="G1059" s="1670">
        <v>121</v>
      </c>
      <c r="H1059" s="1670">
        <f t="shared" si="160"/>
        <v>0</v>
      </c>
      <c r="I1059" s="1670">
        <f t="shared" si="161"/>
        <v>5142.5</v>
      </c>
      <c r="J1059" s="1670">
        <f t="shared" si="162"/>
        <v>5142.5</v>
      </c>
      <c r="K1059" s="1746"/>
      <c r="L1059" s="1721"/>
      <c r="M1059" s="1710" t="s">
        <v>1017</v>
      </c>
      <c r="N1059" s="1711" t="s">
        <v>659</v>
      </c>
    </row>
    <row r="1060" spans="1:14" ht="24" customHeight="1">
      <c r="A1060" s="1712"/>
      <c r="B1060" s="1673" t="s">
        <v>139</v>
      </c>
      <c r="C1060" s="1674" t="s">
        <v>198</v>
      </c>
      <c r="D1060" s="1675">
        <f>D1058*0.5</f>
        <v>21.25</v>
      </c>
      <c r="E1060" s="1676" t="s">
        <v>164</v>
      </c>
      <c r="F1060" s="1669">
        <v>400</v>
      </c>
      <c r="G1060" s="1669"/>
      <c r="H1060" s="1669">
        <f t="shared" si="160"/>
        <v>8500</v>
      </c>
      <c r="I1060" s="1669">
        <f t="shared" si="161"/>
        <v>0</v>
      </c>
      <c r="J1060" s="1669">
        <f t="shared" si="162"/>
        <v>8500</v>
      </c>
      <c r="K1060" s="1708"/>
      <c r="L1060" s="1721"/>
      <c r="M1060" s="1710" t="s">
        <v>1018</v>
      </c>
      <c r="N1060" s="1711"/>
    </row>
    <row r="1061" spans="1:14" ht="24" customHeight="1">
      <c r="A1061" s="1712"/>
      <c r="B1061" s="1673" t="s">
        <v>139</v>
      </c>
      <c r="C1061" s="1674" t="s">
        <v>1782</v>
      </c>
      <c r="D1061" s="1675">
        <f>D1060*0.3</f>
        <v>6.375</v>
      </c>
      <c r="E1061" s="1676" t="s">
        <v>164</v>
      </c>
      <c r="F1061" s="1669">
        <v>400</v>
      </c>
      <c r="G1061" s="1669">
        <v>0</v>
      </c>
      <c r="H1061" s="1669">
        <f t="shared" si="160"/>
        <v>2550</v>
      </c>
      <c r="I1061" s="1669">
        <f t="shared" si="161"/>
        <v>0</v>
      </c>
      <c r="J1061" s="1669">
        <f t="shared" si="162"/>
        <v>2550</v>
      </c>
      <c r="K1061" s="1708"/>
      <c r="L1061" s="1721"/>
      <c r="M1061" s="1710" t="s">
        <v>1018</v>
      </c>
      <c r="N1061" s="1711"/>
    </row>
    <row r="1062" spans="1:14" ht="24" customHeight="1">
      <c r="A1062" s="1712"/>
      <c r="B1062" s="1673" t="s">
        <v>139</v>
      </c>
      <c r="C1062" s="1674" t="s">
        <v>1142</v>
      </c>
      <c r="D1062" s="1675">
        <v>37</v>
      </c>
      <c r="E1062" s="1676" t="s">
        <v>83</v>
      </c>
      <c r="F1062" s="1669">
        <v>28</v>
      </c>
      <c r="G1062" s="1669">
        <v>0</v>
      </c>
      <c r="H1062" s="1669">
        <f t="shared" si="160"/>
        <v>1036</v>
      </c>
      <c r="I1062" s="1669">
        <f t="shared" si="161"/>
        <v>0</v>
      </c>
      <c r="J1062" s="1669">
        <f t="shared" si="162"/>
        <v>1036</v>
      </c>
      <c r="K1062" s="1708"/>
      <c r="L1062" s="1721"/>
      <c r="M1062" s="1710" t="s">
        <v>1018</v>
      </c>
      <c r="N1062" s="1711"/>
    </row>
    <row r="1063" spans="1:14" ht="24" customHeight="1">
      <c r="A1063" s="1712"/>
      <c r="B1063" s="1673" t="s">
        <v>139</v>
      </c>
      <c r="C1063" s="1674" t="s">
        <v>1781</v>
      </c>
      <c r="D1063" s="1675">
        <f>D1058*0.25</f>
        <v>10.625</v>
      </c>
      <c r="E1063" s="1676" t="s">
        <v>87</v>
      </c>
      <c r="F1063" s="1669">
        <v>23.89</v>
      </c>
      <c r="G1063" s="1669">
        <v>0</v>
      </c>
      <c r="H1063" s="1669">
        <f t="shared" si="160"/>
        <v>253.83125000000001</v>
      </c>
      <c r="I1063" s="1669">
        <f t="shared" si="161"/>
        <v>0</v>
      </c>
      <c r="J1063" s="1669">
        <f t="shared" si="162"/>
        <v>253.83125000000001</v>
      </c>
      <c r="K1063" s="1708"/>
      <c r="L1063" s="1721"/>
      <c r="M1063" s="1710" t="s">
        <v>660</v>
      </c>
      <c r="N1063" s="1711"/>
    </row>
    <row r="1064" spans="1:14" ht="24" customHeight="1">
      <c r="A1064" s="1712"/>
      <c r="B1064" s="1748" t="s">
        <v>251</v>
      </c>
      <c r="C1064" s="1674"/>
      <c r="D1064" s="1675"/>
      <c r="E1064" s="1676"/>
      <c r="F1064" s="1669"/>
      <c r="G1064" s="1669"/>
      <c r="H1064" s="1669"/>
      <c r="I1064" s="1669"/>
      <c r="J1064" s="1669"/>
      <c r="K1064" s="1708"/>
      <c r="L1064" s="1721"/>
      <c r="M1064" s="1710"/>
      <c r="N1064" s="1711"/>
    </row>
    <row r="1065" spans="1:14" ht="24" customHeight="1">
      <c r="A1065" s="1712"/>
      <c r="B1065" s="1673" t="s">
        <v>139</v>
      </c>
      <c r="C1065" s="1674" t="s">
        <v>88</v>
      </c>
      <c r="D1065" s="1675">
        <v>144.5</v>
      </c>
      <c r="E1065" s="1676" t="s">
        <v>87</v>
      </c>
      <c r="F1065" s="1677">
        <v>21.4</v>
      </c>
      <c r="G1065" s="1677">
        <v>4.4000000000000004</v>
      </c>
      <c r="H1065" s="1669">
        <f>F1065*D1065</f>
        <v>3092.2999999999997</v>
      </c>
      <c r="I1065" s="1669">
        <f>G1065*D1065</f>
        <v>635.80000000000007</v>
      </c>
      <c r="J1065" s="1669">
        <f>SUM(H1065:I1065)</f>
        <v>3728.1</v>
      </c>
      <c r="K1065" s="1708"/>
      <c r="L1065" s="1721"/>
      <c r="M1065" s="1710" t="s">
        <v>1016</v>
      </c>
      <c r="N1065" s="1711" t="s">
        <v>659</v>
      </c>
    </row>
    <row r="1066" spans="1:14" ht="24" customHeight="1">
      <c r="A1066" s="1712"/>
      <c r="B1066" s="1673" t="s">
        <v>139</v>
      </c>
      <c r="C1066" s="1674" t="s">
        <v>89</v>
      </c>
      <c r="D1066" s="1675">
        <v>43.5</v>
      </c>
      <c r="E1066" s="1676" t="s">
        <v>87</v>
      </c>
      <c r="F1066" s="1677">
        <v>21.4</v>
      </c>
      <c r="G1066" s="1677">
        <v>3.6</v>
      </c>
      <c r="H1066" s="1669">
        <f>F1066*D1066</f>
        <v>930.9</v>
      </c>
      <c r="I1066" s="1669">
        <f>G1066*D1066</f>
        <v>156.6</v>
      </c>
      <c r="J1066" s="1669">
        <f>SUM(H1066:I1066)</f>
        <v>1087.5</v>
      </c>
      <c r="K1066" s="1708"/>
      <c r="L1066" s="1721"/>
      <c r="M1066" s="1710" t="s">
        <v>1016</v>
      </c>
      <c r="N1066" s="1711" t="s">
        <v>659</v>
      </c>
    </row>
    <row r="1067" spans="1:14" ht="24" customHeight="1">
      <c r="A1067" s="1712"/>
      <c r="B1067" s="1673" t="s">
        <v>139</v>
      </c>
      <c r="C1067" s="1674" t="s">
        <v>90</v>
      </c>
      <c r="D1067" s="1675">
        <v>501.8</v>
      </c>
      <c r="E1067" s="1676" t="s">
        <v>87</v>
      </c>
      <c r="F1067" s="1677">
        <v>21.2</v>
      </c>
      <c r="G1067" s="1677">
        <v>3.6</v>
      </c>
      <c r="H1067" s="1669">
        <f>F1067*D1067</f>
        <v>10638.16</v>
      </c>
      <c r="I1067" s="1669">
        <f>G1067*D1067</f>
        <v>1806.48</v>
      </c>
      <c r="J1067" s="1669">
        <f>SUM(H1067:I1067)</f>
        <v>12444.64</v>
      </c>
      <c r="K1067" s="1708"/>
      <c r="L1067" s="1721"/>
      <c r="M1067" s="1710" t="s">
        <v>1016</v>
      </c>
      <c r="N1067" s="1711" t="s">
        <v>659</v>
      </c>
    </row>
    <row r="1068" spans="1:14" ht="24" customHeight="1">
      <c r="A1068" s="1712"/>
      <c r="B1068" s="1673" t="s">
        <v>139</v>
      </c>
      <c r="C1068" s="1674" t="s">
        <v>91</v>
      </c>
      <c r="D1068" s="1675">
        <v>165.3</v>
      </c>
      <c r="E1068" s="1676" t="s">
        <v>87</v>
      </c>
      <c r="F1068" s="1677">
        <v>21.2</v>
      </c>
      <c r="G1068" s="1677">
        <v>3.1</v>
      </c>
      <c r="H1068" s="1669">
        <f>F1068*D1068</f>
        <v>3504.36</v>
      </c>
      <c r="I1068" s="1669">
        <f>G1068*D1068</f>
        <v>512.43000000000006</v>
      </c>
      <c r="J1068" s="1669">
        <f>SUM(H1068:I1068)</f>
        <v>4016.79</v>
      </c>
      <c r="K1068" s="1708"/>
      <c r="L1068" s="1721"/>
      <c r="M1068" s="1710" t="s">
        <v>1016</v>
      </c>
      <c r="N1068" s="1711" t="s">
        <v>659</v>
      </c>
    </row>
    <row r="1069" spans="1:14" ht="24" customHeight="1">
      <c r="A1069" s="1712"/>
      <c r="B1069" s="1673" t="s">
        <v>139</v>
      </c>
      <c r="C1069" s="1674" t="s">
        <v>200</v>
      </c>
      <c r="D1069" s="1675">
        <f>SUM(D1065:D1068)*0.03</f>
        <v>25.652999999999995</v>
      </c>
      <c r="E1069" s="1676" t="s">
        <v>87</v>
      </c>
      <c r="F1069" s="1677">
        <v>25.83</v>
      </c>
      <c r="G1069" s="1677">
        <v>0</v>
      </c>
      <c r="H1069" s="1669">
        <f>F1069*D1069</f>
        <v>662.61698999999987</v>
      </c>
      <c r="I1069" s="1669">
        <f>G1069*D1069</f>
        <v>0</v>
      </c>
      <c r="J1069" s="1669">
        <f>SUM(H1069:I1069)</f>
        <v>662.61698999999987</v>
      </c>
      <c r="K1069" s="1708"/>
      <c r="L1069" s="1721"/>
      <c r="M1069" s="1710" t="s">
        <v>1019</v>
      </c>
      <c r="N1069" s="1711"/>
    </row>
    <row r="1070" spans="1:14" ht="24" customHeight="1">
      <c r="A1070" s="1712"/>
      <c r="B1070" s="2368" t="s">
        <v>249</v>
      </c>
      <c r="C1070" s="2370"/>
      <c r="D1070" s="1675"/>
      <c r="E1070" s="1676"/>
      <c r="F1070" s="1669"/>
      <c r="G1070" s="1669"/>
      <c r="H1070" s="1669"/>
      <c r="I1070" s="1669"/>
      <c r="J1070" s="1669"/>
      <c r="K1070" s="1708"/>
      <c r="L1070" s="1721"/>
      <c r="M1070" s="1711"/>
      <c r="N1070" s="1711"/>
    </row>
    <row r="1071" spans="1:14" ht="24" customHeight="1">
      <c r="A1071" s="1712"/>
      <c r="B1071" s="2368" t="s">
        <v>394</v>
      </c>
      <c r="C1071" s="2370"/>
      <c r="D1071" s="1675"/>
      <c r="E1071" s="1676"/>
      <c r="F1071" s="1669"/>
      <c r="G1071" s="1669"/>
      <c r="H1071" s="1669"/>
      <c r="I1071" s="1669"/>
      <c r="J1071" s="1669"/>
      <c r="K1071" s="1708"/>
      <c r="L1071" s="1721"/>
      <c r="M1071" s="1711"/>
      <c r="N1071" s="1711"/>
    </row>
    <row r="1072" spans="1:14" ht="24" customHeight="1">
      <c r="A1072" s="1702"/>
      <c r="B1072" s="2369" t="s">
        <v>416</v>
      </c>
      <c r="C1072" s="2373"/>
      <c r="D1072" s="1705"/>
      <c r="E1072" s="1706"/>
      <c r="F1072" s="1707"/>
      <c r="G1072" s="1707"/>
      <c r="H1072" s="1707"/>
      <c r="I1072" s="1707"/>
      <c r="J1072" s="1707"/>
      <c r="K1072" s="1709"/>
      <c r="L1072" s="1721"/>
      <c r="M1072" s="1711"/>
      <c r="N1072" s="1711"/>
    </row>
    <row r="1073" spans="1:14" ht="24" customHeight="1">
      <c r="A1073" s="1712"/>
      <c r="B1073" s="1673" t="s">
        <v>139</v>
      </c>
      <c r="C1073" s="1674" t="s">
        <v>228</v>
      </c>
      <c r="D1073" s="1675">
        <v>4.5</v>
      </c>
      <c r="E1073" s="1676" t="s">
        <v>85</v>
      </c>
      <c r="F1073" s="1736">
        <v>2679.9</v>
      </c>
      <c r="G1073" s="1736">
        <v>519</v>
      </c>
      <c r="H1073" s="1669">
        <f t="shared" ref="H1073:H1091" si="163">F1073*D1073</f>
        <v>12059.550000000001</v>
      </c>
      <c r="I1073" s="1669">
        <f t="shared" ref="I1073:I1091" si="164">G1073*D1073</f>
        <v>2335.5</v>
      </c>
      <c r="J1073" s="1669">
        <f t="shared" ref="J1073:J1086" si="165">SUM(H1073:I1073)</f>
        <v>14395.050000000001</v>
      </c>
      <c r="K1073" s="1708"/>
      <c r="L1073" s="1721"/>
      <c r="M1073" s="1710" t="s">
        <v>1016</v>
      </c>
      <c r="N1073" s="1711" t="s">
        <v>664</v>
      </c>
    </row>
    <row r="1074" spans="1:14" ht="24" customHeight="1">
      <c r="A1074" s="1712"/>
      <c r="B1074" s="2368" t="s">
        <v>418</v>
      </c>
      <c r="C1074" s="2370"/>
      <c r="D1074" s="1675">
        <v>22.5</v>
      </c>
      <c r="E1074" s="1676"/>
      <c r="F1074" s="1669"/>
      <c r="G1074" s="1669"/>
      <c r="H1074" s="1669"/>
      <c r="I1074" s="1669"/>
      <c r="J1074" s="1669"/>
      <c r="K1074" s="1708"/>
      <c r="L1074" s="1721"/>
      <c r="M1074" s="1711"/>
      <c r="N1074" s="1711"/>
    </row>
    <row r="1075" spans="1:14" ht="24" customHeight="1">
      <c r="A1075" s="1712"/>
      <c r="B1075" s="1673" t="s">
        <v>139</v>
      </c>
      <c r="C1075" s="1674" t="s">
        <v>1784</v>
      </c>
      <c r="D1075" s="1675">
        <f>D1074</f>
        <v>22.5</v>
      </c>
      <c r="E1075" s="1676" t="s">
        <v>86</v>
      </c>
      <c r="F1075" s="1669"/>
      <c r="G1075" s="1669">
        <v>121</v>
      </c>
      <c r="H1075" s="1669">
        <f t="shared" si="163"/>
        <v>0</v>
      </c>
      <c r="I1075" s="1669">
        <f t="shared" si="164"/>
        <v>2722.5</v>
      </c>
      <c r="J1075" s="1669">
        <f t="shared" si="165"/>
        <v>2722.5</v>
      </c>
      <c r="K1075" s="1708"/>
      <c r="L1075" s="1721"/>
      <c r="M1075" s="1710" t="s">
        <v>1017</v>
      </c>
      <c r="N1075" s="1711" t="s">
        <v>664</v>
      </c>
    </row>
    <row r="1076" spans="1:14" ht="24" customHeight="1">
      <c r="A1076" s="1712"/>
      <c r="B1076" s="1673" t="s">
        <v>139</v>
      </c>
      <c r="C1076" s="1674" t="s">
        <v>198</v>
      </c>
      <c r="D1076" s="1675">
        <f>D1074*0.5</f>
        <v>11.25</v>
      </c>
      <c r="E1076" s="1676" t="s">
        <v>164</v>
      </c>
      <c r="F1076" s="1669">
        <v>400</v>
      </c>
      <c r="G1076" s="1669"/>
      <c r="H1076" s="1669">
        <f t="shared" si="163"/>
        <v>4500</v>
      </c>
      <c r="I1076" s="1669">
        <f t="shared" si="164"/>
        <v>0</v>
      </c>
      <c r="J1076" s="1669">
        <f t="shared" si="165"/>
        <v>4500</v>
      </c>
      <c r="K1076" s="1708"/>
      <c r="L1076" s="1721"/>
      <c r="M1076" s="1710" t="s">
        <v>1018</v>
      </c>
      <c r="N1076" s="1711"/>
    </row>
    <row r="1077" spans="1:14" ht="24" customHeight="1">
      <c r="A1077" s="1712"/>
      <c r="B1077" s="1673" t="s">
        <v>139</v>
      </c>
      <c r="C1077" s="1674" t="s">
        <v>1782</v>
      </c>
      <c r="D1077" s="1675">
        <f>D1076*0.3</f>
        <v>3.375</v>
      </c>
      <c r="E1077" s="1676" t="s">
        <v>164</v>
      </c>
      <c r="F1077" s="1669">
        <v>400</v>
      </c>
      <c r="G1077" s="1669">
        <v>0</v>
      </c>
      <c r="H1077" s="1669">
        <f t="shared" si="163"/>
        <v>1350</v>
      </c>
      <c r="I1077" s="1669">
        <f t="shared" si="164"/>
        <v>0</v>
      </c>
      <c r="J1077" s="1669">
        <f t="shared" si="165"/>
        <v>1350</v>
      </c>
      <c r="K1077" s="1708"/>
      <c r="L1077" s="1721"/>
      <c r="M1077" s="1710" t="s">
        <v>1018</v>
      </c>
      <c r="N1077" s="1711"/>
    </row>
    <row r="1078" spans="1:14" ht="24" customHeight="1">
      <c r="A1078" s="1712"/>
      <c r="B1078" s="1673" t="s">
        <v>139</v>
      </c>
      <c r="C1078" s="1674" t="s">
        <v>163</v>
      </c>
      <c r="D1078" s="1675">
        <f>D1074</f>
        <v>22.5</v>
      </c>
      <c r="E1078" s="1676" t="s">
        <v>83</v>
      </c>
      <c r="F1078" s="1669">
        <v>28</v>
      </c>
      <c r="G1078" s="1669">
        <v>0</v>
      </c>
      <c r="H1078" s="1669">
        <f t="shared" si="163"/>
        <v>630</v>
      </c>
      <c r="I1078" s="1669">
        <f t="shared" si="164"/>
        <v>0</v>
      </c>
      <c r="J1078" s="1669">
        <f t="shared" si="165"/>
        <v>630</v>
      </c>
      <c r="K1078" s="1708"/>
      <c r="L1078" s="1721"/>
      <c r="M1078" s="1710" t="s">
        <v>1018</v>
      </c>
      <c r="N1078" s="1711"/>
    </row>
    <row r="1079" spans="1:14" ht="24" customHeight="1">
      <c r="A1079" s="1780"/>
      <c r="B1079" s="1780"/>
      <c r="C1079" s="1827" t="s">
        <v>133</v>
      </c>
      <c r="D1079" s="2365"/>
      <c r="E1079" s="2365"/>
      <c r="F1079" s="2365"/>
      <c r="G1079" s="2365"/>
      <c r="H1079" s="2365"/>
      <c r="I1079" s="2365"/>
      <c r="J1079" s="2365"/>
      <c r="K1079" s="2365"/>
      <c r="L1079" s="1721"/>
      <c r="M1079" s="1710"/>
      <c r="N1079" s="1711"/>
    </row>
    <row r="1080" spans="1:14" ht="24" customHeight="1">
      <c r="A1080" s="1780"/>
      <c r="B1080" s="2366" t="s">
        <v>1769</v>
      </c>
      <c r="C1080" s="2366"/>
      <c r="D1080" s="1828"/>
      <c r="E1080" s="1769"/>
      <c r="F1080" s="1828"/>
      <c r="G1080" s="1828" t="s">
        <v>134</v>
      </c>
      <c r="H1080" s="1828"/>
      <c r="I1080" s="1828"/>
      <c r="J1080" s="1828"/>
      <c r="K1080" s="1828"/>
      <c r="L1080" s="1721"/>
      <c r="M1080" s="1710"/>
      <c r="N1080" s="1711"/>
    </row>
    <row r="1081" spans="1:14" ht="24" customHeight="1">
      <c r="A1081" s="1780"/>
      <c r="B1081" s="2367" t="s">
        <v>1970</v>
      </c>
      <c r="C1081" s="2367"/>
      <c r="D1081" s="1831"/>
      <c r="E1081" s="1832"/>
      <c r="F1081" s="1833"/>
      <c r="G1081" s="1833" t="s">
        <v>1971</v>
      </c>
      <c r="H1081" s="1833"/>
      <c r="I1081" s="1833"/>
      <c r="J1081" s="1833"/>
      <c r="K1081" s="1833"/>
      <c r="L1081" s="1721"/>
      <c r="M1081" s="1710"/>
      <c r="N1081" s="1711"/>
    </row>
    <row r="1082" spans="1:14" ht="24" customHeight="1">
      <c r="A1082" s="1830"/>
      <c r="B1082" s="1828" t="s">
        <v>2031</v>
      </c>
      <c r="C1082" s="1830"/>
      <c r="D1082" s="1830"/>
      <c r="E1082" s="1830"/>
      <c r="F1082" s="1830"/>
      <c r="G1082" s="1828" t="s">
        <v>2031</v>
      </c>
      <c r="H1082" s="1830"/>
      <c r="I1082" s="1830"/>
      <c r="J1082" s="1830"/>
      <c r="K1082" s="1830"/>
      <c r="L1082" s="1721"/>
      <c r="M1082" s="1710"/>
      <c r="N1082" s="1711"/>
    </row>
    <row r="1083" spans="1:14" ht="24" customHeight="1">
      <c r="B1083" s="1721" t="s">
        <v>1984</v>
      </c>
      <c r="C1083" s="1830"/>
      <c r="D1083" s="1685"/>
      <c r="E1083" s="1685"/>
      <c r="G1083" s="1721" t="s">
        <v>1985</v>
      </c>
      <c r="H1083" s="1685"/>
      <c r="I1083" s="1685"/>
      <c r="J1083" s="1685"/>
      <c r="K1083" s="1685"/>
      <c r="L1083" s="1721"/>
      <c r="M1083" s="1710"/>
      <c r="N1083" s="1711"/>
    </row>
    <row r="1084" spans="1:14" ht="24" customHeight="1">
      <c r="B1084" s="1828" t="s">
        <v>670</v>
      </c>
      <c r="L1084" s="1721"/>
      <c r="M1084" s="1710"/>
      <c r="N1084" s="1711"/>
    </row>
    <row r="1085" spans="1:14" ht="24" customHeight="1">
      <c r="B1085" s="1721" t="s">
        <v>1972</v>
      </c>
      <c r="L1085" s="1721"/>
      <c r="M1085" s="1710"/>
      <c r="N1085" s="1711"/>
    </row>
    <row r="1086" spans="1:14" ht="24" customHeight="1">
      <c r="A1086" s="1712"/>
      <c r="B1086" s="1673" t="s">
        <v>139</v>
      </c>
      <c r="C1086" s="1674" t="s">
        <v>1781</v>
      </c>
      <c r="D1086" s="1675">
        <f>D1074*0.25</f>
        <v>5.625</v>
      </c>
      <c r="E1086" s="1676" t="s">
        <v>87</v>
      </c>
      <c r="F1086" s="1736">
        <v>23.89</v>
      </c>
      <c r="G1086" s="1736">
        <v>0</v>
      </c>
      <c r="H1086" s="1669">
        <f t="shared" si="163"/>
        <v>134.38124999999999</v>
      </c>
      <c r="I1086" s="1669">
        <f t="shared" si="164"/>
        <v>0</v>
      </c>
      <c r="J1086" s="1669">
        <f t="shared" si="165"/>
        <v>134.38124999999999</v>
      </c>
      <c r="K1086" s="1708"/>
      <c r="L1086" s="1721"/>
      <c r="M1086" s="1710" t="s">
        <v>660</v>
      </c>
      <c r="N1086" s="1711"/>
    </row>
    <row r="1087" spans="1:14" ht="24" customHeight="1">
      <c r="A1087" s="1712"/>
      <c r="B1087" s="2368" t="s">
        <v>417</v>
      </c>
      <c r="C1087" s="2370"/>
      <c r="D1087" s="1675"/>
      <c r="E1087" s="1676"/>
      <c r="F1087" s="1669"/>
      <c r="G1087" s="1669"/>
      <c r="H1087" s="1669"/>
      <c r="I1087" s="1669"/>
      <c r="J1087" s="1669"/>
      <c r="K1087" s="1708"/>
      <c r="L1087" s="1721"/>
      <c r="M1087" s="1711"/>
      <c r="N1087" s="1711"/>
    </row>
    <row r="1088" spans="1:14" ht="24" customHeight="1">
      <c r="A1088" s="1712"/>
      <c r="B1088" s="1673" t="s">
        <v>139</v>
      </c>
      <c r="C1088" s="1674" t="s">
        <v>88</v>
      </c>
      <c r="D1088" s="1675">
        <v>168.6</v>
      </c>
      <c r="E1088" s="1676" t="s">
        <v>87</v>
      </c>
      <c r="F1088" s="1677">
        <v>21.4</v>
      </c>
      <c r="G1088" s="1677">
        <v>4.4000000000000004</v>
      </c>
      <c r="H1088" s="1669">
        <f t="shared" si="163"/>
        <v>3608.0399999999995</v>
      </c>
      <c r="I1088" s="1669">
        <f t="shared" si="164"/>
        <v>741.84</v>
      </c>
      <c r="J1088" s="1669">
        <f>SUM(H1088:I1088)</f>
        <v>4349.8799999999992</v>
      </c>
      <c r="K1088" s="1708"/>
      <c r="L1088" s="1721"/>
      <c r="M1088" s="1710" t="s">
        <v>1016</v>
      </c>
      <c r="N1088" s="1711" t="s">
        <v>659</v>
      </c>
    </row>
    <row r="1089" spans="1:14" ht="24" customHeight="1">
      <c r="A1089" s="1712"/>
      <c r="B1089" s="1673" t="s">
        <v>139</v>
      </c>
      <c r="C1089" s="1674" t="s">
        <v>89</v>
      </c>
      <c r="D1089" s="1675">
        <v>100.4</v>
      </c>
      <c r="E1089" s="1676" t="s">
        <v>87</v>
      </c>
      <c r="F1089" s="1677">
        <v>21.4</v>
      </c>
      <c r="G1089" s="1677">
        <v>3.6</v>
      </c>
      <c r="H1089" s="1669">
        <f t="shared" si="163"/>
        <v>2148.56</v>
      </c>
      <c r="I1089" s="1669">
        <f t="shared" si="164"/>
        <v>361.44000000000005</v>
      </c>
      <c r="J1089" s="1669">
        <f>SUM(H1089:I1089)</f>
        <v>2510</v>
      </c>
      <c r="K1089" s="1708"/>
      <c r="L1089" s="1721"/>
      <c r="M1089" s="1710" t="s">
        <v>1016</v>
      </c>
      <c r="N1089" s="1711" t="s">
        <v>659</v>
      </c>
    </row>
    <row r="1090" spans="1:14" ht="24" customHeight="1">
      <c r="A1090" s="1712"/>
      <c r="B1090" s="1673" t="s">
        <v>139</v>
      </c>
      <c r="C1090" s="1674" t="s">
        <v>90</v>
      </c>
      <c r="D1090" s="1675">
        <v>280</v>
      </c>
      <c r="E1090" s="1676" t="s">
        <v>87</v>
      </c>
      <c r="F1090" s="1677">
        <v>21.2</v>
      </c>
      <c r="G1090" s="1677">
        <v>3.6</v>
      </c>
      <c r="H1090" s="1669">
        <f t="shared" si="163"/>
        <v>5936</v>
      </c>
      <c r="I1090" s="1669">
        <f t="shared" si="164"/>
        <v>1008</v>
      </c>
      <c r="J1090" s="1669">
        <f>SUM(H1090:I1090)</f>
        <v>6944</v>
      </c>
      <c r="K1090" s="1708"/>
      <c r="L1090" s="1721"/>
      <c r="M1090" s="1710" t="s">
        <v>1016</v>
      </c>
      <c r="N1090" s="1711" t="s">
        <v>659</v>
      </c>
    </row>
    <row r="1091" spans="1:14" ht="24" customHeight="1">
      <c r="A1091" s="1712"/>
      <c r="B1091" s="1673" t="s">
        <v>139</v>
      </c>
      <c r="C1091" s="1674" t="s">
        <v>200</v>
      </c>
      <c r="D1091" s="1675">
        <f>SUM(D1088:D1090)*0.03</f>
        <v>16.47</v>
      </c>
      <c r="E1091" s="1676" t="s">
        <v>87</v>
      </c>
      <c r="F1091" s="1677">
        <v>25.83</v>
      </c>
      <c r="G1091" s="1677">
        <v>0</v>
      </c>
      <c r="H1091" s="1669">
        <f t="shared" si="163"/>
        <v>425.42009999999993</v>
      </c>
      <c r="I1091" s="1669">
        <f t="shared" si="164"/>
        <v>0</v>
      </c>
      <c r="J1091" s="1669">
        <f>SUM(H1091:I1091)</f>
        <v>425.42009999999993</v>
      </c>
      <c r="K1091" s="1708"/>
      <c r="L1091" s="1721"/>
      <c r="M1091" s="1710" t="s">
        <v>1019</v>
      </c>
      <c r="N1091" s="1711"/>
    </row>
    <row r="1092" spans="1:14" s="1685" customFormat="1" ht="24" customHeight="1">
      <c r="A1092" s="1712"/>
      <c r="B1092" s="2368" t="s">
        <v>395</v>
      </c>
      <c r="C1092" s="2370"/>
      <c r="D1092" s="1675"/>
      <c r="E1092" s="1676"/>
      <c r="F1092" s="1669"/>
      <c r="G1092" s="1669"/>
      <c r="H1092" s="1669"/>
      <c r="I1092" s="1669"/>
      <c r="J1092" s="1669"/>
      <c r="K1092" s="1708"/>
      <c r="L1092" s="1721"/>
      <c r="M1092" s="1711"/>
      <c r="N1092" s="1711"/>
    </row>
    <row r="1093" spans="1:14" s="1685" customFormat="1" ht="24" customHeight="1">
      <c r="A1093" s="1712"/>
      <c r="B1093" s="2368" t="s">
        <v>420</v>
      </c>
      <c r="C1093" s="2370"/>
      <c r="D1093" s="1675"/>
      <c r="E1093" s="1676"/>
      <c r="F1093" s="1669"/>
      <c r="G1093" s="1669"/>
      <c r="H1093" s="1669"/>
      <c r="I1093" s="1669"/>
      <c r="J1093" s="1669"/>
      <c r="K1093" s="1708"/>
      <c r="L1093" s="1721"/>
      <c r="M1093" s="1711"/>
      <c r="N1093" s="1711"/>
    </row>
    <row r="1094" spans="1:14" ht="24" customHeight="1">
      <c r="A1094" s="1712"/>
      <c r="B1094" s="1673" t="s">
        <v>139</v>
      </c>
      <c r="C1094" s="1674" t="s">
        <v>228</v>
      </c>
      <c r="D1094" s="1675">
        <v>5.5</v>
      </c>
      <c r="E1094" s="1676" t="s">
        <v>85</v>
      </c>
      <c r="F1094" s="1677">
        <v>2679.9</v>
      </c>
      <c r="G1094" s="1677">
        <v>519</v>
      </c>
      <c r="H1094" s="1669">
        <f t="shared" ref="H1094:H1105" si="166">F1094*D1094</f>
        <v>14739.45</v>
      </c>
      <c r="I1094" s="1669">
        <f t="shared" ref="I1094:I1105" si="167">G1094*D1094</f>
        <v>2854.5</v>
      </c>
      <c r="J1094" s="1669">
        <f t="shared" ref="J1094:J1100" si="168">SUM(H1094:I1094)</f>
        <v>17593.95</v>
      </c>
      <c r="K1094" s="1708"/>
      <c r="L1094" s="1721"/>
      <c r="M1094" s="1710" t="s">
        <v>1016</v>
      </c>
      <c r="N1094" s="1711" t="s">
        <v>664</v>
      </c>
    </row>
    <row r="1095" spans="1:14" ht="24" customHeight="1">
      <c r="A1095" s="1712"/>
      <c r="B1095" s="1748" t="s">
        <v>421</v>
      </c>
      <c r="C1095" s="1674"/>
      <c r="D1095" s="1675">
        <v>28.6</v>
      </c>
      <c r="E1095" s="1676"/>
      <c r="F1095" s="1677"/>
      <c r="G1095" s="1677"/>
      <c r="H1095" s="1669"/>
      <c r="I1095" s="1669"/>
      <c r="J1095" s="1669"/>
      <c r="K1095" s="1708"/>
      <c r="L1095" s="1721"/>
      <c r="M1095" s="1710"/>
      <c r="N1095" s="1711"/>
    </row>
    <row r="1096" spans="1:14" ht="24" customHeight="1">
      <c r="A1096" s="1712"/>
      <c r="B1096" s="1673" t="s">
        <v>139</v>
      </c>
      <c r="C1096" s="1674" t="s">
        <v>1784</v>
      </c>
      <c r="D1096" s="1675">
        <f>D1095</f>
        <v>28.6</v>
      </c>
      <c r="E1096" s="1676" t="s">
        <v>86</v>
      </c>
      <c r="F1096" s="1669"/>
      <c r="G1096" s="1669">
        <v>121</v>
      </c>
      <c r="H1096" s="1669">
        <f t="shared" si="166"/>
        <v>0</v>
      </c>
      <c r="I1096" s="1669">
        <f t="shared" si="167"/>
        <v>3460.6000000000004</v>
      </c>
      <c r="J1096" s="1669">
        <f t="shared" si="168"/>
        <v>3460.6000000000004</v>
      </c>
      <c r="K1096" s="1708"/>
      <c r="L1096" s="1721"/>
      <c r="M1096" s="1710" t="s">
        <v>1017</v>
      </c>
      <c r="N1096" s="1711" t="s">
        <v>664</v>
      </c>
    </row>
    <row r="1097" spans="1:14" ht="24" customHeight="1">
      <c r="A1097" s="1712"/>
      <c r="B1097" s="1673" t="s">
        <v>139</v>
      </c>
      <c r="C1097" s="1674" t="s">
        <v>198</v>
      </c>
      <c r="D1097" s="1675">
        <f>D1095*0.5</f>
        <v>14.3</v>
      </c>
      <c r="E1097" s="1676" t="s">
        <v>164</v>
      </c>
      <c r="F1097" s="1669">
        <v>400</v>
      </c>
      <c r="G1097" s="1669"/>
      <c r="H1097" s="1669">
        <f t="shared" si="166"/>
        <v>5720</v>
      </c>
      <c r="I1097" s="1669">
        <f t="shared" si="167"/>
        <v>0</v>
      </c>
      <c r="J1097" s="1669">
        <f t="shared" si="168"/>
        <v>5720</v>
      </c>
      <c r="K1097" s="1708"/>
      <c r="L1097" s="1721"/>
      <c r="M1097" s="1710" t="s">
        <v>1018</v>
      </c>
      <c r="N1097" s="1711"/>
    </row>
    <row r="1098" spans="1:14" ht="24" customHeight="1">
      <c r="A1098" s="1712"/>
      <c r="B1098" s="1673" t="s">
        <v>139</v>
      </c>
      <c r="C1098" s="1674" t="s">
        <v>1782</v>
      </c>
      <c r="D1098" s="1675">
        <f>D1097*0.3</f>
        <v>4.29</v>
      </c>
      <c r="E1098" s="1676" t="s">
        <v>164</v>
      </c>
      <c r="F1098" s="1669">
        <v>400</v>
      </c>
      <c r="G1098" s="1669">
        <v>0</v>
      </c>
      <c r="H1098" s="1669">
        <f t="shared" si="166"/>
        <v>1716</v>
      </c>
      <c r="I1098" s="1669">
        <f t="shared" si="167"/>
        <v>0</v>
      </c>
      <c r="J1098" s="1669">
        <f t="shared" si="168"/>
        <v>1716</v>
      </c>
      <c r="K1098" s="1708"/>
      <c r="L1098" s="1721"/>
      <c r="M1098" s="1710" t="s">
        <v>1018</v>
      </c>
      <c r="N1098" s="1711"/>
    </row>
    <row r="1099" spans="1:14" ht="24" customHeight="1">
      <c r="A1099" s="1712"/>
      <c r="B1099" s="1673" t="s">
        <v>139</v>
      </c>
      <c r="C1099" s="1674" t="s">
        <v>163</v>
      </c>
      <c r="D1099" s="1675">
        <f>D1095</f>
        <v>28.6</v>
      </c>
      <c r="E1099" s="1676" t="s">
        <v>83</v>
      </c>
      <c r="F1099" s="1669">
        <v>28</v>
      </c>
      <c r="G1099" s="1669">
        <v>0</v>
      </c>
      <c r="H1099" s="1669">
        <f t="shared" si="166"/>
        <v>800.80000000000007</v>
      </c>
      <c r="I1099" s="1669">
        <f t="shared" si="167"/>
        <v>0</v>
      </c>
      <c r="J1099" s="1669">
        <f t="shared" si="168"/>
        <v>800.80000000000007</v>
      </c>
      <c r="K1099" s="1708"/>
      <c r="L1099" s="1721"/>
      <c r="M1099" s="1710" t="s">
        <v>1018</v>
      </c>
      <c r="N1099" s="1711"/>
    </row>
    <row r="1100" spans="1:14" ht="24" customHeight="1">
      <c r="A1100" s="1712"/>
      <c r="B1100" s="1673" t="s">
        <v>139</v>
      </c>
      <c r="C1100" s="1674" t="s">
        <v>1781</v>
      </c>
      <c r="D1100" s="1675">
        <f>D1095*0.25</f>
        <v>7.15</v>
      </c>
      <c r="E1100" s="1676" t="s">
        <v>87</v>
      </c>
      <c r="F1100" s="1736">
        <v>23.89</v>
      </c>
      <c r="G1100" s="1736">
        <v>0</v>
      </c>
      <c r="H1100" s="1669">
        <f t="shared" si="166"/>
        <v>170.8135</v>
      </c>
      <c r="I1100" s="1669">
        <f t="shared" si="167"/>
        <v>0</v>
      </c>
      <c r="J1100" s="1669">
        <f t="shared" si="168"/>
        <v>170.8135</v>
      </c>
      <c r="K1100" s="1708"/>
      <c r="L1100" s="1721"/>
      <c r="M1100" s="1710" t="s">
        <v>660</v>
      </c>
      <c r="N1100" s="1711"/>
    </row>
    <row r="1101" spans="1:14" ht="24" customHeight="1">
      <c r="A1101" s="1712"/>
      <c r="B1101" s="2368" t="s">
        <v>419</v>
      </c>
      <c r="C1101" s="2370"/>
      <c r="D1101" s="1675"/>
      <c r="E1101" s="1676"/>
      <c r="F1101" s="1669"/>
      <c r="G1101" s="1669"/>
      <c r="H1101" s="1669"/>
      <c r="I1101" s="1669"/>
      <c r="J1101" s="1669"/>
      <c r="K1101" s="1708"/>
      <c r="L1101" s="1721"/>
      <c r="M1101" s="1711"/>
      <c r="N1101" s="1711"/>
    </row>
    <row r="1102" spans="1:14" ht="24" customHeight="1">
      <c r="A1102" s="1712"/>
      <c r="B1102" s="1673" t="s">
        <v>139</v>
      </c>
      <c r="C1102" s="1674" t="s">
        <v>88</v>
      </c>
      <c r="D1102" s="1675">
        <v>269.5</v>
      </c>
      <c r="E1102" s="1676" t="s">
        <v>87</v>
      </c>
      <c r="F1102" s="1677">
        <v>21.4</v>
      </c>
      <c r="G1102" s="1677">
        <v>4.4000000000000004</v>
      </c>
      <c r="H1102" s="1669">
        <f t="shared" si="166"/>
        <v>5767.2999999999993</v>
      </c>
      <c r="I1102" s="1669">
        <f t="shared" si="167"/>
        <v>1185.8000000000002</v>
      </c>
      <c r="J1102" s="1669">
        <f>SUM(H1102:I1102)</f>
        <v>6953.0999999999995</v>
      </c>
      <c r="K1102" s="1708"/>
      <c r="L1102" s="1721"/>
      <c r="M1102" s="1710" t="s">
        <v>1016</v>
      </c>
      <c r="N1102" s="1711" t="s">
        <v>659</v>
      </c>
    </row>
    <row r="1103" spans="1:14" ht="24" customHeight="1">
      <c r="A1103" s="1712"/>
      <c r="B1103" s="1673" t="s">
        <v>139</v>
      </c>
      <c r="C1103" s="1674" t="s">
        <v>89</v>
      </c>
      <c r="D1103" s="1675">
        <v>117.7</v>
      </c>
      <c r="E1103" s="1676" t="s">
        <v>87</v>
      </c>
      <c r="F1103" s="1677">
        <v>21.4</v>
      </c>
      <c r="G1103" s="1677">
        <v>3.6</v>
      </c>
      <c r="H1103" s="1669">
        <f t="shared" si="166"/>
        <v>2518.7799999999997</v>
      </c>
      <c r="I1103" s="1669">
        <f t="shared" si="167"/>
        <v>423.72</v>
      </c>
      <c r="J1103" s="1669">
        <f>SUM(H1103:I1103)</f>
        <v>2942.5</v>
      </c>
      <c r="K1103" s="1708"/>
      <c r="L1103" s="1721"/>
      <c r="M1103" s="1710" t="s">
        <v>1016</v>
      </c>
      <c r="N1103" s="1711" t="s">
        <v>659</v>
      </c>
    </row>
    <row r="1104" spans="1:14" ht="24" customHeight="1">
      <c r="A1104" s="1712"/>
      <c r="B1104" s="1673" t="s">
        <v>139</v>
      </c>
      <c r="C1104" s="1674" t="s">
        <v>90</v>
      </c>
      <c r="D1104" s="1675">
        <v>433.5</v>
      </c>
      <c r="E1104" s="1676" t="s">
        <v>87</v>
      </c>
      <c r="F1104" s="1677">
        <v>21.2</v>
      </c>
      <c r="G1104" s="1677">
        <v>3.6</v>
      </c>
      <c r="H1104" s="1669">
        <f t="shared" si="166"/>
        <v>9190.1999999999989</v>
      </c>
      <c r="I1104" s="1669">
        <f t="shared" si="167"/>
        <v>1560.6000000000001</v>
      </c>
      <c r="J1104" s="1669">
        <f>SUM(H1104:I1104)</f>
        <v>10750.8</v>
      </c>
      <c r="K1104" s="1708"/>
      <c r="L1104" s="1721"/>
      <c r="M1104" s="1710" t="s">
        <v>1016</v>
      </c>
      <c r="N1104" s="1711" t="s">
        <v>659</v>
      </c>
    </row>
    <row r="1105" spans="1:14" ht="24" customHeight="1">
      <c r="A1105" s="1712"/>
      <c r="B1105" s="1673" t="s">
        <v>139</v>
      </c>
      <c r="C1105" s="1674" t="s">
        <v>200</v>
      </c>
      <c r="D1105" s="1675">
        <f>SUM(D1102:D1104)*0.03</f>
        <v>24.621000000000002</v>
      </c>
      <c r="E1105" s="1676" t="s">
        <v>87</v>
      </c>
      <c r="F1105" s="1677">
        <v>25.83</v>
      </c>
      <c r="G1105" s="1677">
        <v>0</v>
      </c>
      <c r="H1105" s="1669">
        <f t="shared" si="166"/>
        <v>635.96042999999997</v>
      </c>
      <c r="I1105" s="1669">
        <f t="shared" si="167"/>
        <v>0</v>
      </c>
      <c r="J1105" s="1669">
        <f>SUM(H1105:I1105)</f>
        <v>635.96042999999997</v>
      </c>
      <c r="K1105" s="1708"/>
      <c r="L1105" s="1721"/>
      <c r="M1105" s="1710" t="s">
        <v>1019</v>
      </c>
      <c r="N1105" s="1711"/>
    </row>
    <row r="1106" spans="1:14" ht="24" customHeight="1">
      <c r="A1106" s="1712"/>
      <c r="B1106" s="2368" t="s">
        <v>1051</v>
      </c>
      <c r="C1106" s="2370"/>
      <c r="D1106" s="1675"/>
      <c r="E1106" s="1676"/>
      <c r="F1106" s="1669"/>
      <c r="G1106" s="1669"/>
      <c r="H1106" s="1669"/>
      <c r="I1106" s="1669"/>
      <c r="J1106" s="1669"/>
      <c r="K1106" s="1708"/>
      <c r="L1106" s="1721"/>
      <c r="M1106" s="1711"/>
      <c r="N1106" s="1711"/>
    </row>
    <row r="1107" spans="1:14" ht="24" customHeight="1">
      <c r="A1107" s="1712"/>
      <c r="B1107" s="2368" t="s">
        <v>1052</v>
      </c>
      <c r="C1107" s="2370"/>
      <c r="D1107" s="1675"/>
      <c r="E1107" s="1676"/>
      <c r="F1107" s="1669"/>
      <c r="G1107" s="1669"/>
      <c r="H1107" s="1669"/>
      <c r="I1107" s="1669"/>
      <c r="J1107" s="1669"/>
      <c r="K1107" s="1708"/>
      <c r="L1107" s="1721"/>
      <c r="M1107" s="1711"/>
      <c r="N1107" s="1711"/>
    </row>
    <row r="1108" spans="1:14" ht="24" customHeight="1">
      <c r="A1108" s="1712"/>
      <c r="B1108" s="1673" t="s">
        <v>139</v>
      </c>
      <c r="C1108" s="1674" t="s">
        <v>228</v>
      </c>
      <c r="D1108" s="1675">
        <v>4.5</v>
      </c>
      <c r="E1108" s="1676" t="s">
        <v>85</v>
      </c>
      <c r="F1108" s="1736">
        <v>2679.9</v>
      </c>
      <c r="G1108" s="1736">
        <v>519</v>
      </c>
      <c r="H1108" s="1669">
        <f t="shared" ref="H1108:H1126" si="169">F1108*D1108</f>
        <v>12059.550000000001</v>
      </c>
      <c r="I1108" s="1669">
        <f t="shared" ref="I1108:I1126" si="170">G1108*D1108</f>
        <v>2335.5</v>
      </c>
      <c r="J1108" s="1669">
        <f t="shared" ref="J1108:J1121" si="171">SUM(H1108:I1108)</f>
        <v>14395.050000000001</v>
      </c>
      <c r="K1108" s="1708"/>
      <c r="L1108" s="1721"/>
      <c r="M1108" s="1710" t="s">
        <v>1016</v>
      </c>
      <c r="N1108" s="1711" t="s">
        <v>664</v>
      </c>
    </row>
    <row r="1109" spans="1:14" ht="24" customHeight="1">
      <c r="A1109" s="1780"/>
      <c r="B1109" s="1780"/>
      <c r="C1109" s="1827" t="s">
        <v>133</v>
      </c>
      <c r="D1109" s="2365"/>
      <c r="E1109" s="2365"/>
      <c r="F1109" s="2365"/>
      <c r="G1109" s="2365"/>
      <c r="H1109" s="2365"/>
      <c r="I1109" s="2365"/>
      <c r="J1109" s="2365"/>
      <c r="K1109" s="2365"/>
      <c r="L1109" s="1721"/>
      <c r="M1109" s="1710"/>
      <c r="N1109" s="1711"/>
    </row>
    <row r="1110" spans="1:14" ht="24" customHeight="1">
      <c r="A1110" s="1780"/>
      <c r="B1110" s="2366" t="s">
        <v>1769</v>
      </c>
      <c r="C1110" s="2366"/>
      <c r="D1110" s="1828"/>
      <c r="E1110" s="1769"/>
      <c r="F1110" s="1828"/>
      <c r="G1110" s="1828" t="s">
        <v>134</v>
      </c>
      <c r="H1110" s="1828"/>
      <c r="I1110" s="1828"/>
      <c r="J1110" s="1828"/>
      <c r="K1110" s="1828"/>
      <c r="L1110" s="1721"/>
      <c r="M1110" s="1710"/>
      <c r="N1110" s="1711"/>
    </row>
    <row r="1111" spans="1:14" ht="24" customHeight="1">
      <c r="A1111" s="1780"/>
      <c r="B1111" s="2367" t="s">
        <v>1970</v>
      </c>
      <c r="C1111" s="2367"/>
      <c r="D1111" s="1831"/>
      <c r="E1111" s="1832"/>
      <c r="F1111" s="1833"/>
      <c r="G1111" s="1833" t="s">
        <v>1971</v>
      </c>
      <c r="H1111" s="1833"/>
      <c r="I1111" s="1833"/>
      <c r="J1111" s="1833"/>
      <c r="K1111" s="1833"/>
      <c r="L1111" s="1721"/>
      <c r="M1111" s="1710"/>
      <c r="N1111" s="1711"/>
    </row>
    <row r="1112" spans="1:14" ht="24" customHeight="1">
      <c r="A1112" s="1830"/>
      <c r="B1112" s="1828" t="s">
        <v>2031</v>
      </c>
      <c r="C1112" s="1830"/>
      <c r="D1112" s="1830"/>
      <c r="E1112" s="1830"/>
      <c r="F1112" s="1830"/>
      <c r="G1112" s="1828" t="s">
        <v>2031</v>
      </c>
      <c r="H1112" s="1830"/>
      <c r="I1112" s="1830"/>
      <c r="J1112" s="1830"/>
      <c r="K1112" s="1830"/>
      <c r="L1112" s="1721"/>
      <c r="M1112" s="1710"/>
      <c r="N1112" s="1711"/>
    </row>
    <row r="1113" spans="1:14" ht="24" customHeight="1">
      <c r="B1113" s="1721" t="s">
        <v>1984</v>
      </c>
      <c r="C1113" s="1830"/>
      <c r="D1113" s="1685"/>
      <c r="E1113" s="1685"/>
      <c r="G1113" s="1721" t="s">
        <v>1985</v>
      </c>
      <c r="H1113" s="1685"/>
      <c r="I1113" s="1685"/>
      <c r="J1113" s="1685"/>
      <c r="K1113" s="1685"/>
      <c r="L1113" s="1721"/>
      <c r="M1113" s="1710"/>
      <c r="N1113" s="1711"/>
    </row>
    <row r="1114" spans="1:14" ht="24" customHeight="1">
      <c r="B1114" s="1828" t="s">
        <v>670</v>
      </c>
      <c r="L1114" s="1721"/>
      <c r="M1114" s="1710"/>
      <c r="N1114" s="1711"/>
    </row>
    <row r="1115" spans="1:14" ht="24" customHeight="1">
      <c r="B1115" s="1721" t="s">
        <v>1972</v>
      </c>
      <c r="L1115" s="1721"/>
      <c r="M1115" s="1710"/>
      <c r="N1115" s="1711"/>
    </row>
    <row r="1116" spans="1:14" ht="24" customHeight="1">
      <c r="A1116" s="1712"/>
      <c r="B1116" s="2368" t="s">
        <v>1053</v>
      </c>
      <c r="C1116" s="2370"/>
      <c r="D1116" s="1675">
        <v>20.8</v>
      </c>
      <c r="E1116" s="1676"/>
      <c r="F1116" s="1669"/>
      <c r="G1116" s="1669"/>
      <c r="H1116" s="1669"/>
      <c r="I1116" s="1669"/>
      <c r="J1116" s="1669"/>
      <c r="K1116" s="1708"/>
      <c r="L1116" s="1721"/>
      <c r="M1116" s="1711"/>
      <c r="N1116" s="1711"/>
    </row>
    <row r="1117" spans="1:14" ht="24" customHeight="1">
      <c r="A1117" s="1712"/>
      <c r="B1117" s="1673" t="s">
        <v>139</v>
      </c>
      <c r="C1117" s="1674" t="s">
        <v>1784</v>
      </c>
      <c r="D1117" s="1675">
        <f>D1116</f>
        <v>20.8</v>
      </c>
      <c r="E1117" s="1676" t="s">
        <v>86</v>
      </c>
      <c r="F1117" s="1669"/>
      <c r="G1117" s="1669">
        <v>121</v>
      </c>
      <c r="H1117" s="1669">
        <f t="shared" si="169"/>
        <v>0</v>
      </c>
      <c r="I1117" s="1669">
        <f t="shared" si="170"/>
        <v>2516.8000000000002</v>
      </c>
      <c r="J1117" s="1669">
        <f t="shared" si="171"/>
        <v>2516.8000000000002</v>
      </c>
      <c r="K1117" s="1708"/>
      <c r="L1117" s="1721"/>
      <c r="M1117" s="1710" t="s">
        <v>1017</v>
      </c>
      <c r="N1117" s="1711" t="s">
        <v>664</v>
      </c>
    </row>
    <row r="1118" spans="1:14" ht="24" customHeight="1">
      <c r="A1118" s="1712"/>
      <c r="B1118" s="1673" t="s">
        <v>139</v>
      </c>
      <c r="C1118" s="1674" t="s">
        <v>198</v>
      </c>
      <c r="D1118" s="1675">
        <f>D1116*0.5</f>
        <v>10.4</v>
      </c>
      <c r="E1118" s="1676" t="s">
        <v>164</v>
      </c>
      <c r="F1118" s="1669">
        <v>400</v>
      </c>
      <c r="G1118" s="1669"/>
      <c r="H1118" s="1669">
        <f t="shared" si="169"/>
        <v>4160</v>
      </c>
      <c r="I1118" s="1669">
        <f t="shared" si="170"/>
        <v>0</v>
      </c>
      <c r="J1118" s="1669">
        <f t="shared" si="171"/>
        <v>4160</v>
      </c>
      <c r="K1118" s="1708"/>
      <c r="L1118" s="1721"/>
      <c r="M1118" s="1710" t="s">
        <v>1018</v>
      </c>
      <c r="N1118" s="1711"/>
    </row>
    <row r="1119" spans="1:14" ht="24" customHeight="1">
      <c r="A1119" s="1712"/>
      <c r="B1119" s="1673" t="s">
        <v>139</v>
      </c>
      <c r="C1119" s="1674" t="s">
        <v>1782</v>
      </c>
      <c r="D1119" s="1675">
        <f>D1118*0.3</f>
        <v>3.12</v>
      </c>
      <c r="E1119" s="1676" t="s">
        <v>164</v>
      </c>
      <c r="F1119" s="1669">
        <v>400</v>
      </c>
      <c r="G1119" s="1669">
        <v>0</v>
      </c>
      <c r="H1119" s="1669">
        <f t="shared" si="169"/>
        <v>1248</v>
      </c>
      <c r="I1119" s="1669">
        <f t="shared" si="170"/>
        <v>0</v>
      </c>
      <c r="J1119" s="1669">
        <f t="shared" si="171"/>
        <v>1248</v>
      </c>
      <c r="K1119" s="1708"/>
      <c r="L1119" s="1721"/>
      <c r="M1119" s="1710" t="s">
        <v>1018</v>
      </c>
      <c r="N1119" s="1711"/>
    </row>
    <row r="1120" spans="1:14" ht="24" customHeight="1">
      <c r="A1120" s="1712"/>
      <c r="B1120" s="1673" t="s">
        <v>139</v>
      </c>
      <c r="C1120" s="1674" t="s">
        <v>163</v>
      </c>
      <c r="D1120" s="1675">
        <f>D1116</f>
        <v>20.8</v>
      </c>
      <c r="E1120" s="1676" t="s">
        <v>83</v>
      </c>
      <c r="F1120" s="1669">
        <v>28</v>
      </c>
      <c r="G1120" s="1669">
        <v>0</v>
      </c>
      <c r="H1120" s="1669">
        <f t="shared" si="169"/>
        <v>582.4</v>
      </c>
      <c r="I1120" s="1669">
        <f t="shared" si="170"/>
        <v>0</v>
      </c>
      <c r="J1120" s="1669">
        <f t="shared" si="171"/>
        <v>582.4</v>
      </c>
      <c r="K1120" s="1708"/>
      <c r="L1120" s="1721"/>
      <c r="M1120" s="1710" t="s">
        <v>1018</v>
      </c>
      <c r="N1120" s="1711"/>
    </row>
    <row r="1121" spans="1:14" ht="24" customHeight="1">
      <c r="A1121" s="1712"/>
      <c r="B1121" s="1673" t="s">
        <v>139</v>
      </c>
      <c r="C1121" s="1674" t="s">
        <v>1781</v>
      </c>
      <c r="D1121" s="1675">
        <f>D1116*0.25</f>
        <v>5.2</v>
      </c>
      <c r="E1121" s="1676" t="s">
        <v>87</v>
      </c>
      <c r="F1121" s="1736">
        <v>23.89</v>
      </c>
      <c r="G1121" s="1736">
        <v>0</v>
      </c>
      <c r="H1121" s="1669">
        <f t="shared" si="169"/>
        <v>124.22800000000001</v>
      </c>
      <c r="I1121" s="1669">
        <f t="shared" si="170"/>
        <v>0</v>
      </c>
      <c r="J1121" s="1669">
        <f t="shared" si="171"/>
        <v>124.22800000000001</v>
      </c>
      <c r="K1121" s="1708"/>
      <c r="L1121" s="1721"/>
      <c r="M1121" s="1710" t="s">
        <v>660</v>
      </c>
      <c r="N1121" s="1711"/>
    </row>
    <row r="1122" spans="1:14" s="1685" customFormat="1" ht="24" customHeight="1">
      <c r="A1122" s="1712"/>
      <c r="B1122" s="2368" t="s">
        <v>1054</v>
      </c>
      <c r="C1122" s="2370"/>
      <c r="D1122" s="1675"/>
      <c r="E1122" s="1676"/>
      <c r="F1122" s="1669"/>
      <c r="G1122" s="1669"/>
      <c r="H1122" s="1669"/>
      <c r="I1122" s="1669"/>
      <c r="J1122" s="1669"/>
      <c r="K1122" s="1708"/>
      <c r="L1122" s="1721"/>
      <c r="M1122" s="1711"/>
      <c r="N1122" s="1711"/>
    </row>
    <row r="1123" spans="1:14" s="1685" customFormat="1" ht="24" customHeight="1">
      <c r="A1123" s="1712"/>
      <c r="B1123" s="1673" t="s">
        <v>139</v>
      </c>
      <c r="C1123" s="1674" t="s">
        <v>88</v>
      </c>
      <c r="D1123" s="1675">
        <v>168</v>
      </c>
      <c r="E1123" s="1676" t="s">
        <v>87</v>
      </c>
      <c r="F1123" s="1677">
        <v>21.4</v>
      </c>
      <c r="G1123" s="1677">
        <v>4.4000000000000004</v>
      </c>
      <c r="H1123" s="1669">
        <f t="shared" si="169"/>
        <v>3595.2</v>
      </c>
      <c r="I1123" s="1669">
        <f t="shared" si="170"/>
        <v>739.2</v>
      </c>
      <c r="J1123" s="1669">
        <f>SUM(H1123:I1123)</f>
        <v>4334.3999999999996</v>
      </c>
      <c r="K1123" s="1708"/>
      <c r="L1123" s="1721"/>
      <c r="M1123" s="1710" t="s">
        <v>1016</v>
      </c>
      <c r="N1123" s="1711" t="s">
        <v>659</v>
      </c>
    </row>
    <row r="1124" spans="1:14" s="1685" customFormat="1" ht="24" customHeight="1">
      <c r="A1124" s="1712"/>
      <c r="B1124" s="1673" t="s">
        <v>139</v>
      </c>
      <c r="C1124" s="1674" t="s">
        <v>89</v>
      </c>
      <c r="D1124" s="1675">
        <v>72.900000000000006</v>
      </c>
      <c r="E1124" s="1676" t="s">
        <v>87</v>
      </c>
      <c r="F1124" s="1677">
        <v>21.4</v>
      </c>
      <c r="G1124" s="1677">
        <v>3.6</v>
      </c>
      <c r="H1124" s="1669">
        <f t="shared" si="169"/>
        <v>1560.06</v>
      </c>
      <c r="I1124" s="1669">
        <f t="shared" si="170"/>
        <v>262.44000000000005</v>
      </c>
      <c r="J1124" s="1669">
        <f>SUM(H1124:I1124)</f>
        <v>1822.5</v>
      </c>
      <c r="K1124" s="1708"/>
      <c r="L1124" s="1721"/>
      <c r="M1124" s="1710" t="s">
        <v>1016</v>
      </c>
      <c r="N1124" s="1711" t="s">
        <v>659</v>
      </c>
    </row>
    <row r="1125" spans="1:14" s="1685" customFormat="1" ht="24" customHeight="1">
      <c r="A1125" s="1712"/>
      <c r="B1125" s="1673" t="s">
        <v>139</v>
      </c>
      <c r="C1125" s="1674" t="s">
        <v>90</v>
      </c>
      <c r="D1125" s="1675">
        <v>221.2</v>
      </c>
      <c r="E1125" s="1676" t="s">
        <v>87</v>
      </c>
      <c r="F1125" s="1677">
        <v>21.2</v>
      </c>
      <c r="G1125" s="1677">
        <v>3.6</v>
      </c>
      <c r="H1125" s="1669">
        <f t="shared" si="169"/>
        <v>4689.4399999999996</v>
      </c>
      <c r="I1125" s="1669">
        <f t="shared" si="170"/>
        <v>796.31999999999994</v>
      </c>
      <c r="J1125" s="1669">
        <f>SUM(H1125:I1125)</f>
        <v>5485.7599999999993</v>
      </c>
      <c r="K1125" s="1708"/>
      <c r="L1125" s="1721"/>
      <c r="M1125" s="1710" t="s">
        <v>1016</v>
      </c>
      <c r="N1125" s="1711" t="s">
        <v>659</v>
      </c>
    </row>
    <row r="1126" spans="1:14" s="1685" customFormat="1" ht="24" customHeight="1">
      <c r="A1126" s="1712"/>
      <c r="B1126" s="1673" t="s">
        <v>139</v>
      </c>
      <c r="C1126" s="1674" t="s">
        <v>200</v>
      </c>
      <c r="D1126" s="1675">
        <f>SUM(D1123:D1125)*0.03</f>
        <v>13.863</v>
      </c>
      <c r="E1126" s="1676" t="s">
        <v>87</v>
      </c>
      <c r="F1126" s="1677">
        <v>25.83</v>
      </c>
      <c r="G1126" s="1677">
        <v>0</v>
      </c>
      <c r="H1126" s="1669">
        <f t="shared" si="169"/>
        <v>358.08128999999997</v>
      </c>
      <c r="I1126" s="1669">
        <f t="shared" si="170"/>
        <v>0</v>
      </c>
      <c r="J1126" s="1669">
        <f>SUM(H1126:I1126)</f>
        <v>358.08128999999997</v>
      </c>
      <c r="K1126" s="1708"/>
      <c r="L1126" s="1721"/>
      <c r="M1126" s="1710" t="s">
        <v>1019</v>
      </c>
      <c r="N1126" s="1711"/>
    </row>
    <row r="1127" spans="1:14" s="1685" customFormat="1" ht="24" customHeight="1">
      <c r="A1127" s="1712"/>
      <c r="B1127" s="2368" t="s">
        <v>1055</v>
      </c>
      <c r="C1127" s="2370"/>
      <c r="D1127" s="1675"/>
      <c r="E1127" s="1676"/>
      <c r="F1127" s="1669"/>
      <c r="G1127" s="1669"/>
      <c r="H1127" s="1669"/>
      <c r="I1127" s="1669"/>
      <c r="J1127" s="1669"/>
      <c r="K1127" s="1708"/>
      <c r="L1127" s="1721"/>
      <c r="M1127" s="1711"/>
      <c r="N1127" s="1711"/>
    </row>
    <row r="1128" spans="1:14" s="1685" customFormat="1" ht="24" customHeight="1">
      <c r="A1128" s="1712"/>
      <c r="B1128" s="2368" t="s">
        <v>1056</v>
      </c>
      <c r="C1128" s="2370"/>
      <c r="D1128" s="1675"/>
      <c r="E1128" s="1676"/>
      <c r="F1128" s="1669"/>
      <c r="G1128" s="1669"/>
      <c r="H1128" s="1669"/>
      <c r="I1128" s="1669"/>
      <c r="J1128" s="1669"/>
      <c r="K1128" s="1708"/>
      <c r="L1128" s="1721"/>
      <c r="M1128" s="1711"/>
      <c r="N1128" s="1711"/>
    </row>
    <row r="1129" spans="1:14" ht="24" customHeight="1">
      <c r="A1129" s="1712"/>
      <c r="B1129" s="1673" t="s">
        <v>139</v>
      </c>
      <c r="C1129" s="1674" t="s">
        <v>228</v>
      </c>
      <c r="D1129" s="1675">
        <v>4.5</v>
      </c>
      <c r="E1129" s="1676" t="s">
        <v>85</v>
      </c>
      <c r="F1129" s="1736">
        <v>2679.9</v>
      </c>
      <c r="G1129" s="1736">
        <v>519</v>
      </c>
      <c r="H1129" s="1669">
        <f t="shared" ref="H1129:H1147" si="172">F1129*D1129</f>
        <v>12059.550000000001</v>
      </c>
      <c r="I1129" s="1669">
        <f t="shared" ref="I1129:I1147" si="173">G1129*D1129</f>
        <v>2335.5</v>
      </c>
      <c r="J1129" s="1669">
        <f t="shared" ref="J1129:J1135" si="174">SUM(H1129:I1129)</f>
        <v>14395.050000000001</v>
      </c>
      <c r="K1129" s="1708"/>
      <c r="L1129" s="1721"/>
      <c r="M1129" s="1710" t="s">
        <v>1016</v>
      </c>
      <c r="N1129" s="1711" t="s">
        <v>664</v>
      </c>
    </row>
    <row r="1130" spans="1:14" ht="24" customHeight="1">
      <c r="A1130" s="1712"/>
      <c r="B1130" s="2368" t="s">
        <v>1057</v>
      </c>
      <c r="C1130" s="2370"/>
      <c r="D1130" s="1675">
        <v>22.9</v>
      </c>
      <c r="E1130" s="1676"/>
      <c r="F1130" s="1669"/>
      <c r="G1130" s="1669"/>
      <c r="H1130" s="1669"/>
      <c r="I1130" s="1669"/>
      <c r="J1130" s="1669"/>
      <c r="K1130" s="1708"/>
      <c r="L1130" s="1721"/>
      <c r="M1130" s="1711"/>
      <c r="N1130" s="1711"/>
    </row>
    <row r="1131" spans="1:14" ht="24" customHeight="1">
      <c r="A1131" s="1712"/>
      <c r="B1131" s="1673" t="s">
        <v>139</v>
      </c>
      <c r="C1131" s="1674" t="s">
        <v>1784</v>
      </c>
      <c r="D1131" s="1675">
        <f>D1130</f>
        <v>22.9</v>
      </c>
      <c r="E1131" s="1676" t="s">
        <v>86</v>
      </c>
      <c r="F1131" s="1669"/>
      <c r="G1131" s="1669">
        <v>121</v>
      </c>
      <c r="H1131" s="1669">
        <f t="shared" si="172"/>
        <v>0</v>
      </c>
      <c r="I1131" s="1669">
        <f t="shared" si="173"/>
        <v>2770.8999999999996</v>
      </c>
      <c r="J1131" s="1669">
        <f t="shared" si="174"/>
        <v>2770.8999999999996</v>
      </c>
      <c r="K1131" s="1708"/>
      <c r="L1131" s="1721"/>
      <c r="M1131" s="1710" t="s">
        <v>1017</v>
      </c>
      <c r="N1131" s="1711" t="s">
        <v>664</v>
      </c>
    </row>
    <row r="1132" spans="1:14" ht="24" customHeight="1">
      <c r="A1132" s="1712"/>
      <c r="B1132" s="1673" t="s">
        <v>139</v>
      </c>
      <c r="C1132" s="1674" t="s">
        <v>198</v>
      </c>
      <c r="D1132" s="1675">
        <f>D1130*0.5</f>
        <v>11.45</v>
      </c>
      <c r="E1132" s="1676" t="s">
        <v>164</v>
      </c>
      <c r="F1132" s="1669">
        <v>400</v>
      </c>
      <c r="G1132" s="1669"/>
      <c r="H1132" s="1669">
        <f t="shared" si="172"/>
        <v>4580</v>
      </c>
      <c r="I1132" s="1669">
        <f t="shared" si="173"/>
        <v>0</v>
      </c>
      <c r="J1132" s="1669">
        <f t="shared" si="174"/>
        <v>4580</v>
      </c>
      <c r="K1132" s="1708"/>
      <c r="L1132" s="1721"/>
      <c r="M1132" s="1710" t="s">
        <v>1018</v>
      </c>
      <c r="N1132" s="1711"/>
    </row>
    <row r="1133" spans="1:14" ht="24" customHeight="1">
      <c r="A1133" s="1712"/>
      <c r="B1133" s="1673" t="s">
        <v>139</v>
      </c>
      <c r="C1133" s="1674" t="s">
        <v>1782</v>
      </c>
      <c r="D1133" s="1675">
        <f>D1132*0.3</f>
        <v>3.4349999999999996</v>
      </c>
      <c r="E1133" s="1676" t="s">
        <v>164</v>
      </c>
      <c r="F1133" s="1669">
        <v>400</v>
      </c>
      <c r="G1133" s="1669">
        <v>0</v>
      </c>
      <c r="H1133" s="1669">
        <f t="shared" si="172"/>
        <v>1373.9999999999998</v>
      </c>
      <c r="I1133" s="1669">
        <f t="shared" si="173"/>
        <v>0</v>
      </c>
      <c r="J1133" s="1669">
        <f t="shared" si="174"/>
        <v>1373.9999999999998</v>
      </c>
      <c r="K1133" s="1708"/>
      <c r="L1133" s="1721"/>
      <c r="M1133" s="1710" t="s">
        <v>1018</v>
      </c>
      <c r="N1133" s="1711"/>
    </row>
    <row r="1134" spans="1:14" ht="24" customHeight="1">
      <c r="A1134" s="1712"/>
      <c r="B1134" s="1673" t="s">
        <v>139</v>
      </c>
      <c r="C1134" s="1674" t="s">
        <v>163</v>
      </c>
      <c r="D1134" s="1675">
        <f>D1130</f>
        <v>22.9</v>
      </c>
      <c r="E1134" s="1676" t="s">
        <v>83</v>
      </c>
      <c r="F1134" s="1669">
        <v>28</v>
      </c>
      <c r="G1134" s="1669">
        <v>0</v>
      </c>
      <c r="H1134" s="1669">
        <f t="shared" si="172"/>
        <v>641.19999999999993</v>
      </c>
      <c r="I1134" s="1669">
        <f t="shared" si="173"/>
        <v>0</v>
      </c>
      <c r="J1134" s="1669">
        <f t="shared" si="174"/>
        <v>641.19999999999993</v>
      </c>
      <c r="K1134" s="1708"/>
      <c r="L1134" s="1721"/>
      <c r="M1134" s="1710" t="s">
        <v>1018</v>
      </c>
      <c r="N1134" s="1711"/>
    </row>
    <row r="1135" spans="1:14" ht="24" customHeight="1">
      <c r="A1135" s="1712"/>
      <c r="B1135" s="1673" t="s">
        <v>139</v>
      </c>
      <c r="C1135" s="1674" t="s">
        <v>1781</v>
      </c>
      <c r="D1135" s="1675">
        <f>D1130*0.25</f>
        <v>5.7249999999999996</v>
      </c>
      <c r="E1135" s="1676" t="s">
        <v>87</v>
      </c>
      <c r="F1135" s="1736">
        <v>23.89</v>
      </c>
      <c r="G1135" s="1736">
        <v>0</v>
      </c>
      <c r="H1135" s="1669">
        <f t="shared" si="172"/>
        <v>136.77025</v>
      </c>
      <c r="I1135" s="1669">
        <f t="shared" si="173"/>
        <v>0</v>
      </c>
      <c r="J1135" s="1669">
        <f t="shared" si="174"/>
        <v>136.77025</v>
      </c>
      <c r="K1135" s="1708"/>
      <c r="L1135" s="1721"/>
      <c r="M1135" s="1710" t="s">
        <v>660</v>
      </c>
      <c r="N1135" s="1711"/>
    </row>
    <row r="1136" spans="1:14" ht="24" customHeight="1">
      <c r="A1136" s="1712"/>
      <c r="B1136" s="2368" t="s">
        <v>1058</v>
      </c>
      <c r="C1136" s="2370"/>
      <c r="D1136" s="1675"/>
      <c r="E1136" s="1676"/>
      <c r="F1136" s="1669"/>
      <c r="G1136" s="1669"/>
      <c r="H1136" s="1669"/>
      <c r="I1136" s="1669"/>
      <c r="J1136" s="1669"/>
      <c r="K1136" s="1708"/>
      <c r="L1136" s="1721"/>
      <c r="M1136" s="1711"/>
      <c r="N1136" s="1711"/>
    </row>
    <row r="1137" spans="1:14" ht="24" customHeight="1">
      <c r="A1137" s="1712"/>
      <c r="B1137" s="1673" t="s">
        <v>139</v>
      </c>
      <c r="C1137" s="1674" t="s">
        <v>88</v>
      </c>
      <c r="D1137" s="1675">
        <v>151</v>
      </c>
      <c r="E1137" s="1676" t="s">
        <v>87</v>
      </c>
      <c r="F1137" s="1677">
        <v>21.4</v>
      </c>
      <c r="G1137" s="1677">
        <v>4.4000000000000004</v>
      </c>
      <c r="H1137" s="1669">
        <f t="shared" si="172"/>
        <v>3231.3999999999996</v>
      </c>
      <c r="I1137" s="1669">
        <f t="shared" si="173"/>
        <v>664.40000000000009</v>
      </c>
      <c r="J1137" s="1669">
        <f>SUM(H1137:I1137)</f>
        <v>3895.7999999999997</v>
      </c>
      <c r="K1137" s="1708"/>
      <c r="L1137" s="1721"/>
      <c r="M1137" s="1710" t="s">
        <v>1016</v>
      </c>
      <c r="N1137" s="1711" t="s">
        <v>659</v>
      </c>
    </row>
    <row r="1138" spans="1:14" ht="24" customHeight="1">
      <c r="A1138" s="1712"/>
      <c r="B1138" s="1673" t="s">
        <v>139</v>
      </c>
      <c r="C1138" s="1674" t="s">
        <v>89</v>
      </c>
      <c r="D1138" s="1675">
        <v>76.099999999999994</v>
      </c>
      <c r="E1138" s="1676" t="s">
        <v>87</v>
      </c>
      <c r="F1138" s="1677">
        <v>21.4</v>
      </c>
      <c r="G1138" s="1677">
        <v>3.6</v>
      </c>
      <c r="H1138" s="1669">
        <f t="shared" si="172"/>
        <v>1628.5399999999997</v>
      </c>
      <c r="I1138" s="1669">
        <f t="shared" si="173"/>
        <v>273.95999999999998</v>
      </c>
      <c r="J1138" s="1669">
        <f>SUM(H1138:I1138)</f>
        <v>1902.4999999999998</v>
      </c>
      <c r="K1138" s="1708"/>
      <c r="L1138" s="1721"/>
      <c r="M1138" s="1710" t="s">
        <v>1016</v>
      </c>
      <c r="N1138" s="1711" t="s">
        <v>659</v>
      </c>
    </row>
    <row r="1139" spans="1:14" ht="24" customHeight="1">
      <c r="A1139" s="1712"/>
      <c r="B1139" s="1673" t="s">
        <v>139</v>
      </c>
      <c r="C1139" s="1674" t="s">
        <v>90</v>
      </c>
      <c r="D1139" s="1675">
        <v>203.9</v>
      </c>
      <c r="E1139" s="1676" t="s">
        <v>87</v>
      </c>
      <c r="F1139" s="1677">
        <v>21.2</v>
      </c>
      <c r="G1139" s="1677">
        <v>3.6</v>
      </c>
      <c r="H1139" s="1669">
        <f t="shared" si="172"/>
        <v>4322.68</v>
      </c>
      <c r="I1139" s="1669">
        <f t="shared" si="173"/>
        <v>734.04000000000008</v>
      </c>
      <c r="J1139" s="1669">
        <f>SUM(H1139:I1139)</f>
        <v>5056.72</v>
      </c>
      <c r="K1139" s="1708"/>
      <c r="L1139" s="1721"/>
      <c r="M1139" s="1710" t="s">
        <v>1016</v>
      </c>
      <c r="N1139" s="1711" t="s">
        <v>659</v>
      </c>
    </row>
    <row r="1140" spans="1:14" ht="24" customHeight="1">
      <c r="A1140" s="1780"/>
      <c r="B1140" s="1780"/>
      <c r="C1140" s="1827" t="s">
        <v>133</v>
      </c>
      <c r="D1140" s="2365"/>
      <c r="E1140" s="2365"/>
      <c r="F1140" s="2365"/>
      <c r="G1140" s="2365"/>
      <c r="H1140" s="2365"/>
      <c r="I1140" s="2365"/>
      <c r="J1140" s="2365"/>
      <c r="K1140" s="2365"/>
      <c r="L1140" s="1721"/>
      <c r="M1140" s="1710"/>
      <c r="N1140" s="1711"/>
    </row>
    <row r="1141" spans="1:14" ht="24" customHeight="1">
      <c r="A1141" s="1780"/>
      <c r="B1141" s="2366" t="s">
        <v>1769</v>
      </c>
      <c r="C1141" s="2366"/>
      <c r="D1141" s="1828"/>
      <c r="E1141" s="1769"/>
      <c r="F1141" s="1828"/>
      <c r="G1141" s="1828" t="s">
        <v>134</v>
      </c>
      <c r="H1141" s="1828"/>
      <c r="I1141" s="1828"/>
      <c r="J1141" s="1828"/>
      <c r="K1141" s="1828"/>
      <c r="L1141" s="1721"/>
      <c r="M1141" s="1710"/>
      <c r="N1141" s="1711"/>
    </row>
    <row r="1142" spans="1:14" ht="24" customHeight="1">
      <c r="A1142" s="1780"/>
      <c r="B1142" s="2367" t="s">
        <v>1970</v>
      </c>
      <c r="C1142" s="2367"/>
      <c r="D1142" s="1831"/>
      <c r="E1142" s="1832"/>
      <c r="F1142" s="1833"/>
      <c r="G1142" s="1833" t="s">
        <v>1971</v>
      </c>
      <c r="H1142" s="1833"/>
      <c r="I1142" s="1833"/>
      <c r="J1142" s="1833"/>
      <c r="K1142" s="1833"/>
      <c r="L1142" s="1721"/>
      <c r="M1142" s="1710"/>
      <c r="N1142" s="1711"/>
    </row>
    <row r="1143" spans="1:14" ht="24" customHeight="1">
      <c r="A1143" s="1830"/>
      <c r="B1143" s="1828" t="s">
        <v>2031</v>
      </c>
      <c r="C1143" s="1830"/>
      <c r="D1143" s="1830"/>
      <c r="E1143" s="1830"/>
      <c r="F1143" s="1830"/>
      <c r="G1143" s="1828" t="s">
        <v>2031</v>
      </c>
      <c r="H1143" s="1830"/>
      <c r="I1143" s="1830"/>
      <c r="J1143" s="1830"/>
      <c r="K1143" s="1830"/>
      <c r="L1143" s="1721"/>
      <c r="M1143" s="1710"/>
      <c r="N1143" s="1711"/>
    </row>
    <row r="1144" spans="1:14" ht="24" customHeight="1">
      <c r="B1144" s="1721" t="s">
        <v>1984</v>
      </c>
      <c r="C1144" s="1830"/>
      <c r="D1144" s="1685"/>
      <c r="E1144" s="1685"/>
      <c r="G1144" s="1721" t="s">
        <v>1985</v>
      </c>
      <c r="H1144" s="1685"/>
      <c r="I1144" s="1685"/>
      <c r="J1144" s="1685"/>
      <c r="K1144" s="1685"/>
      <c r="L1144" s="1721"/>
      <c r="M1144" s="1710"/>
      <c r="N1144" s="1711"/>
    </row>
    <row r="1145" spans="1:14" ht="24" customHeight="1">
      <c r="B1145" s="1828" t="s">
        <v>670</v>
      </c>
      <c r="L1145" s="1721"/>
      <c r="M1145" s="1710"/>
      <c r="N1145" s="1711"/>
    </row>
    <row r="1146" spans="1:14" ht="24" customHeight="1">
      <c r="B1146" s="1721" t="s">
        <v>1972</v>
      </c>
      <c r="L1146" s="1721"/>
      <c r="M1146" s="1710"/>
      <c r="N1146" s="1711"/>
    </row>
    <row r="1147" spans="1:14" ht="24" customHeight="1">
      <c r="A1147" s="1712"/>
      <c r="B1147" s="1673" t="s">
        <v>139</v>
      </c>
      <c r="C1147" s="1674" t="s">
        <v>200</v>
      </c>
      <c r="D1147" s="1675">
        <f>SUM(D1137:D1139)*0.03</f>
        <v>12.93</v>
      </c>
      <c r="E1147" s="1676" t="s">
        <v>87</v>
      </c>
      <c r="F1147" s="1677">
        <v>25.83</v>
      </c>
      <c r="G1147" s="1677">
        <v>0</v>
      </c>
      <c r="H1147" s="1669">
        <f t="shared" si="172"/>
        <v>333.9819</v>
      </c>
      <c r="I1147" s="1669">
        <f t="shared" si="173"/>
        <v>0</v>
      </c>
      <c r="J1147" s="1669">
        <f>SUM(H1147:I1147)</f>
        <v>333.9819</v>
      </c>
      <c r="K1147" s="1708"/>
      <c r="L1147" s="1721"/>
      <c r="M1147" s="1710" t="s">
        <v>1019</v>
      </c>
      <c r="N1147" s="1711"/>
    </row>
    <row r="1148" spans="1:14" ht="24" customHeight="1">
      <c r="A1148" s="1712"/>
      <c r="B1148" s="2368" t="s">
        <v>1030</v>
      </c>
      <c r="C1148" s="2370"/>
      <c r="D1148" s="1675"/>
      <c r="E1148" s="1676"/>
      <c r="F1148" s="1669"/>
      <c r="G1148" s="1669"/>
      <c r="H1148" s="1669"/>
      <c r="I1148" s="1669"/>
      <c r="J1148" s="1669"/>
      <c r="K1148" s="1708"/>
      <c r="L1148" s="1721"/>
      <c r="M1148" s="1711"/>
      <c r="N1148" s="1711"/>
    </row>
    <row r="1149" spans="1:14" ht="24" customHeight="1">
      <c r="A1149" s="1712"/>
      <c r="B1149" s="2368" t="s">
        <v>1031</v>
      </c>
      <c r="C1149" s="2370"/>
      <c r="D1149" s="1675"/>
      <c r="E1149" s="1676"/>
      <c r="F1149" s="1669"/>
      <c r="G1149" s="1669"/>
      <c r="H1149" s="1669"/>
      <c r="I1149" s="1669"/>
      <c r="J1149" s="1669"/>
      <c r="K1149" s="1708"/>
      <c r="L1149" s="1721"/>
      <c r="M1149" s="1711"/>
      <c r="N1149" s="1711"/>
    </row>
    <row r="1150" spans="1:14" ht="24" customHeight="1">
      <c r="A1150" s="1712"/>
      <c r="B1150" s="1673" t="s">
        <v>139</v>
      </c>
      <c r="C1150" s="1674" t="s">
        <v>228</v>
      </c>
      <c r="D1150" s="1675">
        <v>15.9</v>
      </c>
      <c r="E1150" s="1676" t="s">
        <v>85</v>
      </c>
      <c r="F1150" s="1736">
        <v>2679.9</v>
      </c>
      <c r="G1150" s="1736">
        <v>519</v>
      </c>
      <c r="H1150" s="1669">
        <f t="shared" ref="H1150:H1165" si="175">F1150*D1150</f>
        <v>42610.41</v>
      </c>
      <c r="I1150" s="1669">
        <f t="shared" ref="I1150:I1165" si="176">G1150*D1150</f>
        <v>8252.1</v>
      </c>
      <c r="J1150" s="1669">
        <f t="shared" ref="J1150:J1156" si="177">SUM(H1150:I1150)</f>
        <v>50862.51</v>
      </c>
      <c r="K1150" s="1708"/>
      <c r="L1150" s="1721"/>
      <c r="M1150" s="1710" t="s">
        <v>1016</v>
      </c>
      <c r="N1150" s="1711" t="s">
        <v>659</v>
      </c>
    </row>
    <row r="1151" spans="1:14" ht="24" customHeight="1">
      <c r="A1151" s="1712"/>
      <c r="B1151" s="2368" t="s">
        <v>1033</v>
      </c>
      <c r="C1151" s="2370"/>
      <c r="D1151" s="1675">
        <v>65.400000000000006</v>
      </c>
      <c r="E1151" s="1676"/>
      <c r="F1151" s="1669"/>
      <c r="G1151" s="1669"/>
      <c r="H1151" s="1669"/>
      <c r="I1151" s="1669"/>
      <c r="J1151" s="1669"/>
      <c r="K1151" s="1708"/>
      <c r="L1151" s="1721"/>
      <c r="M1151" s="1711"/>
      <c r="N1151" s="1711"/>
    </row>
    <row r="1152" spans="1:14" ht="24" customHeight="1">
      <c r="A1152" s="1712"/>
      <c r="B1152" s="1673" t="s">
        <v>139</v>
      </c>
      <c r="C1152" s="1674" t="s">
        <v>1784</v>
      </c>
      <c r="D1152" s="1675">
        <f>D1151</f>
        <v>65.400000000000006</v>
      </c>
      <c r="E1152" s="1676" t="s">
        <v>86</v>
      </c>
      <c r="F1152" s="1736">
        <v>0</v>
      </c>
      <c r="G1152" s="1669">
        <v>121</v>
      </c>
      <c r="H1152" s="1669">
        <f t="shared" si="175"/>
        <v>0</v>
      </c>
      <c r="I1152" s="1669">
        <f t="shared" si="176"/>
        <v>7913.4000000000005</v>
      </c>
      <c r="J1152" s="1669">
        <f t="shared" si="177"/>
        <v>7913.4000000000005</v>
      </c>
      <c r="K1152" s="1708"/>
      <c r="L1152" s="1721"/>
      <c r="M1152" s="1710" t="s">
        <v>1017</v>
      </c>
      <c r="N1152" s="1711" t="s">
        <v>659</v>
      </c>
    </row>
    <row r="1153" spans="1:14" ht="24" customHeight="1">
      <c r="A1153" s="1712"/>
      <c r="B1153" s="1673" t="s">
        <v>139</v>
      </c>
      <c r="C1153" s="1674" t="s">
        <v>198</v>
      </c>
      <c r="D1153" s="1675">
        <f>D1151*0.5</f>
        <v>32.700000000000003</v>
      </c>
      <c r="E1153" s="1676" t="s">
        <v>164</v>
      </c>
      <c r="F1153" s="1736">
        <v>400</v>
      </c>
      <c r="G1153" s="1736">
        <v>0</v>
      </c>
      <c r="H1153" s="1669">
        <f t="shared" si="175"/>
        <v>13080.000000000002</v>
      </c>
      <c r="I1153" s="1669">
        <f t="shared" si="176"/>
        <v>0</v>
      </c>
      <c r="J1153" s="1669">
        <f t="shared" si="177"/>
        <v>13080.000000000002</v>
      </c>
      <c r="K1153" s="1708"/>
      <c r="L1153" s="1721"/>
      <c r="M1153" s="1710" t="s">
        <v>1018</v>
      </c>
      <c r="N1153" s="1711"/>
    </row>
    <row r="1154" spans="1:14" ht="24" customHeight="1">
      <c r="A1154" s="1712"/>
      <c r="B1154" s="1673" t="s">
        <v>139</v>
      </c>
      <c r="C1154" s="1674" t="s">
        <v>1782</v>
      </c>
      <c r="D1154" s="1675">
        <f>D1153*0.3</f>
        <v>9.81</v>
      </c>
      <c r="E1154" s="1676" t="s">
        <v>164</v>
      </c>
      <c r="F1154" s="1736">
        <v>400</v>
      </c>
      <c r="G1154" s="1736">
        <v>0</v>
      </c>
      <c r="H1154" s="1669">
        <f t="shared" si="175"/>
        <v>3924</v>
      </c>
      <c r="I1154" s="1669">
        <f t="shared" si="176"/>
        <v>0</v>
      </c>
      <c r="J1154" s="1669">
        <f t="shared" si="177"/>
        <v>3924</v>
      </c>
      <c r="K1154" s="1708"/>
      <c r="L1154" s="1721"/>
      <c r="M1154" s="1710" t="s">
        <v>1018</v>
      </c>
      <c r="N1154" s="1685"/>
    </row>
    <row r="1155" spans="1:14" ht="24" customHeight="1">
      <c r="A1155" s="1712"/>
      <c r="B1155" s="1673" t="s">
        <v>139</v>
      </c>
      <c r="C1155" s="1674" t="s">
        <v>163</v>
      </c>
      <c r="D1155" s="1675">
        <f>D1151</f>
        <v>65.400000000000006</v>
      </c>
      <c r="E1155" s="1676" t="s">
        <v>83</v>
      </c>
      <c r="F1155" s="1736">
        <v>28</v>
      </c>
      <c r="G1155" s="1736">
        <v>0</v>
      </c>
      <c r="H1155" s="1669">
        <f t="shared" si="175"/>
        <v>1831.2000000000003</v>
      </c>
      <c r="I1155" s="1669">
        <f t="shared" si="176"/>
        <v>0</v>
      </c>
      <c r="J1155" s="1669">
        <f t="shared" si="177"/>
        <v>1831.2000000000003</v>
      </c>
      <c r="K1155" s="1708"/>
      <c r="L1155" s="1721"/>
      <c r="M1155" s="1710" t="s">
        <v>1018</v>
      </c>
      <c r="N1155" s="1685"/>
    </row>
    <row r="1156" spans="1:14" ht="24" customHeight="1">
      <c r="A1156" s="1712"/>
      <c r="B1156" s="1673" t="s">
        <v>139</v>
      </c>
      <c r="C1156" s="1674" t="s">
        <v>1781</v>
      </c>
      <c r="D1156" s="1675">
        <f>D1151*0.25</f>
        <v>16.350000000000001</v>
      </c>
      <c r="E1156" s="1676" t="s">
        <v>87</v>
      </c>
      <c r="F1156" s="1736">
        <v>23.89</v>
      </c>
      <c r="G1156" s="1736">
        <v>0</v>
      </c>
      <c r="H1156" s="1669">
        <f t="shared" si="175"/>
        <v>390.60150000000004</v>
      </c>
      <c r="I1156" s="1669">
        <f t="shared" si="176"/>
        <v>0</v>
      </c>
      <c r="J1156" s="1669">
        <f t="shared" si="177"/>
        <v>390.60150000000004</v>
      </c>
      <c r="K1156" s="1708"/>
      <c r="L1156" s="1721"/>
      <c r="M1156" s="1710" t="s">
        <v>660</v>
      </c>
      <c r="N1156" s="1711"/>
    </row>
    <row r="1157" spans="1:14" ht="24" customHeight="1">
      <c r="A1157" s="1712"/>
      <c r="B1157" s="1748" t="s">
        <v>1032</v>
      </c>
      <c r="C1157" s="1674"/>
      <c r="D1157" s="1675"/>
      <c r="E1157" s="1676"/>
      <c r="F1157" s="1736"/>
      <c r="G1157" s="1736"/>
      <c r="H1157" s="1669"/>
      <c r="I1157" s="1669"/>
      <c r="J1157" s="1669"/>
      <c r="K1157" s="1708"/>
      <c r="L1157" s="1721"/>
      <c r="M1157" s="1710"/>
      <c r="N1157" s="1711"/>
    </row>
    <row r="1158" spans="1:14" ht="24" customHeight="1">
      <c r="A1158" s="1712"/>
      <c r="B1158" s="1673" t="s">
        <v>139</v>
      </c>
      <c r="C1158" s="1674" t="s">
        <v>88</v>
      </c>
      <c r="D1158" s="1675">
        <v>326.3</v>
      </c>
      <c r="E1158" s="1676" t="s">
        <v>87</v>
      </c>
      <c r="F1158" s="1677">
        <v>21.4</v>
      </c>
      <c r="G1158" s="1677">
        <v>4.4000000000000004</v>
      </c>
      <c r="H1158" s="1669">
        <f t="shared" si="175"/>
        <v>6982.82</v>
      </c>
      <c r="I1158" s="1669">
        <f t="shared" si="176"/>
        <v>1435.7200000000003</v>
      </c>
      <c r="J1158" s="1669">
        <f t="shared" ref="J1158:J1165" si="178">SUM(H1158:I1158)</f>
        <v>8418.5400000000009</v>
      </c>
      <c r="K1158" s="1708"/>
      <c r="L1158" s="1721"/>
      <c r="M1158" s="1710" t="s">
        <v>1016</v>
      </c>
      <c r="N1158" s="1711" t="s">
        <v>659</v>
      </c>
    </row>
    <row r="1159" spans="1:14" ht="24" customHeight="1">
      <c r="A1159" s="1712"/>
      <c r="B1159" s="1673" t="s">
        <v>139</v>
      </c>
      <c r="C1159" s="1674" t="s">
        <v>89</v>
      </c>
      <c r="D1159" s="1675">
        <v>833.5</v>
      </c>
      <c r="E1159" s="1676" t="s">
        <v>87</v>
      </c>
      <c r="F1159" s="1677">
        <v>21.4</v>
      </c>
      <c r="G1159" s="1677">
        <v>3.6</v>
      </c>
      <c r="H1159" s="1669">
        <f t="shared" si="175"/>
        <v>17836.899999999998</v>
      </c>
      <c r="I1159" s="1669">
        <f t="shared" si="176"/>
        <v>3000.6</v>
      </c>
      <c r="J1159" s="1669">
        <f t="shared" si="178"/>
        <v>20837.499999999996</v>
      </c>
      <c r="K1159" s="1708"/>
      <c r="L1159" s="1721"/>
      <c r="M1159" s="1710" t="s">
        <v>1016</v>
      </c>
      <c r="N1159" s="1711" t="s">
        <v>659</v>
      </c>
    </row>
    <row r="1160" spans="1:14" ht="24" customHeight="1">
      <c r="A1160" s="1712"/>
      <c r="B1160" s="1673" t="s">
        <v>139</v>
      </c>
      <c r="C1160" s="1674" t="s">
        <v>91</v>
      </c>
      <c r="D1160" s="1675">
        <v>757.6</v>
      </c>
      <c r="E1160" s="1676" t="s">
        <v>87</v>
      </c>
      <c r="F1160" s="1677">
        <v>21.2</v>
      </c>
      <c r="G1160" s="1677">
        <v>3.1</v>
      </c>
      <c r="H1160" s="1669">
        <f t="shared" si="175"/>
        <v>16061.12</v>
      </c>
      <c r="I1160" s="1669">
        <f t="shared" si="176"/>
        <v>2348.56</v>
      </c>
      <c r="J1160" s="1669">
        <f t="shared" si="178"/>
        <v>18409.68</v>
      </c>
      <c r="K1160" s="1708"/>
      <c r="L1160" s="1721"/>
      <c r="M1160" s="1710" t="s">
        <v>1016</v>
      </c>
      <c r="N1160" s="1711" t="s">
        <v>659</v>
      </c>
    </row>
    <row r="1161" spans="1:14" ht="24" customHeight="1">
      <c r="A1161" s="1712"/>
      <c r="B1161" s="1673" t="s">
        <v>139</v>
      </c>
      <c r="C1161" s="1674" t="s">
        <v>200</v>
      </c>
      <c r="D1161" s="1675">
        <f>SUM(D1158:D1160)*0.03</f>
        <v>57.521999999999998</v>
      </c>
      <c r="E1161" s="1676" t="s">
        <v>87</v>
      </c>
      <c r="F1161" s="1677">
        <v>25.83</v>
      </c>
      <c r="G1161" s="1677">
        <v>0</v>
      </c>
      <c r="H1161" s="1669">
        <f t="shared" si="175"/>
        <v>1485.7932599999999</v>
      </c>
      <c r="I1161" s="1669">
        <f t="shared" si="176"/>
        <v>0</v>
      </c>
      <c r="J1161" s="1669">
        <f t="shared" si="178"/>
        <v>1485.7932599999999</v>
      </c>
      <c r="K1161" s="1708"/>
      <c r="L1161" s="1721"/>
      <c r="M1161" s="1710" t="s">
        <v>1019</v>
      </c>
      <c r="N1161" s="1711"/>
    </row>
    <row r="1162" spans="1:14" ht="24" customHeight="1">
      <c r="A1162" s="1712"/>
      <c r="B1162" s="1673" t="s">
        <v>139</v>
      </c>
      <c r="C1162" s="1713" t="s">
        <v>1104</v>
      </c>
      <c r="D1162" s="1675">
        <v>4140</v>
      </c>
      <c r="E1162" s="1676" t="s">
        <v>87</v>
      </c>
      <c r="F1162" s="1669">
        <v>38.799999999999997</v>
      </c>
      <c r="G1162" s="1669">
        <v>12</v>
      </c>
      <c r="H1162" s="1669">
        <f t="shared" si="175"/>
        <v>160632</v>
      </c>
      <c r="I1162" s="1669">
        <f t="shared" si="176"/>
        <v>49680</v>
      </c>
      <c r="J1162" s="1669">
        <f t="shared" si="178"/>
        <v>210312</v>
      </c>
      <c r="K1162" s="1708"/>
      <c r="L1162" s="1721"/>
      <c r="M1162" s="1710" t="s">
        <v>1020</v>
      </c>
      <c r="N1162" s="1711" t="s">
        <v>664</v>
      </c>
    </row>
    <row r="1163" spans="1:14" ht="24" customHeight="1">
      <c r="A1163" s="1712"/>
      <c r="B1163" s="1673" t="s">
        <v>139</v>
      </c>
      <c r="C1163" s="1713" t="s">
        <v>1105</v>
      </c>
      <c r="D1163" s="1675">
        <v>410.4</v>
      </c>
      <c r="E1163" s="1676" t="s">
        <v>87</v>
      </c>
      <c r="F1163" s="1736">
        <v>36.4</v>
      </c>
      <c r="G1163" s="1669">
        <v>12</v>
      </c>
      <c r="H1163" s="1669">
        <f t="shared" si="175"/>
        <v>14938.56</v>
      </c>
      <c r="I1163" s="1669">
        <f t="shared" si="176"/>
        <v>4924.7999999999993</v>
      </c>
      <c r="J1163" s="1669">
        <f t="shared" si="178"/>
        <v>19863.36</v>
      </c>
      <c r="K1163" s="1708"/>
      <c r="L1163" s="1721"/>
      <c r="M1163" s="1710" t="s">
        <v>1020</v>
      </c>
      <c r="N1163" s="1711" t="s">
        <v>664</v>
      </c>
    </row>
    <row r="1164" spans="1:14" ht="24" customHeight="1">
      <c r="A1164" s="1712"/>
      <c r="B1164" s="1673" t="s">
        <v>139</v>
      </c>
      <c r="C1164" s="1713" t="s">
        <v>1207</v>
      </c>
      <c r="D1164" s="1675">
        <v>155.69999999999999</v>
      </c>
      <c r="E1164" s="1676" t="s">
        <v>87</v>
      </c>
      <c r="F1164" s="1669">
        <v>30.1</v>
      </c>
      <c r="G1164" s="1669">
        <v>12</v>
      </c>
      <c r="H1164" s="1669">
        <f t="shared" si="175"/>
        <v>4686.57</v>
      </c>
      <c r="I1164" s="1669">
        <f t="shared" si="176"/>
        <v>1868.3999999999999</v>
      </c>
      <c r="J1164" s="1669">
        <f t="shared" si="178"/>
        <v>6554.9699999999993</v>
      </c>
      <c r="K1164" s="1708"/>
      <c r="L1164" s="1721"/>
      <c r="M1164" s="1710" t="s">
        <v>1020</v>
      </c>
      <c r="N1164" s="1711" t="s">
        <v>664</v>
      </c>
    </row>
    <row r="1165" spans="1:14" ht="24" customHeight="1">
      <c r="A1165" s="1712"/>
      <c r="B1165" s="1673" t="s">
        <v>139</v>
      </c>
      <c r="C1165" s="1674" t="s">
        <v>90</v>
      </c>
      <c r="D1165" s="1675">
        <v>22.8</v>
      </c>
      <c r="E1165" s="1676" t="s">
        <v>87</v>
      </c>
      <c r="F1165" s="1677">
        <v>21.2</v>
      </c>
      <c r="G1165" s="1677">
        <v>3.6</v>
      </c>
      <c r="H1165" s="1669">
        <f t="shared" si="175"/>
        <v>483.36</v>
      </c>
      <c r="I1165" s="1669">
        <f t="shared" si="176"/>
        <v>82.08</v>
      </c>
      <c r="J1165" s="1669">
        <f t="shared" si="178"/>
        <v>565.44000000000005</v>
      </c>
      <c r="K1165" s="1708"/>
      <c r="L1165" s="1721"/>
      <c r="M1165" s="1710" t="s">
        <v>1016</v>
      </c>
      <c r="N1165" s="1711" t="s">
        <v>659</v>
      </c>
    </row>
    <row r="1166" spans="1:14" ht="24" customHeight="1">
      <c r="A1166" s="1712"/>
      <c r="B1166" s="2368" t="s">
        <v>1035</v>
      </c>
      <c r="C1166" s="2370"/>
      <c r="D1166" s="1675"/>
      <c r="E1166" s="1676"/>
      <c r="F1166" s="1669"/>
      <c r="G1166" s="1669"/>
      <c r="H1166" s="1669"/>
      <c r="I1166" s="1669"/>
      <c r="J1166" s="1669"/>
      <c r="K1166" s="1708"/>
      <c r="L1166" s="1721"/>
      <c r="M1166" s="1711"/>
      <c r="N1166" s="1711"/>
    </row>
    <row r="1167" spans="1:14" ht="24" customHeight="1">
      <c r="A1167" s="1712"/>
      <c r="B1167" s="2368" t="s">
        <v>1034</v>
      </c>
      <c r="C1167" s="2370"/>
      <c r="D1167" s="1675"/>
      <c r="E1167" s="1676"/>
      <c r="F1167" s="1669"/>
      <c r="G1167" s="1669"/>
      <c r="H1167" s="1669"/>
      <c r="I1167" s="1669"/>
      <c r="J1167" s="1669"/>
      <c r="K1167" s="1708"/>
      <c r="L1167" s="1721"/>
      <c r="M1167" s="1711"/>
      <c r="N1167" s="1711"/>
    </row>
    <row r="1168" spans="1:14" ht="24" customHeight="1">
      <c r="A1168" s="1712"/>
      <c r="B1168" s="1673" t="s">
        <v>139</v>
      </c>
      <c r="C1168" s="1674" t="s">
        <v>228</v>
      </c>
      <c r="D1168" s="1675">
        <v>17</v>
      </c>
      <c r="E1168" s="1676" t="s">
        <v>85</v>
      </c>
      <c r="F1168" s="1736">
        <v>2679.9</v>
      </c>
      <c r="G1168" s="1736">
        <v>519</v>
      </c>
      <c r="H1168" s="1669">
        <f t="shared" ref="H1168:H1186" si="179">F1168*D1168</f>
        <v>45558.3</v>
      </c>
      <c r="I1168" s="1669">
        <f t="shared" ref="I1168:I1186" si="180">G1168*D1168</f>
        <v>8823</v>
      </c>
      <c r="J1168" s="1669">
        <f t="shared" ref="J1168:J1181" si="181">SUM(H1168:I1168)</f>
        <v>54381.3</v>
      </c>
      <c r="K1168" s="1708"/>
      <c r="L1168" s="1721"/>
      <c r="M1168" s="1710" t="s">
        <v>1016</v>
      </c>
      <c r="N1168" s="1711" t="s">
        <v>659</v>
      </c>
    </row>
    <row r="1169" spans="1:14" ht="24" customHeight="1">
      <c r="A1169" s="1712"/>
      <c r="B1169" s="2368" t="s">
        <v>1036</v>
      </c>
      <c r="C1169" s="2370"/>
      <c r="D1169" s="1675">
        <v>93.9</v>
      </c>
      <c r="E1169" s="1676"/>
      <c r="F1169" s="1669"/>
      <c r="G1169" s="1669"/>
      <c r="H1169" s="1669"/>
      <c r="I1169" s="1669"/>
      <c r="J1169" s="1669"/>
      <c r="K1169" s="1708"/>
      <c r="L1169" s="1721"/>
      <c r="M1169" s="1711"/>
      <c r="N1169" s="1711"/>
    </row>
    <row r="1170" spans="1:14" ht="24" customHeight="1">
      <c r="A1170" s="1712"/>
      <c r="B1170" s="1673" t="s">
        <v>139</v>
      </c>
      <c r="C1170" s="1674" t="s">
        <v>1784</v>
      </c>
      <c r="D1170" s="1675">
        <f>D1169</f>
        <v>93.9</v>
      </c>
      <c r="E1170" s="1676" t="s">
        <v>86</v>
      </c>
      <c r="F1170" s="1736">
        <v>0</v>
      </c>
      <c r="G1170" s="1669">
        <v>121</v>
      </c>
      <c r="H1170" s="1669">
        <f t="shared" si="179"/>
        <v>0</v>
      </c>
      <c r="I1170" s="1669">
        <f t="shared" si="180"/>
        <v>11361.900000000001</v>
      </c>
      <c r="J1170" s="1669">
        <f t="shared" si="181"/>
        <v>11361.900000000001</v>
      </c>
      <c r="K1170" s="1708"/>
      <c r="L1170" s="1721"/>
      <c r="M1170" s="1710" t="s">
        <v>1017</v>
      </c>
      <c r="N1170" s="1711" t="s">
        <v>659</v>
      </c>
    </row>
    <row r="1171" spans="1:14" ht="24" customHeight="1">
      <c r="A1171" s="1780"/>
      <c r="B1171" s="1780"/>
      <c r="C1171" s="1827" t="s">
        <v>133</v>
      </c>
      <c r="D1171" s="2365"/>
      <c r="E1171" s="2365"/>
      <c r="F1171" s="2365"/>
      <c r="G1171" s="2365"/>
      <c r="H1171" s="2365"/>
      <c r="I1171" s="2365"/>
      <c r="J1171" s="2365"/>
      <c r="K1171" s="2365"/>
      <c r="L1171" s="1721"/>
      <c r="M1171" s="1710"/>
      <c r="N1171" s="1711"/>
    </row>
    <row r="1172" spans="1:14" ht="24" customHeight="1">
      <c r="A1172" s="1780"/>
      <c r="B1172" s="2366" t="s">
        <v>1769</v>
      </c>
      <c r="C1172" s="2366"/>
      <c r="D1172" s="1828"/>
      <c r="E1172" s="1769"/>
      <c r="F1172" s="1828"/>
      <c r="G1172" s="1828" t="s">
        <v>134</v>
      </c>
      <c r="H1172" s="1828"/>
      <c r="I1172" s="1828"/>
      <c r="J1172" s="1828"/>
      <c r="K1172" s="1828"/>
      <c r="L1172" s="1721"/>
      <c r="M1172" s="1710"/>
      <c r="N1172" s="1711"/>
    </row>
    <row r="1173" spans="1:14" ht="24" customHeight="1">
      <c r="A1173" s="1780"/>
      <c r="B1173" s="2367" t="s">
        <v>1970</v>
      </c>
      <c r="C1173" s="2367"/>
      <c r="D1173" s="1831"/>
      <c r="E1173" s="1832"/>
      <c r="F1173" s="1833"/>
      <c r="G1173" s="1833" t="s">
        <v>1971</v>
      </c>
      <c r="H1173" s="1833"/>
      <c r="I1173" s="1833"/>
      <c r="J1173" s="1833"/>
      <c r="K1173" s="1833"/>
      <c r="L1173" s="1721"/>
      <c r="M1173" s="1710"/>
      <c r="N1173" s="1711"/>
    </row>
    <row r="1174" spans="1:14" ht="24" customHeight="1">
      <c r="A1174" s="1830"/>
      <c r="B1174" s="1828" t="s">
        <v>2031</v>
      </c>
      <c r="C1174" s="1830"/>
      <c r="D1174" s="1830"/>
      <c r="E1174" s="1830"/>
      <c r="F1174" s="1830"/>
      <c r="G1174" s="1828" t="s">
        <v>2031</v>
      </c>
      <c r="H1174" s="1830"/>
      <c r="I1174" s="1830"/>
      <c r="J1174" s="1830"/>
      <c r="K1174" s="1830"/>
      <c r="L1174" s="1721"/>
      <c r="M1174" s="1710"/>
      <c r="N1174" s="1711"/>
    </row>
    <row r="1175" spans="1:14" ht="24" customHeight="1">
      <c r="B1175" s="1721" t="s">
        <v>1984</v>
      </c>
      <c r="C1175" s="1830"/>
      <c r="D1175" s="1685"/>
      <c r="E1175" s="1685"/>
      <c r="G1175" s="1721" t="s">
        <v>1985</v>
      </c>
      <c r="H1175" s="1685"/>
      <c r="I1175" s="1685"/>
      <c r="J1175" s="1685"/>
      <c r="K1175" s="1685"/>
      <c r="L1175" s="1721"/>
      <c r="M1175" s="1710"/>
      <c r="N1175" s="1711"/>
    </row>
    <row r="1176" spans="1:14" ht="24" customHeight="1">
      <c r="B1176" s="1828" t="s">
        <v>670</v>
      </c>
      <c r="L1176" s="1721"/>
      <c r="M1176" s="1710"/>
      <c r="N1176" s="1711"/>
    </row>
    <row r="1177" spans="1:14" ht="24" customHeight="1">
      <c r="B1177" s="1721" t="s">
        <v>1972</v>
      </c>
      <c r="L1177" s="1721"/>
      <c r="M1177" s="1710"/>
      <c r="N1177" s="1711"/>
    </row>
    <row r="1178" spans="1:14" ht="24" customHeight="1">
      <c r="A1178" s="1712"/>
      <c r="B1178" s="1673" t="s">
        <v>139</v>
      </c>
      <c r="C1178" s="1674" t="s">
        <v>198</v>
      </c>
      <c r="D1178" s="1675">
        <f>D1169*0.5</f>
        <v>46.95</v>
      </c>
      <c r="E1178" s="1676" t="s">
        <v>164</v>
      </c>
      <c r="F1178" s="1736">
        <v>400</v>
      </c>
      <c r="G1178" s="1736">
        <v>0</v>
      </c>
      <c r="H1178" s="1669">
        <f t="shared" si="179"/>
        <v>18780</v>
      </c>
      <c r="I1178" s="1669">
        <f t="shared" si="180"/>
        <v>0</v>
      </c>
      <c r="J1178" s="1669">
        <f t="shared" si="181"/>
        <v>18780</v>
      </c>
      <c r="K1178" s="1708"/>
      <c r="L1178" s="1721"/>
      <c r="M1178" s="1710" t="s">
        <v>1018</v>
      </c>
      <c r="N1178" s="1711"/>
    </row>
    <row r="1179" spans="1:14" ht="24" customHeight="1">
      <c r="A1179" s="1712"/>
      <c r="B1179" s="1673" t="s">
        <v>139</v>
      </c>
      <c r="C1179" s="1674" t="s">
        <v>1782</v>
      </c>
      <c r="D1179" s="1675">
        <f>D1178*0.3</f>
        <v>14.085000000000001</v>
      </c>
      <c r="E1179" s="1676" t="s">
        <v>164</v>
      </c>
      <c r="F1179" s="1736">
        <v>400</v>
      </c>
      <c r="G1179" s="1736">
        <v>0</v>
      </c>
      <c r="H1179" s="1669">
        <f t="shared" si="179"/>
        <v>5634</v>
      </c>
      <c r="I1179" s="1669">
        <f t="shared" si="180"/>
        <v>0</v>
      </c>
      <c r="J1179" s="1669">
        <f t="shared" si="181"/>
        <v>5634</v>
      </c>
      <c r="K1179" s="1708"/>
      <c r="L1179" s="1721"/>
      <c r="M1179" s="1710" t="s">
        <v>1018</v>
      </c>
      <c r="N1179" s="1685"/>
    </row>
    <row r="1180" spans="1:14" ht="24" customHeight="1">
      <c r="A1180" s="1712"/>
      <c r="B1180" s="1673" t="s">
        <v>139</v>
      </c>
      <c r="C1180" s="1674" t="s">
        <v>163</v>
      </c>
      <c r="D1180" s="1675">
        <f>D1169</f>
        <v>93.9</v>
      </c>
      <c r="E1180" s="1676" t="s">
        <v>83</v>
      </c>
      <c r="F1180" s="1736">
        <v>28</v>
      </c>
      <c r="G1180" s="1736">
        <v>0</v>
      </c>
      <c r="H1180" s="1669">
        <f t="shared" si="179"/>
        <v>2629.2000000000003</v>
      </c>
      <c r="I1180" s="1669">
        <f t="shared" si="180"/>
        <v>0</v>
      </c>
      <c r="J1180" s="1669">
        <f t="shared" si="181"/>
        <v>2629.2000000000003</v>
      </c>
      <c r="K1180" s="1708"/>
      <c r="L1180" s="1721"/>
      <c r="M1180" s="1710" t="s">
        <v>1018</v>
      </c>
      <c r="N1180" s="1685"/>
    </row>
    <row r="1181" spans="1:14" ht="24" customHeight="1">
      <c r="A1181" s="1712"/>
      <c r="B1181" s="1673" t="s">
        <v>139</v>
      </c>
      <c r="C1181" s="1674" t="s">
        <v>1781</v>
      </c>
      <c r="D1181" s="1675">
        <f>D1169*0.25</f>
        <v>23.475000000000001</v>
      </c>
      <c r="E1181" s="1676" t="s">
        <v>87</v>
      </c>
      <c r="F1181" s="1736">
        <v>23.89</v>
      </c>
      <c r="G1181" s="1736">
        <v>0</v>
      </c>
      <c r="H1181" s="1669">
        <f t="shared" si="179"/>
        <v>560.81775000000005</v>
      </c>
      <c r="I1181" s="1669">
        <f t="shared" si="180"/>
        <v>0</v>
      </c>
      <c r="J1181" s="1669">
        <f t="shared" si="181"/>
        <v>560.81775000000005</v>
      </c>
      <c r="K1181" s="1708"/>
      <c r="L1181" s="1721"/>
      <c r="M1181" s="1710" t="s">
        <v>660</v>
      </c>
      <c r="N1181" s="1685"/>
    </row>
    <row r="1182" spans="1:14" ht="24" customHeight="1">
      <c r="A1182" s="1712"/>
      <c r="B1182" s="2368" t="s">
        <v>1037</v>
      </c>
      <c r="C1182" s="2370"/>
      <c r="D1182" s="1675"/>
      <c r="E1182" s="1676"/>
      <c r="F1182" s="1669"/>
      <c r="G1182" s="1669"/>
      <c r="H1182" s="1669"/>
      <c r="I1182" s="1669"/>
      <c r="J1182" s="1669"/>
      <c r="K1182" s="1708"/>
      <c r="L1182" s="1721"/>
      <c r="M1182" s="1711"/>
      <c r="N1182" s="1711"/>
    </row>
    <row r="1183" spans="1:14" ht="24" customHeight="1">
      <c r="A1183" s="1712"/>
      <c r="B1183" s="1673" t="s">
        <v>139</v>
      </c>
      <c r="C1183" s="1674" t="s">
        <v>88</v>
      </c>
      <c r="D1183" s="1675">
        <v>345.2</v>
      </c>
      <c r="E1183" s="1676" t="s">
        <v>87</v>
      </c>
      <c r="F1183" s="1677">
        <v>21.4</v>
      </c>
      <c r="G1183" s="1677">
        <v>4.4000000000000004</v>
      </c>
      <c r="H1183" s="1669">
        <f t="shared" si="179"/>
        <v>7387.2799999999988</v>
      </c>
      <c r="I1183" s="1669">
        <f t="shared" si="180"/>
        <v>1518.88</v>
      </c>
      <c r="J1183" s="1669">
        <f>SUM(H1183:I1183)</f>
        <v>8906.16</v>
      </c>
      <c r="K1183" s="1708"/>
      <c r="L1183" s="1721"/>
      <c r="M1183" s="1710" t="s">
        <v>1016</v>
      </c>
      <c r="N1183" s="1711" t="s">
        <v>659</v>
      </c>
    </row>
    <row r="1184" spans="1:14" ht="24" customHeight="1">
      <c r="A1184" s="1712"/>
      <c r="B1184" s="1673" t="s">
        <v>139</v>
      </c>
      <c r="C1184" s="1674" t="s">
        <v>89</v>
      </c>
      <c r="D1184" s="1675">
        <v>1167.2</v>
      </c>
      <c r="E1184" s="1676" t="s">
        <v>87</v>
      </c>
      <c r="F1184" s="1677">
        <v>21.4</v>
      </c>
      <c r="G1184" s="1677">
        <v>3.6</v>
      </c>
      <c r="H1184" s="1669">
        <f t="shared" si="179"/>
        <v>24978.079999999998</v>
      </c>
      <c r="I1184" s="1669">
        <f t="shared" si="180"/>
        <v>4201.92</v>
      </c>
      <c r="J1184" s="1669">
        <f>SUM(H1184:I1184)</f>
        <v>29180</v>
      </c>
      <c r="K1184" s="1708"/>
      <c r="L1184" s="1721"/>
      <c r="M1184" s="1710" t="s">
        <v>1016</v>
      </c>
      <c r="N1184" s="1711" t="s">
        <v>659</v>
      </c>
    </row>
    <row r="1185" spans="1:14" ht="24" customHeight="1">
      <c r="A1185" s="1712"/>
      <c r="B1185" s="1673" t="s">
        <v>139</v>
      </c>
      <c r="C1185" s="1674" t="s">
        <v>91</v>
      </c>
      <c r="D1185" s="1675">
        <v>628.1</v>
      </c>
      <c r="E1185" s="1676" t="s">
        <v>87</v>
      </c>
      <c r="F1185" s="1677">
        <v>21.2</v>
      </c>
      <c r="G1185" s="1677">
        <v>3.1</v>
      </c>
      <c r="H1185" s="1669">
        <f t="shared" si="179"/>
        <v>13315.72</v>
      </c>
      <c r="I1185" s="1669">
        <f t="shared" si="180"/>
        <v>1947.1100000000001</v>
      </c>
      <c r="J1185" s="1669">
        <f>SUM(H1185:I1185)</f>
        <v>15262.83</v>
      </c>
      <c r="K1185" s="1708"/>
      <c r="L1185" s="1721"/>
      <c r="M1185" s="1710" t="s">
        <v>1016</v>
      </c>
      <c r="N1185" s="1711" t="s">
        <v>659</v>
      </c>
    </row>
    <row r="1186" spans="1:14" ht="24" customHeight="1">
      <c r="A1186" s="1712"/>
      <c r="B1186" s="1673" t="s">
        <v>139</v>
      </c>
      <c r="C1186" s="1674" t="s">
        <v>200</v>
      </c>
      <c r="D1186" s="1675">
        <f>SUM(D1183:D1185)*0.03</f>
        <v>64.215000000000003</v>
      </c>
      <c r="E1186" s="1676" t="s">
        <v>87</v>
      </c>
      <c r="F1186" s="1677">
        <v>25.83</v>
      </c>
      <c r="G1186" s="1677">
        <v>0</v>
      </c>
      <c r="H1186" s="1669">
        <f t="shared" si="179"/>
        <v>1658.67345</v>
      </c>
      <c r="I1186" s="1669">
        <f t="shared" si="180"/>
        <v>0</v>
      </c>
      <c r="J1186" s="1669">
        <f>SUM(H1186:I1186)</f>
        <v>1658.67345</v>
      </c>
      <c r="K1186" s="1708"/>
      <c r="L1186" s="1721"/>
      <c r="M1186" s="1710" t="s">
        <v>1019</v>
      </c>
      <c r="N1186" s="1711"/>
    </row>
    <row r="1187" spans="1:14" ht="24" customHeight="1">
      <c r="A1187" s="1712"/>
      <c r="B1187" s="1748" t="s">
        <v>1038</v>
      </c>
      <c r="C1187" s="1674"/>
      <c r="D1187" s="1675"/>
      <c r="E1187" s="1676"/>
      <c r="F1187" s="1677"/>
      <c r="G1187" s="1677"/>
      <c r="H1187" s="1669"/>
      <c r="I1187" s="1669"/>
      <c r="J1187" s="1669"/>
      <c r="K1187" s="1708"/>
      <c r="L1187" s="1721"/>
      <c r="M1187" s="1710"/>
      <c r="N1187" s="1711"/>
    </row>
    <row r="1188" spans="1:14" ht="24" customHeight="1">
      <c r="A1188" s="1712"/>
      <c r="B1188" s="2368" t="s">
        <v>1039</v>
      </c>
      <c r="C1188" s="2370"/>
      <c r="D1188" s="1675"/>
      <c r="E1188" s="1676"/>
      <c r="F1188" s="1669"/>
      <c r="G1188" s="1669"/>
      <c r="H1188" s="1669"/>
      <c r="I1188" s="1669"/>
      <c r="J1188" s="1669"/>
      <c r="K1188" s="1708"/>
      <c r="L1188" s="1721"/>
      <c r="M1188" s="1711"/>
      <c r="N1188" s="1711"/>
    </row>
    <row r="1189" spans="1:14" s="1685" customFormat="1" ht="24" customHeight="1">
      <c r="A1189" s="1712"/>
      <c r="B1189" s="1673" t="s">
        <v>139</v>
      </c>
      <c r="C1189" s="1674" t="s">
        <v>228</v>
      </c>
      <c r="D1189" s="1675">
        <v>14.2</v>
      </c>
      <c r="E1189" s="1676" t="s">
        <v>85</v>
      </c>
      <c r="F1189" s="1736">
        <v>2679.9</v>
      </c>
      <c r="G1189" s="1736">
        <v>519</v>
      </c>
      <c r="H1189" s="1669">
        <f t="shared" ref="H1189:H1200" si="182">F1189*D1189</f>
        <v>38054.58</v>
      </c>
      <c r="I1189" s="1669">
        <f t="shared" ref="I1189:I1200" si="183">G1189*D1189</f>
        <v>7369.7999999999993</v>
      </c>
      <c r="J1189" s="1669">
        <f t="shared" ref="J1189:J1195" si="184">SUM(H1189:I1189)</f>
        <v>45424.380000000005</v>
      </c>
      <c r="K1189" s="1708"/>
      <c r="L1189" s="1721"/>
      <c r="M1189" s="1710" t="s">
        <v>1016</v>
      </c>
      <c r="N1189" s="1711" t="s">
        <v>659</v>
      </c>
    </row>
    <row r="1190" spans="1:14" s="1685" customFormat="1" ht="24" customHeight="1">
      <c r="A1190" s="1712"/>
      <c r="B1190" s="2368" t="s">
        <v>1040</v>
      </c>
      <c r="C1190" s="2370"/>
      <c r="D1190" s="1675">
        <v>95</v>
      </c>
      <c r="E1190" s="1676"/>
      <c r="F1190" s="1669"/>
      <c r="G1190" s="1669"/>
      <c r="H1190" s="1669"/>
      <c r="I1190" s="1669"/>
      <c r="J1190" s="1669"/>
      <c r="K1190" s="1708"/>
      <c r="L1190" s="1721"/>
      <c r="M1190" s="1711"/>
      <c r="N1190" s="1711"/>
    </row>
    <row r="1191" spans="1:14" ht="24" customHeight="1">
      <c r="A1191" s="1712"/>
      <c r="B1191" s="1673" t="s">
        <v>139</v>
      </c>
      <c r="C1191" s="1674" t="s">
        <v>1784</v>
      </c>
      <c r="D1191" s="1675">
        <f>D1190</f>
        <v>95</v>
      </c>
      <c r="E1191" s="1676" t="s">
        <v>86</v>
      </c>
      <c r="F1191" s="1736">
        <v>0</v>
      </c>
      <c r="G1191" s="1669">
        <v>121</v>
      </c>
      <c r="H1191" s="1669">
        <f t="shared" si="182"/>
        <v>0</v>
      </c>
      <c r="I1191" s="1669">
        <f t="shared" si="183"/>
        <v>11495</v>
      </c>
      <c r="J1191" s="1669">
        <f t="shared" si="184"/>
        <v>11495</v>
      </c>
      <c r="K1191" s="1708"/>
      <c r="L1191" s="1721"/>
      <c r="M1191" s="1710" t="s">
        <v>1017</v>
      </c>
      <c r="N1191" s="1711" t="s">
        <v>659</v>
      </c>
    </row>
    <row r="1192" spans="1:14" ht="24" customHeight="1">
      <c r="A1192" s="1712"/>
      <c r="B1192" s="1673" t="s">
        <v>139</v>
      </c>
      <c r="C1192" s="1674" t="s">
        <v>198</v>
      </c>
      <c r="D1192" s="1675">
        <f>D1190*0.5</f>
        <v>47.5</v>
      </c>
      <c r="E1192" s="1676" t="s">
        <v>164</v>
      </c>
      <c r="F1192" s="1736">
        <v>400</v>
      </c>
      <c r="G1192" s="1736">
        <v>0</v>
      </c>
      <c r="H1192" s="1669">
        <f t="shared" si="182"/>
        <v>19000</v>
      </c>
      <c r="I1192" s="1669">
        <f t="shared" si="183"/>
        <v>0</v>
      </c>
      <c r="J1192" s="1669">
        <f t="shared" si="184"/>
        <v>19000</v>
      </c>
      <c r="K1192" s="1708"/>
      <c r="L1192" s="1721"/>
      <c r="M1192" s="1710" t="s">
        <v>1018</v>
      </c>
      <c r="N1192" s="1711"/>
    </row>
    <row r="1193" spans="1:14" ht="24" customHeight="1">
      <c r="A1193" s="1712"/>
      <c r="B1193" s="1673" t="s">
        <v>139</v>
      </c>
      <c r="C1193" s="1674" t="s">
        <v>1782</v>
      </c>
      <c r="D1193" s="1675">
        <f>D1192*0.3</f>
        <v>14.25</v>
      </c>
      <c r="E1193" s="1676" t="s">
        <v>164</v>
      </c>
      <c r="F1193" s="1736">
        <v>400</v>
      </c>
      <c r="G1193" s="1736">
        <v>0</v>
      </c>
      <c r="H1193" s="1669">
        <f t="shared" si="182"/>
        <v>5700</v>
      </c>
      <c r="I1193" s="1669">
        <f t="shared" si="183"/>
        <v>0</v>
      </c>
      <c r="J1193" s="1669">
        <f t="shared" si="184"/>
        <v>5700</v>
      </c>
      <c r="K1193" s="1708"/>
      <c r="L1193" s="1721"/>
      <c r="M1193" s="1710" t="s">
        <v>1018</v>
      </c>
      <c r="N1193" s="1685"/>
    </row>
    <row r="1194" spans="1:14" ht="24" customHeight="1">
      <c r="A1194" s="1712"/>
      <c r="B1194" s="1673" t="s">
        <v>139</v>
      </c>
      <c r="C1194" s="1674" t="s">
        <v>163</v>
      </c>
      <c r="D1194" s="1675">
        <f>D1190</f>
        <v>95</v>
      </c>
      <c r="E1194" s="1676" t="s">
        <v>83</v>
      </c>
      <c r="F1194" s="1736">
        <v>28</v>
      </c>
      <c r="G1194" s="1736">
        <v>0</v>
      </c>
      <c r="H1194" s="1669">
        <f t="shared" si="182"/>
        <v>2660</v>
      </c>
      <c r="I1194" s="1669">
        <f t="shared" si="183"/>
        <v>0</v>
      </c>
      <c r="J1194" s="1669">
        <f t="shared" si="184"/>
        <v>2660</v>
      </c>
      <c r="K1194" s="1708"/>
      <c r="L1194" s="1721"/>
      <c r="M1194" s="1710" t="s">
        <v>1018</v>
      </c>
      <c r="N1194" s="1685"/>
    </row>
    <row r="1195" spans="1:14" ht="24" customHeight="1">
      <c r="A1195" s="1712"/>
      <c r="B1195" s="1673" t="s">
        <v>139</v>
      </c>
      <c r="C1195" s="1674" t="s">
        <v>1781</v>
      </c>
      <c r="D1195" s="1675">
        <f>D1190*0.25</f>
        <v>23.75</v>
      </c>
      <c r="E1195" s="1676" t="s">
        <v>87</v>
      </c>
      <c r="F1195" s="1736">
        <v>23.89</v>
      </c>
      <c r="G1195" s="1736">
        <v>0</v>
      </c>
      <c r="H1195" s="1669">
        <f t="shared" si="182"/>
        <v>567.38750000000005</v>
      </c>
      <c r="I1195" s="1669">
        <f t="shared" si="183"/>
        <v>0</v>
      </c>
      <c r="J1195" s="1669">
        <f t="shared" si="184"/>
        <v>567.38750000000005</v>
      </c>
      <c r="K1195" s="1708"/>
      <c r="L1195" s="1721"/>
      <c r="M1195" s="1710" t="s">
        <v>660</v>
      </c>
      <c r="N1195" s="1685"/>
    </row>
    <row r="1196" spans="1:14" ht="24" customHeight="1">
      <c r="A1196" s="1712"/>
      <c r="B1196" s="2368" t="s">
        <v>1041</v>
      </c>
      <c r="C1196" s="2370"/>
      <c r="D1196" s="1675"/>
      <c r="E1196" s="1676"/>
      <c r="F1196" s="1669"/>
      <c r="G1196" s="1669"/>
      <c r="H1196" s="1669"/>
      <c r="I1196" s="1669"/>
      <c r="J1196" s="1669"/>
      <c r="K1196" s="1708"/>
      <c r="L1196" s="1721"/>
      <c r="M1196" s="1711"/>
      <c r="N1196" s="1711"/>
    </row>
    <row r="1197" spans="1:14" ht="24" customHeight="1">
      <c r="A1197" s="1712"/>
      <c r="B1197" s="1673" t="s">
        <v>139</v>
      </c>
      <c r="C1197" s="1674" t="s">
        <v>88</v>
      </c>
      <c r="D1197" s="1675">
        <v>288.60000000000002</v>
      </c>
      <c r="E1197" s="1676" t="s">
        <v>87</v>
      </c>
      <c r="F1197" s="1677">
        <v>21.4</v>
      </c>
      <c r="G1197" s="1677">
        <v>4.4000000000000004</v>
      </c>
      <c r="H1197" s="1669">
        <f t="shared" si="182"/>
        <v>6176.04</v>
      </c>
      <c r="I1197" s="1669">
        <f t="shared" si="183"/>
        <v>1269.8400000000001</v>
      </c>
      <c r="J1197" s="1669">
        <f>SUM(H1197:I1197)</f>
        <v>7445.88</v>
      </c>
      <c r="K1197" s="1708"/>
      <c r="L1197" s="1721"/>
      <c r="M1197" s="1710" t="s">
        <v>1016</v>
      </c>
      <c r="N1197" s="1711" t="s">
        <v>659</v>
      </c>
    </row>
    <row r="1198" spans="1:14" ht="24" customHeight="1">
      <c r="A1198" s="1712"/>
      <c r="B1198" s="1673" t="s">
        <v>139</v>
      </c>
      <c r="C1198" s="1674" t="s">
        <v>89</v>
      </c>
      <c r="D1198" s="1675">
        <v>1118.7</v>
      </c>
      <c r="E1198" s="1676" t="s">
        <v>87</v>
      </c>
      <c r="F1198" s="1677">
        <v>21.4</v>
      </c>
      <c r="G1198" s="1677">
        <v>3.6</v>
      </c>
      <c r="H1198" s="1669">
        <f t="shared" si="182"/>
        <v>23940.18</v>
      </c>
      <c r="I1198" s="1669">
        <f t="shared" si="183"/>
        <v>4027.32</v>
      </c>
      <c r="J1198" s="1669">
        <f>SUM(H1198:I1198)</f>
        <v>27967.5</v>
      </c>
      <c r="K1198" s="1708"/>
      <c r="L1198" s="1721"/>
      <c r="M1198" s="1710" t="s">
        <v>1016</v>
      </c>
      <c r="N1198" s="1711" t="s">
        <v>659</v>
      </c>
    </row>
    <row r="1199" spans="1:14" ht="24" customHeight="1">
      <c r="A1199" s="1664"/>
      <c r="B1199" s="1665" t="s">
        <v>139</v>
      </c>
      <c r="C1199" s="1666" t="s">
        <v>1014</v>
      </c>
      <c r="D1199" s="1675">
        <v>841.5</v>
      </c>
      <c r="E1199" s="1668" t="s">
        <v>87</v>
      </c>
      <c r="F1199" s="1744">
        <v>21.2</v>
      </c>
      <c r="G1199" s="1744">
        <v>3.1</v>
      </c>
      <c r="H1199" s="1670">
        <f t="shared" si="182"/>
        <v>17839.8</v>
      </c>
      <c r="I1199" s="1670">
        <f t="shared" si="183"/>
        <v>2608.65</v>
      </c>
      <c r="J1199" s="1669">
        <f>SUM(H1199:I1199)</f>
        <v>20448.45</v>
      </c>
      <c r="K1199" s="1708"/>
      <c r="L1199" s="1721"/>
      <c r="M1199" s="1710" t="s">
        <v>1016</v>
      </c>
      <c r="N1199" s="1711" t="s">
        <v>659</v>
      </c>
    </row>
    <row r="1200" spans="1:14" ht="24" customHeight="1">
      <c r="A1200" s="1712"/>
      <c r="B1200" s="1673" t="s">
        <v>139</v>
      </c>
      <c r="C1200" s="1674" t="s">
        <v>200</v>
      </c>
      <c r="D1200" s="1675">
        <f>SUM(D1197:D1199)*0.03</f>
        <v>67.463999999999999</v>
      </c>
      <c r="E1200" s="1676" t="s">
        <v>87</v>
      </c>
      <c r="F1200" s="1677">
        <v>25.83</v>
      </c>
      <c r="G1200" s="1677">
        <v>0</v>
      </c>
      <c r="H1200" s="1669">
        <f t="shared" si="182"/>
        <v>1742.59512</v>
      </c>
      <c r="I1200" s="1669">
        <f t="shared" si="183"/>
        <v>0</v>
      </c>
      <c r="J1200" s="1678">
        <f>SUM(H1200:I1200)</f>
        <v>1742.59512</v>
      </c>
      <c r="K1200" s="1708"/>
      <c r="L1200" s="1721"/>
      <c r="M1200" s="1710" t="s">
        <v>1019</v>
      </c>
      <c r="N1200" s="1711"/>
    </row>
    <row r="1201" spans="1:22" ht="24" customHeight="1">
      <c r="A1201" s="1715"/>
      <c r="B1201" s="1716"/>
      <c r="C1201" s="1717"/>
      <c r="D1201" s="1718"/>
      <c r="E1201" s="1719"/>
      <c r="F1201" s="1751"/>
      <c r="G1201" s="1751"/>
      <c r="H1201" s="1720"/>
      <c r="I1201" s="1720"/>
      <c r="J1201" s="1758"/>
      <c r="K1201" s="1752"/>
      <c r="L1201" s="1721"/>
      <c r="M1201" s="1710"/>
      <c r="N1201" s="1711"/>
    </row>
    <row r="1202" spans="1:22" ht="24" customHeight="1" thickBot="1">
      <c r="A1202" s="1722"/>
      <c r="B1202" s="1753"/>
      <c r="C1202" s="1724" t="str">
        <f>"รวมราคา "&amp;B1010</f>
        <v>รวมราคา งานโครงสร้างชั้น 5</v>
      </c>
      <c r="D1202" s="1725"/>
      <c r="E1202" s="1726"/>
      <c r="F1202" s="1727"/>
      <c r="G1202" s="1727"/>
      <c r="H1202" s="1727">
        <f>SUM(H1011:H1200)</f>
        <v>3572374.5536600007</v>
      </c>
      <c r="I1202" s="1727">
        <f>SUM(I1011:I1200)</f>
        <v>701480.46</v>
      </c>
      <c r="J1202" s="1727">
        <f>SUM(J1011:J1200)</f>
        <v>4273855.0136599997</v>
      </c>
      <c r="K1202" s="1727"/>
      <c r="L1202" s="1759"/>
      <c r="M1202" s="1701"/>
      <c r="N1202" s="1701"/>
    </row>
    <row r="1203" spans="1:22" ht="24" customHeight="1" thickTop="1">
      <c r="A1203" s="1730">
        <v>1.8</v>
      </c>
      <c r="B1203" s="2374" t="s">
        <v>355</v>
      </c>
      <c r="C1203" s="2375"/>
      <c r="D1203" s="1731"/>
      <c r="E1203" s="1732"/>
      <c r="F1203" s="1733"/>
      <c r="G1203" s="1733"/>
      <c r="H1203" s="1733"/>
      <c r="I1203" s="1733"/>
      <c r="J1203" s="1733"/>
      <c r="K1203" s="1733"/>
      <c r="L1203" s="1759"/>
      <c r="M1203" s="1701"/>
      <c r="N1203" s="1701"/>
    </row>
    <row r="1204" spans="1:22" ht="24" customHeight="1">
      <c r="A1204" s="1715"/>
      <c r="B1204" s="2382" t="s">
        <v>245</v>
      </c>
      <c r="C1204" s="2383"/>
      <c r="D1204" s="1718"/>
      <c r="E1204" s="1719"/>
      <c r="F1204" s="1720"/>
      <c r="G1204" s="1720"/>
      <c r="H1204" s="1720"/>
      <c r="I1204" s="1720"/>
      <c r="J1204" s="1720"/>
      <c r="K1204" s="1752"/>
      <c r="L1204" s="1721"/>
      <c r="M1204" s="1711"/>
      <c r="N1204" s="1711"/>
    </row>
    <row r="1205" spans="1:22" ht="24" customHeight="1">
      <c r="A1205" s="1712"/>
      <c r="B1205" s="1673" t="s">
        <v>139</v>
      </c>
      <c r="C1205" s="1674" t="s">
        <v>97</v>
      </c>
      <c r="D1205" s="1675">
        <v>995.6</v>
      </c>
      <c r="E1205" s="1676" t="s">
        <v>86</v>
      </c>
      <c r="F1205" s="1669">
        <v>430</v>
      </c>
      <c r="G1205" s="1669">
        <v>0</v>
      </c>
      <c r="H1205" s="1669">
        <f t="shared" ref="H1205:H1227" si="185">F1205*D1205</f>
        <v>428108</v>
      </c>
      <c r="I1205" s="1669">
        <f t="shared" ref="I1205:I1227" si="186">G1205*D1205</f>
        <v>0</v>
      </c>
      <c r="J1205" s="1669">
        <f t="shared" ref="J1205:J1220" si="187">SUM(H1205:I1205)</f>
        <v>428108</v>
      </c>
      <c r="K1205" s="1679"/>
      <c r="L1205" s="1708" t="s">
        <v>1893</v>
      </c>
      <c r="M1205" s="1710" t="s">
        <v>1871</v>
      </c>
      <c r="N1205" s="1711" t="s">
        <v>663</v>
      </c>
      <c r="V1205" s="1711"/>
    </row>
    <row r="1206" spans="1:22" ht="24" customHeight="1">
      <c r="A1206" s="1712"/>
      <c r="B1206" s="2368" t="s">
        <v>423</v>
      </c>
      <c r="C1206" s="2370"/>
      <c r="D1206" s="1675"/>
      <c r="E1206" s="1676"/>
      <c r="F1206" s="1669"/>
      <c r="G1206" s="1669"/>
      <c r="H1206" s="1669">
        <f t="shared" si="185"/>
        <v>0</v>
      </c>
      <c r="I1206" s="1669">
        <f t="shared" si="186"/>
        <v>0</v>
      </c>
      <c r="J1206" s="1669">
        <f t="shared" si="187"/>
        <v>0</v>
      </c>
      <c r="K1206" s="1708"/>
      <c r="L1206" s="1721"/>
      <c r="M1206" s="1711"/>
      <c r="N1206" s="1711"/>
    </row>
    <row r="1207" spans="1:22" ht="24" customHeight="1">
      <c r="A1207" s="1712"/>
      <c r="B1207" s="1673" t="s">
        <v>139</v>
      </c>
      <c r="C1207" s="1674" t="s">
        <v>228</v>
      </c>
      <c r="D1207" s="1675">
        <v>253.6</v>
      </c>
      <c r="E1207" s="1676" t="s">
        <v>85</v>
      </c>
      <c r="F1207" s="1736">
        <v>2679.9</v>
      </c>
      <c r="G1207" s="1736">
        <v>519</v>
      </c>
      <c r="H1207" s="1669">
        <f t="shared" si="185"/>
        <v>679622.64</v>
      </c>
      <c r="I1207" s="1669">
        <f t="shared" si="186"/>
        <v>131618.4</v>
      </c>
      <c r="J1207" s="1669">
        <f t="shared" si="187"/>
        <v>811241.04</v>
      </c>
      <c r="K1207" s="1708"/>
      <c r="L1207" s="1721"/>
      <c r="M1207" s="1710" t="s">
        <v>1016</v>
      </c>
      <c r="N1207" s="1711" t="s">
        <v>659</v>
      </c>
    </row>
    <row r="1208" spans="1:22" ht="24" customHeight="1">
      <c r="A1208" s="1780"/>
      <c r="B1208" s="1780"/>
      <c r="C1208" s="1827" t="s">
        <v>133</v>
      </c>
      <c r="D1208" s="2365"/>
      <c r="E1208" s="2365"/>
      <c r="F1208" s="2365"/>
      <c r="G1208" s="2365"/>
      <c r="H1208" s="2365"/>
      <c r="I1208" s="2365"/>
      <c r="J1208" s="2365"/>
      <c r="K1208" s="2365"/>
      <c r="L1208" s="1721"/>
      <c r="M1208" s="1710"/>
      <c r="N1208" s="1711"/>
    </row>
    <row r="1209" spans="1:22" ht="24" customHeight="1">
      <c r="A1209" s="1780"/>
      <c r="B1209" s="2366" t="s">
        <v>1769</v>
      </c>
      <c r="C1209" s="2366"/>
      <c r="D1209" s="1828"/>
      <c r="E1209" s="1769"/>
      <c r="F1209" s="1828"/>
      <c r="G1209" s="1828" t="s">
        <v>134</v>
      </c>
      <c r="H1209" s="1828"/>
      <c r="I1209" s="1828"/>
      <c r="J1209" s="1828"/>
      <c r="K1209" s="1828"/>
      <c r="L1209" s="1721"/>
      <c r="M1209" s="1710"/>
      <c r="N1209" s="1711"/>
    </row>
    <row r="1210" spans="1:22" ht="24" customHeight="1">
      <c r="A1210" s="1780"/>
      <c r="B1210" s="2367" t="s">
        <v>1970</v>
      </c>
      <c r="C1210" s="2367"/>
      <c r="D1210" s="1831"/>
      <c r="E1210" s="1832"/>
      <c r="F1210" s="1833"/>
      <c r="G1210" s="1833" t="s">
        <v>1971</v>
      </c>
      <c r="H1210" s="1833"/>
      <c r="I1210" s="1833"/>
      <c r="J1210" s="1833"/>
      <c r="K1210" s="1833"/>
      <c r="L1210" s="1721"/>
      <c r="M1210" s="1710"/>
      <c r="N1210" s="1711"/>
    </row>
    <row r="1211" spans="1:22" ht="24" customHeight="1">
      <c r="A1211" s="1830"/>
      <c r="B1211" s="1828" t="s">
        <v>2031</v>
      </c>
      <c r="C1211" s="1830"/>
      <c r="D1211" s="1830"/>
      <c r="E1211" s="1830"/>
      <c r="F1211" s="1830"/>
      <c r="G1211" s="1828" t="s">
        <v>2031</v>
      </c>
      <c r="H1211" s="1830"/>
      <c r="I1211" s="1830"/>
      <c r="J1211" s="1830"/>
      <c r="K1211" s="1830"/>
      <c r="L1211" s="1721"/>
      <c r="M1211" s="1710"/>
      <c r="N1211" s="1711"/>
    </row>
    <row r="1212" spans="1:22" ht="24" customHeight="1">
      <c r="B1212" s="1721" t="s">
        <v>1984</v>
      </c>
      <c r="C1212" s="1830"/>
      <c r="D1212" s="1685"/>
      <c r="E1212" s="1685"/>
      <c r="G1212" s="1721" t="s">
        <v>1985</v>
      </c>
      <c r="H1212" s="1685"/>
      <c r="I1212" s="1685"/>
      <c r="J1212" s="1685"/>
      <c r="K1212" s="1685"/>
      <c r="L1212" s="1721"/>
      <c r="M1212" s="1710"/>
      <c r="N1212" s="1711"/>
    </row>
    <row r="1213" spans="1:22" ht="24" customHeight="1">
      <c r="B1213" s="1828" t="s">
        <v>670</v>
      </c>
      <c r="L1213" s="1721"/>
      <c r="M1213" s="1710"/>
      <c r="N1213" s="1711"/>
    </row>
    <row r="1214" spans="1:22" ht="24" customHeight="1">
      <c r="B1214" s="1721" t="s">
        <v>1972</v>
      </c>
      <c r="L1214" s="1721"/>
      <c r="M1214" s="1710"/>
      <c r="N1214" s="1711"/>
    </row>
    <row r="1215" spans="1:22" ht="24" customHeight="1">
      <c r="A1215" s="1712"/>
      <c r="B1215" s="2368" t="s">
        <v>225</v>
      </c>
      <c r="C1215" s="2370"/>
      <c r="D1215" s="1675">
        <v>1057.5999999999999</v>
      </c>
      <c r="E1215" s="1676"/>
      <c r="F1215" s="1669"/>
      <c r="G1215" s="1669"/>
      <c r="H1215" s="1669"/>
      <c r="I1215" s="1669"/>
      <c r="J1215" s="1669"/>
      <c r="K1215" s="1708"/>
      <c r="L1215" s="1721"/>
      <c r="M1215" s="1711"/>
      <c r="N1215" s="1711"/>
    </row>
    <row r="1216" spans="1:22" ht="24" customHeight="1">
      <c r="A1216" s="1702"/>
      <c r="B1216" s="1703" t="s">
        <v>139</v>
      </c>
      <c r="C1216" s="1743" t="s">
        <v>1784</v>
      </c>
      <c r="D1216" s="1705">
        <f>D1215</f>
        <v>1057.5999999999999</v>
      </c>
      <c r="E1216" s="1706" t="s">
        <v>86</v>
      </c>
      <c r="F1216" s="1707"/>
      <c r="G1216" s="1707">
        <v>121</v>
      </c>
      <c r="H1216" s="1707">
        <f t="shared" si="185"/>
        <v>0</v>
      </c>
      <c r="I1216" s="1707">
        <f t="shared" si="186"/>
        <v>127969.59999999999</v>
      </c>
      <c r="J1216" s="1707">
        <f t="shared" si="187"/>
        <v>127969.59999999999</v>
      </c>
      <c r="K1216" s="1709"/>
      <c r="L1216" s="1721"/>
      <c r="M1216" s="1710" t="s">
        <v>1017</v>
      </c>
      <c r="N1216" s="1711" t="s">
        <v>659</v>
      </c>
    </row>
    <row r="1217" spans="1:14" ht="24" customHeight="1">
      <c r="A1217" s="1712"/>
      <c r="B1217" s="1673" t="s">
        <v>139</v>
      </c>
      <c r="C1217" s="1674" t="s">
        <v>198</v>
      </c>
      <c r="D1217" s="1675">
        <f>D1215*0.5</f>
        <v>528.79999999999995</v>
      </c>
      <c r="E1217" s="1676" t="s">
        <v>164</v>
      </c>
      <c r="F1217" s="1736">
        <v>400</v>
      </c>
      <c r="G1217" s="1736"/>
      <c r="H1217" s="1669">
        <f t="shared" si="185"/>
        <v>211519.99999999997</v>
      </c>
      <c r="I1217" s="1669">
        <f t="shared" si="186"/>
        <v>0</v>
      </c>
      <c r="J1217" s="1669">
        <f t="shared" si="187"/>
        <v>211519.99999999997</v>
      </c>
      <c r="K1217" s="1708"/>
      <c r="L1217" s="1721"/>
      <c r="M1217" s="1710" t="s">
        <v>1018</v>
      </c>
      <c r="N1217" s="1711"/>
    </row>
    <row r="1218" spans="1:14" ht="24" customHeight="1">
      <c r="A1218" s="1712"/>
      <c r="B1218" s="1673" t="s">
        <v>139</v>
      </c>
      <c r="C1218" s="1674" t="s">
        <v>1782</v>
      </c>
      <c r="D1218" s="1675">
        <f>D1217*0.3</f>
        <v>158.63999999999999</v>
      </c>
      <c r="E1218" s="1676" t="s">
        <v>164</v>
      </c>
      <c r="F1218" s="1736">
        <v>400</v>
      </c>
      <c r="G1218" s="1736">
        <v>0</v>
      </c>
      <c r="H1218" s="1669">
        <f t="shared" si="185"/>
        <v>63455.999999999993</v>
      </c>
      <c r="I1218" s="1669">
        <f t="shared" si="186"/>
        <v>0</v>
      </c>
      <c r="J1218" s="1669">
        <f t="shared" si="187"/>
        <v>63455.999999999993</v>
      </c>
      <c r="K1218" s="1708"/>
      <c r="L1218" s="1721"/>
      <c r="M1218" s="1710" t="s">
        <v>1018</v>
      </c>
      <c r="N1218" s="1711"/>
    </row>
    <row r="1219" spans="1:14" ht="24" customHeight="1">
      <c r="A1219" s="1712"/>
      <c r="B1219" s="1673" t="s">
        <v>139</v>
      </c>
      <c r="C1219" s="1674" t="s">
        <v>163</v>
      </c>
      <c r="D1219" s="1675">
        <f>D1215</f>
        <v>1057.5999999999999</v>
      </c>
      <c r="E1219" s="1676" t="s">
        <v>83</v>
      </c>
      <c r="F1219" s="1736">
        <v>28</v>
      </c>
      <c r="G1219" s="1736">
        <v>0</v>
      </c>
      <c r="H1219" s="1669">
        <f t="shared" si="185"/>
        <v>29612.799999999996</v>
      </c>
      <c r="I1219" s="1669">
        <f t="shared" si="186"/>
        <v>0</v>
      </c>
      <c r="J1219" s="1669">
        <f t="shared" si="187"/>
        <v>29612.799999999996</v>
      </c>
      <c r="K1219" s="1708"/>
      <c r="L1219" s="1721"/>
      <c r="M1219" s="1710" t="s">
        <v>1018</v>
      </c>
      <c r="N1219" s="1711"/>
    </row>
    <row r="1220" spans="1:14" ht="24" customHeight="1">
      <c r="A1220" s="1712"/>
      <c r="B1220" s="1673" t="s">
        <v>139</v>
      </c>
      <c r="C1220" s="1674" t="s">
        <v>1781</v>
      </c>
      <c r="D1220" s="1675">
        <f>D1215*0.25</f>
        <v>264.39999999999998</v>
      </c>
      <c r="E1220" s="1676" t="s">
        <v>87</v>
      </c>
      <c r="F1220" s="1736">
        <v>23.89</v>
      </c>
      <c r="G1220" s="1736">
        <v>0</v>
      </c>
      <c r="H1220" s="1669">
        <f t="shared" si="185"/>
        <v>6316.5159999999996</v>
      </c>
      <c r="I1220" s="1669">
        <f t="shared" si="186"/>
        <v>0</v>
      </c>
      <c r="J1220" s="1669">
        <f t="shared" si="187"/>
        <v>6316.5159999999996</v>
      </c>
      <c r="K1220" s="1708"/>
      <c r="L1220" s="1721"/>
      <c r="M1220" s="1710" t="s">
        <v>660</v>
      </c>
      <c r="N1220" s="1711"/>
    </row>
    <row r="1221" spans="1:14" ht="24" customHeight="1">
      <c r="A1221" s="1712"/>
      <c r="B1221" s="2368" t="s">
        <v>246</v>
      </c>
      <c r="C1221" s="2370"/>
      <c r="D1221" s="1675"/>
      <c r="E1221" s="1676"/>
      <c r="F1221" s="1669"/>
      <c r="G1221" s="1669"/>
      <c r="H1221" s="1669"/>
      <c r="I1221" s="1669"/>
      <c r="J1221" s="1669"/>
      <c r="K1221" s="1708"/>
      <c r="L1221" s="1721"/>
      <c r="M1221" s="1711"/>
      <c r="N1221" s="1711"/>
    </row>
    <row r="1222" spans="1:14" s="1685" customFormat="1" ht="24" customHeight="1">
      <c r="A1222" s="1664"/>
      <c r="B1222" s="1665" t="s">
        <v>139</v>
      </c>
      <c r="C1222" s="1666" t="s">
        <v>88</v>
      </c>
      <c r="D1222" s="1667">
        <v>1755.8</v>
      </c>
      <c r="E1222" s="1668" t="s">
        <v>87</v>
      </c>
      <c r="F1222" s="1744">
        <v>21.4</v>
      </c>
      <c r="G1222" s="1744">
        <v>4.4000000000000004</v>
      </c>
      <c r="H1222" s="1670">
        <f t="shared" si="185"/>
        <v>37574.119999999995</v>
      </c>
      <c r="I1222" s="1669">
        <f t="shared" si="186"/>
        <v>7725.52</v>
      </c>
      <c r="J1222" s="1669">
        <f t="shared" ref="J1222:J1227" si="188">SUM(H1222:I1222)</f>
        <v>45299.64</v>
      </c>
      <c r="K1222" s="1708"/>
      <c r="L1222" s="1721"/>
      <c r="M1222" s="1710" t="s">
        <v>1016</v>
      </c>
      <c r="N1222" s="1711" t="s">
        <v>659</v>
      </c>
    </row>
    <row r="1223" spans="1:14" s="1685" customFormat="1" ht="24" customHeight="1">
      <c r="A1223" s="1712"/>
      <c r="B1223" s="1673" t="s">
        <v>139</v>
      </c>
      <c r="C1223" s="1674" t="s">
        <v>89</v>
      </c>
      <c r="D1223" s="1675">
        <v>26272.400000000001</v>
      </c>
      <c r="E1223" s="1676" t="s">
        <v>87</v>
      </c>
      <c r="F1223" s="1677">
        <v>21.4</v>
      </c>
      <c r="G1223" s="1677">
        <v>3.6</v>
      </c>
      <c r="H1223" s="1669">
        <f t="shared" si="185"/>
        <v>562229.36</v>
      </c>
      <c r="I1223" s="1678">
        <f t="shared" si="186"/>
        <v>94580.640000000014</v>
      </c>
      <c r="J1223" s="1669">
        <f t="shared" si="188"/>
        <v>656810</v>
      </c>
      <c r="K1223" s="1708"/>
      <c r="L1223" s="1721"/>
      <c r="M1223" s="1710" t="s">
        <v>1016</v>
      </c>
      <c r="N1223" s="1711" t="s">
        <v>659</v>
      </c>
    </row>
    <row r="1224" spans="1:14" ht="24" customHeight="1">
      <c r="A1224" s="1712"/>
      <c r="B1224" s="1673" t="s">
        <v>139</v>
      </c>
      <c r="C1224" s="1674" t="s">
        <v>90</v>
      </c>
      <c r="D1224" s="1675">
        <v>7330.4</v>
      </c>
      <c r="E1224" s="1676" t="s">
        <v>87</v>
      </c>
      <c r="F1224" s="1677">
        <v>21.2</v>
      </c>
      <c r="G1224" s="1677">
        <v>3.6</v>
      </c>
      <c r="H1224" s="1669">
        <f t="shared" si="185"/>
        <v>155404.47999999998</v>
      </c>
      <c r="I1224" s="1678">
        <f t="shared" si="186"/>
        <v>26389.439999999999</v>
      </c>
      <c r="J1224" s="1669">
        <f t="shared" si="188"/>
        <v>181793.91999999998</v>
      </c>
      <c r="K1224" s="1708"/>
      <c r="L1224" s="1721"/>
      <c r="M1224" s="1710" t="s">
        <v>1016</v>
      </c>
      <c r="N1224" s="1711" t="s">
        <v>659</v>
      </c>
    </row>
    <row r="1225" spans="1:14" ht="24" customHeight="1">
      <c r="A1225" s="1712"/>
      <c r="B1225" s="1673" t="s">
        <v>139</v>
      </c>
      <c r="C1225" s="1674" t="s">
        <v>91</v>
      </c>
      <c r="D1225" s="1675">
        <v>2359.1</v>
      </c>
      <c r="E1225" s="1676" t="s">
        <v>87</v>
      </c>
      <c r="F1225" s="1677">
        <v>21.2</v>
      </c>
      <c r="G1225" s="1677">
        <v>3.1</v>
      </c>
      <c r="H1225" s="1669">
        <f t="shared" si="185"/>
        <v>50012.92</v>
      </c>
      <c r="I1225" s="1678">
        <f t="shared" si="186"/>
        <v>7313.21</v>
      </c>
      <c r="J1225" s="1669">
        <f t="shared" si="188"/>
        <v>57326.13</v>
      </c>
      <c r="K1225" s="1708"/>
      <c r="L1225" s="1721"/>
      <c r="M1225" s="1710" t="s">
        <v>1016</v>
      </c>
      <c r="N1225" s="1711" t="s">
        <v>659</v>
      </c>
    </row>
    <row r="1226" spans="1:14" ht="24" customHeight="1">
      <c r="A1226" s="1712"/>
      <c r="B1226" s="1673" t="s">
        <v>139</v>
      </c>
      <c r="C1226" s="1674" t="s">
        <v>1014</v>
      </c>
      <c r="D1226" s="1675">
        <v>1780.4</v>
      </c>
      <c r="E1226" s="1676" t="s">
        <v>87</v>
      </c>
      <c r="F1226" s="1677">
        <v>21.2</v>
      </c>
      <c r="G1226" s="1677">
        <v>3.1</v>
      </c>
      <c r="H1226" s="1669">
        <f t="shared" si="185"/>
        <v>37744.480000000003</v>
      </c>
      <c r="I1226" s="1678">
        <f t="shared" si="186"/>
        <v>5519.2400000000007</v>
      </c>
      <c r="J1226" s="1669">
        <f t="shared" si="188"/>
        <v>43263.72</v>
      </c>
      <c r="K1226" s="1708"/>
      <c r="L1226" s="1721"/>
      <c r="M1226" s="1710" t="s">
        <v>1016</v>
      </c>
      <c r="N1226" s="1711" t="s">
        <v>659</v>
      </c>
    </row>
    <row r="1227" spans="1:14" ht="24" customHeight="1">
      <c r="A1227" s="1712"/>
      <c r="B1227" s="1673" t="s">
        <v>139</v>
      </c>
      <c r="C1227" s="1674" t="s">
        <v>200</v>
      </c>
      <c r="D1227" s="1675">
        <f>SUM(D1222:D1226)*0.03</f>
        <v>1184.943</v>
      </c>
      <c r="E1227" s="1676" t="s">
        <v>87</v>
      </c>
      <c r="F1227" s="1677">
        <v>25.83</v>
      </c>
      <c r="G1227" s="1677">
        <v>0</v>
      </c>
      <c r="H1227" s="1669">
        <f t="shared" si="185"/>
        <v>30607.077689999998</v>
      </c>
      <c r="I1227" s="1678">
        <f t="shared" si="186"/>
        <v>0</v>
      </c>
      <c r="J1227" s="1669">
        <f t="shared" si="188"/>
        <v>30607.077689999998</v>
      </c>
      <c r="K1227" s="1708"/>
      <c r="L1227" s="1721"/>
      <c r="M1227" s="1710" t="s">
        <v>1019</v>
      </c>
      <c r="N1227" s="1711"/>
    </row>
    <row r="1228" spans="1:14" ht="24" customHeight="1">
      <c r="A1228" s="1712"/>
      <c r="B1228" s="2368" t="s">
        <v>247</v>
      </c>
      <c r="C1228" s="2370"/>
      <c r="D1228" s="1675"/>
      <c r="E1228" s="1676"/>
      <c r="F1228" s="1669"/>
      <c r="G1228" s="1669"/>
      <c r="H1228" s="1669"/>
      <c r="I1228" s="1678"/>
      <c r="J1228" s="1669"/>
      <c r="K1228" s="1708"/>
      <c r="L1228" s="1721"/>
      <c r="M1228" s="1711"/>
      <c r="N1228" s="1711"/>
    </row>
    <row r="1229" spans="1:14" ht="24" customHeight="1">
      <c r="A1229" s="1712"/>
      <c r="B1229" s="2368" t="s">
        <v>415</v>
      </c>
      <c r="C1229" s="2370"/>
      <c r="D1229" s="1675"/>
      <c r="E1229" s="1676"/>
      <c r="F1229" s="1669"/>
      <c r="G1229" s="1669"/>
      <c r="H1229" s="1669"/>
      <c r="I1229" s="1678"/>
      <c r="J1229" s="1669"/>
      <c r="K1229" s="1708"/>
      <c r="L1229" s="1721"/>
      <c r="M1229" s="1711"/>
      <c r="N1229" s="1711"/>
    </row>
    <row r="1230" spans="1:14" ht="24" customHeight="1">
      <c r="A1230" s="1712"/>
      <c r="B1230" s="1673" t="s">
        <v>139</v>
      </c>
      <c r="C1230" s="1674" t="s">
        <v>228</v>
      </c>
      <c r="D1230" s="1675">
        <v>66.5</v>
      </c>
      <c r="E1230" s="1676" t="s">
        <v>85</v>
      </c>
      <c r="F1230" s="1736">
        <v>2679.9</v>
      </c>
      <c r="G1230" s="1736">
        <v>519</v>
      </c>
      <c r="H1230" s="1669">
        <f t="shared" ref="H1230:H1236" si="189">F1230*D1230</f>
        <v>178213.35</v>
      </c>
      <c r="I1230" s="1678">
        <f t="shared" ref="I1230:I1236" si="190">G1230*D1230</f>
        <v>34513.5</v>
      </c>
      <c r="J1230" s="1669">
        <f t="shared" ref="J1230:J1236" si="191">SUM(H1230:I1230)</f>
        <v>212726.85</v>
      </c>
      <c r="K1230" s="1708"/>
      <c r="L1230" s="1721"/>
      <c r="M1230" s="1710" t="s">
        <v>1016</v>
      </c>
      <c r="N1230" s="1711" t="s">
        <v>659</v>
      </c>
    </row>
    <row r="1231" spans="1:14" ht="24" customHeight="1">
      <c r="A1231" s="1712"/>
      <c r="B1231" s="2368" t="s">
        <v>226</v>
      </c>
      <c r="C1231" s="2370"/>
      <c r="D1231" s="1675">
        <v>363.5</v>
      </c>
      <c r="E1231" s="1676"/>
      <c r="F1231" s="1736"/>
      <c r="G1231" s="1736"/>
      <c r="H1231" s="1669"/>
      <c r="I1231" s="1678"/>
      <c r="J1231" s="1669"/>
      <c r="K1231" s="1708"/>
      <c r="L1231" s="1721"/>
      <c r="M1231" s="1711"/>
      <c r="N1231" s="1711"/>
    </row>
    <row r="1232" spans="1:14" ht="24" customHeight="1">
      <c r="A1232" s="1712"/>
      <c r="B1232" s="1673" t="s">
        <v>139</v>
      </c>
      <c r="C1232" s="1674" t="s">
        <v>1784</v>
      </c>
      <c r="D1232" s="1675">
        <f>D1231</f>
        <v>363.5</v>
      </c>
      <c r="E1232" s="1676" t="s">
        <v>86</v>
      </c>
      <c r="F1232" s="1736">
        <v>0</v>
      </c>
      <c r="G1232" s="1669">
        <v>121</v>
      </c>
      <c r="H1232" s="1669">
        <f t="shared" si="189"/>
        <v>0</v>
      </c>
      <c r="I1232" s="1678">
        <f t="shared" si="190"/>
        <v>43983.5</v>
      </c>
      <c r="J1232" s="1669">
        <f t="shared" si="191"/>
        <v>43983.5</v>
      </c>
      <c r="K1232" s="1708"/>
      <c r="L1232" s="1721"/>
      <c r="M1232" s="1710" t="s">
        <v>1017</v>
      </c>
      <c r="N1232" s="1711" t="s">
        <v>659</v>
      </c>
    </row>
    <row r="1233" spans="1:14" ht="24" customHeight="1">
      <c r="A1233" s="1712"/>
      <c r="B1233" s="1673" t="s">
        <v>139</v>
      </c>
      <c r="C1233" s="1674" t="s">
        <v>198</v>
      </c>
      <c r="D1233" s="1675">
        <f>D1231*0.5</f>
        <v>181.75</v>
      </c>
      <c r="E1233" s="1676" t="s">
        <v>164</v>
      </c>
      <c r="F1233" s="1736">
        <v>400</v>
      </c>
      <c r="G1233" s="1736">
        <v>0</v>
      </c>
      <c r="H1233" s="1669">
        <f t="shared" si="189"/>
        <v>72700</v>
      </c>
      <c r="I1233" s="1678">
        <f t="shared" si="190"/>
        <v>0</v>
      </c>
      <c r="J1233" s="1669">
        <f t="shared" si="191"/>
        <v>72700</v>
      </c>
      <c r="K1233" s="1708"/>
      <c r="L1233" s="1721"/>
      <c r="M1233" s="1710" t="s">
        <v>1018</v>
      </c>
      <c r="N1233" s="1711"/>
    </row>
    <row r="1234" spans="1:14" ht="24" customHeight="1">
      <c r="A1234" s="1712"/>
      <c r="B1234" s="1673" t="s">
        <v>139</v>
      </c>
      <c r="C1234" s="1674" t="s">
        <v>1782</v>
      </c>
      <c r="D1234" s="1675">
        <f>D1233*0.3</f>
        <v>54.524999999999999</v>
      </c>
      <c r="E1234" s="1676" t="s">
        <v>164</v>
      </c>
      <c r="F1234" s="1736">
        <v>400</v>
      </c>
      <c r="G1234" s="1736">
        <v>0</v>
      </c>
      <c r="H1234" s="1669">
        <f t="shared" si="189"/>
        <v>21810</v>
      </c>
      <c r="I1234" s="1678">
        <f t="shared" si="190"/>
        <v>0</v>
      </c>
      <c r="J1234" s="1669">
        <f t="shared" si="191"/>
        <v>21810</v>
      </c>
      <c r="K1234" s="1708"/>
      <c r="L1234" s="1721"/>
      <c r="M1234" s="1710" t="s">
        <v>1018</v>
      </c>
      <c r="N1234" s="1685"/>
    </row>
    <row r="1235" spans="1:14" ht="24" customHeight="1">
      <c r="A1235" s="1702"/>
      <c r="B1235" s="1703" t="s">
        <v>139</v>
      </c>
      <c r="C1235" s="1743" t="s">
        <v>163</v>
      </c>
      <c r="D1235" s="1705">
        <f>D1231</f>
        <v>363.5</v>
      </c>
      <c r="E1235" s="1706" t="s">
        <v>83</v>
      </c>
      <c r="F1235" s="1742">
        <v>28</v>
      </c>
      <c r="G1235" s="1742">
        <v>0</v>
      </c>
      <c r="H1235" s="1707">
        <f t="shared" si="189"/>
        <v>10178</v>
      </c>
      <c r="I1235" s="1669">
        <f t="shared" si="190"/>
        <v>0</v>
      </c>
      <c r="J1235" s="1669">
        <f t="shared" si="191"/>
        <v>10178</v>
      </c>
      <c r="K1235" s="1708"/>
      <c r="L1235" s="1721"/>
      <c r="M1235" s="1710" t="s">
        <v>1018</v>
      </c>
      <c r="N1235" s="1685"/>
    </row>
    <row r="1236" spans="1:14" ht="24" customHeight="1">
      <c r="A1236" s="1712"/>
      <c r="B1236" s="1673" t="s">
        <v>139</v>
      </c>
      <c r="C1236" s="1674" t="s">
        <v>1781</v>
      </c>
      <c r="D1236" s="1675">
        <f>D1231*0.25</f>
        <v>90.875</v>
      </c>
      <c r="E1236" s="1676" t="s">
        <v>87</v>
      </c>
      <c r="F1236" s="1736">
        <v>23.89</v>
      </c>
      <c r="G1236" s="1736">
        <v>0</v>
      </c>
      <c r="H1236" s="1669">
        <f t="shared" si="189"/>
        <v>2171.0037499999999</v>
      </c>
      <c r="I1236" s="1669">
        <f t="shared" si="190"/>
        <v>0</v>
      </c>
      <c r="J1236" s="1669">
        <f t="shared" si="191"/>
        <v>2171.0037499999999</v>
      </c>
      <c r="K1236" s="1708"/>
      <c r="L1236" s="1721"/>
      <c r="M1236" s="1710" t="s">
        <v>660</v>
      </c>
      <c r="N1236" s="1685"/>
    </row>
    <row r="1237" spans="1:14" ht="24" customHeight="1">
      <c r="A1237" s="1712"/>
      <c r="B1237" s="2368" t="s">
        <v>248</v>
      </c>
      <c r="C1237" s="2370"/>
      <c r="D1237" s="1675"/>
      <c r="E1237" s="1676"/>
      <c r="F1237" s="1669"/>
      <c r="G1237" s="1669"/>
      <c r="H1237" s="1669"/>
      <c r="I1237" s="1669"/>
      <c r="J1237" s="1669"/>
      <c r="K1237" s="1708"/>
      <c r="L1237" s="1721"/>
      <c r="M1237" s="1711"/>
      <c r="N1237" s="1711"/>
    </row>
    <row r="1238" spans="1:14" ht="24" customHeight="1">
      <c r="A1238" s="1712"/>
      <c r="B1238" s="1673" t="s">
        <v>139</v>
      </c>
      <c r="C1238" s="1674" t="s">
        <v>88</v>
      </c>
      <c r="D1238" s="1675">
        <v>1868.1</v>
      </c>
      <c r="E1238" s="1676" t="s">
        <v>87</v>
      </c>
      <c r="F1238" s="1677">
        <v>21.4</v>
      </c>
      <c r="G1238" s="1677">
        <v>4.4000000000000004</v>
      </c>
      <c r="H1238" s="1669">
        <f>F1238*D1238</f>
        <v>39977.339999999997</v>
      </c>
      <c r="I1238" s="1669">
        <f>G1238*D1238</f>
        <v>8219.64</v>
      </c>
      <c r="J1238" s="1669">
        <f>SUM(H1238:I1238)</f>
        <v>48196.979999999996</v>
      </c>
      <c r="K1238" s="1708"/>
      <c r="L1238" s="1721"/>
      <c r="M1238" s="1710" t="s">
        <v>1016</v>
      </c>
      <c r="N1238" s="1711" t="s">
        <v>659</v>
      </c>
    </row>
    <row r="1239" spans="1:14" ht="24" customHeight="1">
      <c r="A1239" s="1712"/>
      <c r="B1239" s="1673" t="s">
        <v>139</v>
      </c>
      <c r="C1239" s="1674" t="s">
        <v>1014</v>
      </c>
      <c r="D1239" s="1675">
        <v>8946.4</v>
      </c>
      <c r="E1239" s="1676" t="s">
        <v>87</v>
      </c>
      <c r="F1239" s="1677">
        <v>21.2</v>
      </c>
      <c r="G1239" s="1677">
        <v>3.1</v>
      </c>
      <c r="H1239" s="1669">
        <f>F1239*D1239</f>
        <v>189663.68</v>
      </c>
      <c r="I1239" s="1669">
        <f>G1239*D1239</f>
        <v>27733.84</v>
      </c>
      <c r="J1239" s="1669">
        <f>SUM(H1239:I1239)</f>
        <v>217397.52</v>
      </c>
      <c r="K1239" s="1708"/>
      <c r="L1239" s="1721"/>
      <c r="M1239" s="1710" t="s">
        <v>1016</v>
      </c>
      <c r="N1239" s="1711" t="s">
        <v>659</v>
      </c>
    </row>
    <row r="1240" spans="1:14" ht="24" customHeight="1">
      <c r="A1240" s="1712"/>
      <c r="B1240" s="1673" t="s">
        <v>139</v>
      </c>
      <c r="C1240" s="1674" t="s">
        <v>200</v>
      </c>
      <c r="D1240" s="1675">
        <f>SUM(D1238:D1239)*0.03</f>
        <v>324.435</v>
      </c>
      <c r="E1240" s="1676" t="s">
        <v>87</v>
      </c>
      <c r="F1240" s="1677">
        <v>25.83</v>
      </c>
      <c r="G1240" s="1677">
        <v>0</v>
      </c>
      <c r="H1240" s="1669">
        <f>F1240*D1240</f>
        <v>8380.1560499999996</v>
      </c>
      <c r="I1240" s="1669">
        <f>G1240*D1240</f>
        <v>0</v>
      </c>
      <c r="J1240" s="1669">
        <f>SUM(H1240:I1240)</f>
        <v>8380.1560499999996</v>
      </c>
      <c r="K1240" s="1708"/>
      <c r="L1240" s="1721"/>
      <c r="M1240" s="1710" t="s">
        <v>1019</v>
      </c>
      <c r="N1240" s="1711"/>
    </row>
    <row r="1241" spans="1:14" ht="24" customHeight="1">
      <c r="A1241" s="1712"/>
      <c r="B1241" s="1748" t="s">
        <v>250</v>
      </c>
      <c r="C1241" s="1674"/>
      <c r="D1241" s="1675"/>
      <c r="E1241" s="1676"/>
      <c r="F1241" s="1677"/>
      <c r="G1241" s="1677"/>
      <c r="H1241" s="1669"/>
      <c r="I1241" s="1669"/>
      <c r="J1241" s="1669"/>
      <c r="K1241" s="1708"/>
      <c r="L1241" s="1721"/>
      <c r="M1241" s="1710"/>
      <c r="N1241" s="1711"/>
    </row>
    <row r="1242" spans="1:14" ht="24" customHeight="1">
      <c r="A1242" s="1712"/>
      <c r="B1242" s="2368" t="s">
        <v>422</v>
      </c>
      <c r="C1242" s="2370"/>
      <c r="D1242" s="1675"/>
      <c r="E1242" s="1676"/>
      <c r="F1242" s="1669"/>
      <c r="G1242" s="1669"/>
      <c r="H1242" s="1669"/>
      <c r="I1242" s="1669"/>
      <c r="J1242" s="1669"/>
      <c r="K1242" s="1708"/>
      <c r="L1242" s="1721"/>
      <c r="M1242" s="1711"/>
      <c r="N1242" s="1711"/>
    </row>
    <row r="1243" spans="1:14" ht="24" customHeight="1">
      <c r="A1243" s="1712"/>
      <c r="B1243" s="1673" t="s">
        <v>139</v>
      </c>
      <c r="C1243" s="1674" t="s">
        <v>228</v>
      </c>
      <c r="D1243" s="1675">
        <v>2.6</v>
      </c>
      <c r="E1243" s="1676" t="s">
        <v>85</v>
      </c>
      <c r="F1243" s="1736">
        <v>2679.9</v>
      </c>
      <c r="G1243" s="1736">
        <v>519</v>
      </c>
      <c r="H1243" s="1669">
        <f t="shared" ref="H1243:H1256" si="192">F1243*D1243</f>
        <v>6967.7400000000007</v>
      </c>
      <c r="I1243" s="1669">
        <f t="shared" ref="I1243:I1256" si="193">G1243*D1243</f>
        <v>1349.4</v>
      </c>
      <c r="J1243" s="1669">
        <f t="shared" ref="J1243:J1256" si="194">SUM(H1243:I1243)</f>
        <v>8317.1400000000012</v>
      </c>
      <c r="K1243" s="1708"/>
      <c r="L1243" s="1721"/>
      <c r="M1243" s="1710" t="s">
        <v>1016</v>
      </c>
      <c r="N1243" s="1711" t="s">
        <v>665</v>
      </c>
    </row>
    <row r="1244" spans="1:14" ht="24" customHeight="1">
      <c r="A1244" s="1780"/>
      <c r="B1244" s="1780"/>
      <c r="C1244" s="1827" t="s">
        <v>133</v>
      </c>
      <c r="D1244" s="2365"/>
      <c r="E1244" s="2365"/>
      <c r="F1244" s="2365"/>
      <c r="G1244" s="2365"/>
      <c r="H1244" s="2365"/>
      <c r="I1244" s="2365"/>
      <c r="J1244" s="2365"/>
      <c r="K1244" s="2365"/>
      <c r="L1244" s="1721"/>
      <c r="M1244" s="1710"/>
      <c r="N1244" s="1711"/>
    </row>
    <row r="1245" spans="1:14" ht="24" customHeight="1">
      <c r="A1245" s="1780"/>
      <c r="B1245" s="2366" t="s">
        <v>1769</v>
      </c>
      <c r="C1245" s="2366"/>
      <c r="D1245" s="1828"/>
      <c r="E1245" s="1769"/>
      <c r="F1245" s="1828"/>
      <c r="G1245" s="1828" t="s">
        <v>134</v>
      </c>
      <c r="H1245" s="1828"/>
      <c r="I1245" s="1828"/>
      <c r="J1245" s="1828"/>
      <c r="K1245" s="1828"/>
      <c r="L1245" s="1721"/>
      <c r="M1245" s="1710"/>
      <c r="N1245" s="1711"/>
    </row>
    <row r="1246" spans="1:14" ht="24" customHeight="1">
      <c r="A1246" s="1780"/>
      <c r="B1246" s="2367" t="s">
        <v>1970</v>
      </c>
      <c r="C1246" s="2367"/>
      <c r="D1246" s="1831"/>
      <c r="E1246" s="1832"/>
      <c r="F1246" s="1833"/>
      <c r="G1246" s="1833" t="s">
        <v>1971</v>
      </c>
      <c r="H1246" s="1833"/>
      <c r="I1246" s="1833"/>
      <c r="J1246" s="1833"/>
      <c r="K1246" s="1833"/>
      <c r="L1246" s="1721"/>
      <c r="M1246" s="1710"/>
      <c r="N1246" s="1711"/>
    </row>
    <row r="1247" spans="1:14" ht="24" customHeight="1">
      <c r="A1247" s="1830"/>
      <c r="B1247" s="1828" t="s">
        <v>2031</v>
      </c>
      <c r="C1247" s="1830"/>
      <c r="D1247" s="1830"/>
      <c r="E1247" s="1830"/>
      <c r="F1247" s="1830"/>
      <c r="G1247" s="1828" t="s">
        <v>2031</v>
      </c>
      <c r="H1247" s="1830"/>
      <c r="I1247" s="1830"/>
      <c r="J1247" s="1830"/>
      <c r="K1247" s="1830"/>
      <c r="L1247" s="1721"/>
      <c r="M1247" s="1710"/>
      <c r="N1247" s="1711"/>
    </row>
    <row r="1248" spans="1:14" ht="24" customHeight="1">
      <c r="B1248" s="1721" t="s">
        <v>1984</v>
      </c>
      <c r="C1248" s="1830"/>
      <c r="D1248" s="1685"/>
      <c r="E1248" s="1685"/>
      <c r="G1248" s="1721" t="s">
        <v>1985</v>
      </c>
      <c r="H1248" s="1685"/>
      <c r="I1248" s="1685"/>
      <c r="J1248" s="1685"/>
      <c r="K1248" s="1685"/>
      <c r="L1248" s="1721"/>
      <c r="M1248" s="1710"/>
      <c r="N1248" s="1711"/>
    </row>
    <row r="1249" spans="1:14" ht="24" customHeight="1">
      <c r="B1249" s="1828" t="s">
        <v>670</v>
      </c>
      <c r="L1249" s="1721"/>
      <c r="M1249" s="1710"/>
      <c r="N1249" s="1711"/>
    </row>
    <row r="1250" spans="1:14" ht="24" customHeight="1">
      <c r="B1250" s="1721" t="s">
        <v>1972</v>
      </c>
      <c r="L1250" s="1721"/>
      <c r="M1250" s="1710"/>
      <c r="N1250" s="1711"/>
    </row>
    <row r="1251" spans="1:14" ht="24" customHeight="1">
      <c r="A1251" s="1712"/>
      <c r="B1251" s="2368" t="s">
        <v>227</v>
      </c>
      <c r="C1251" s="2370"/>
      <c r="D1251" s="1675">
        <v>28.2</v>
      </c>
      <c r="E1251" s="1676"/>
      <c r="F1251" s="1669"/>
      <c r="G1251" s="1669"/>
      <c r="H1251" s="1669"/>
      <c r="I1251" s="1669"/>
      <c r="J1251" s="1669"/>
      <c r="K1251" s="1708"/>
      <c r="L1251" s="1721"/>
      <c r="M1251" s="1711"/>
      <c r="N1251" s="1711"/>
    </row>
    <row r="1252" spans="1:14" ht="24" customHeight="1">
      <c r="A1252" s="1712"/>
      <c r="B1252" s="1673" t="s">
        <v>139</v>
      </c>
      <c r="C1252" s="1674" t="s">
        <v>1784</v>
      </c>
      <c r="D1252" s="1675">
        <f>D1251</f>
        <v>28.2</v>
      </c>
      <c r="E1252" s="1676" t="s">
        <v>86</v>
      </c>
      <c r="F1252" s="1669"/>
      <c r="G1252" s="1669">
        <v>121</v>
      </c>
      <c r="H1252" s="1669">
        <f t="shared" si="192"/>
        <v>0</v>
      </c>
      <c r="I1252" s="1669">
        <f t="shared" si="193"/>
        <v>3412.2</v>
      </c>
      <c r="J1252" s="1669">
        <f t="shared" si="194"/>
        <v>3412.2</v>
      </c>
      <c r="K1252" s="1708"/>
      <c r="L1252" s="1721"/>
      <c r="M1252" s="1710" t="s">
        <v>1017</v>
      </c>
      <c r="N1252" s="1711" t="s">
        <v>665</v>
      </c>
    </row>
    <row r="1253" spans="1:14" ht="24" customHeight="1">
      <c r="A1253" s="1712"/>
      <c r="B1253" s="1673" t="s">
        <v>139</v>
      </c>
      <c r="C1253" s="1674" t="s">
        <v>198</v>
      </c>
      <c r="D1253" s="1675">
        <f>D1251*0.5</f>
        <v>14.1</v>
      </c>
      <c r="E1253" s="1676" t="s">
        <v>164</v>
      </c>
      <c r="F1253" s="1669">
        <v>400</v>
      </c>
      <c r="G1253" s="1669"/>
      <c r="H1253" s="1669">
        <f t="shared" si="192"/>
        <v>5640</v>
      </c>
      <c r="I1253" s="1669">
        <f t="shared" si="193"/>
        <v>0</v>
      </c>
      <c r="J1253" s="1669">
        <f t="shared" si="194"/>
        <v>5640</v>
      </c>
      <c r="K1253" s="1708"/>
      <c r="L1253" s="1721"/>
      <c r="M1253" s="1710" t="s">
        <v>1018</v>
      </c>
      <c r="N1253" s="1711"/>
    </row>
    <row r="1254" spans="1:14" ht="24" customHeight="1">
      <c r="A1254" s="1712"/>
      <c r="B1254" s="1673" t="s">
        <v>139</v>
      </c>
      <c r="C1254" s="1674" t="s">
        <v>1782</v>
      </c>
      <c r="D1254" s="1675">
        <f>D1253*0.3</f>
        <v>4.2299999999999995</v>
      </c>
      <c r="E1254" s="1676" t="s">
        <v>164</v>
      </c>
      <c r="F1254" s="1669">
        <v>400</v>
      </c>
      <c r="G1254" s="1669">
        <v>0</v>
      </c>
      <c r="H1254" s="1669">
        <f t="shared" si="192"/>
        <v>1691.9999999999998</v>
      </c>
      <c r="I1254" s="1669">
        <f t="shared" si="193"/>
        <v>0</v>
      </c>
      <c r="J1254" s="1669">
        <f t="shared" si="194"/>
        <v>1691.9999999999998</v>
      </c>
      <c r="K1254" s="1708"/>
      <c r="L1254" s="1721"/>
      <c r="M1254" s="1710" t="s">
        <v>1018</v>
      </c>
      <c r="N1254" s="1711"/>
    </row>
    <row r="1255" spans="1:14" ht="24" customHeight="1">
      <c r="A1255" s="1712"/>
      <c r="B1255" s="1673" t="s">
        <v>139</v>
      </c>
      <c r="C1255" s="1674" t="s">
        <v>1142</v>
      </c>
      <c r="D1255" s="1675">
        <v>34</v>
      </c>
      <c r="E1255" s="1676" t="s">
        <v>83</v>
      </c>
      <c r="F1255" s="1669">
        <v>28</v>
      </c>
      <c r="G1255" s="1669">
        <v>0</v>
      </c>
      <c r="H1255" s="1669">
        <f t="shared" si="192"/>
        <v>952</v>
      </c>
      <c r="I1255" s="1669">
        <f t="shared" si="193"/>
        <v>0</v>
      </c>
      <c r="J1255" s="1669">
        <f t="shared" si="194"/>
        <v>952</v>
      </c>
      <c r="K1255" s="1708"/>
      <c r="L1255" s="1721"/>
      <c r="M1255" s="1710" t="s">
        <v>1018</v>
      </c>
      <c r="N1255" s="1711"/>
    </row>
    <row r="1256" spans="1:14" ht="24" customHeight="1">
      <c r="A1256" s="1712"/>
      <c r="B1256" s="1673" t="s">
        <v>139</v>
      </c>
      <c r="C1256" s="1674" t="s">
        <v>1781</v>
      </c>
      <c r="D1256" s="1675">
        <f>D1251*0.25</f>
        <v>7.05</v>
      </c>
      <c r="E1256" s="1676" t="s">
        <v>87</v>
      </c>
      <c r="F1256" s="1736">
        <v>23.89</v>
      </c>
      <c r="G1256" s="1736">
        <v>0</v>
      </c>
      <c r="H1256" s="1669">
        <f t="shared" si="192"/>
        <v>168.42449999999999</v>
      </c>
      <c r="I1256" s="1669">
        <f t="shared" si="193"/>
        <v>0</v>
      </c>
      <c r="J1256" s="1669">
        <f t="shared" si="194"/>
        <v>168.42449999999999</v>
      </c>
      <c r="K1256" s="1708"/>
      <c r="L1256" s="1721"/>
      <c r="M1256" s="1710" t="s">
        <v>660</v>
      </c>
      <c r="N1256" s="1711"/>
    </row>
    <row r="1257" spans="1:14" ht="24" customHeight="1">
      <c r="A1257" s="1712"/>
      <c r="B1257" s="2368" t="s">
        <v>251</v>
      </c>
      <c r="C1257" s="2370"/>
      <c r="D1257" s="1675"/>
      <c r="E1257" s="1676"/>
      <c r="F1257" s="1669"/>
      <c r="G1257" s="1669"/>
      <c r="H1257" s="1669"/>
      <c r="I1257" s="1669"/>
      <c r="J1257" s="1669"/>
      <c r="K1257" s="1708"/>
      <c r="L1257" s="1721"/>
      <c r="M1257" s="1711"/>
      <c r="N1257" s="1711"/>
    </row>
    <row r="1258" spans="1:14" ht="24" customHeight="1">
      <c r="A1258" s="1712"/>
      <c r="B1258" s="1673" t="s">
        <v>139</v>
      </c>
      <c r="C1258" s="1674" t="s">
        <v>88</v>
      </c>
      <c r="D1258" s="1675">
        <v>144.5</v>
      </c>
      <c r="E1258" s="1676" t="s">
        <v>87</v>
      </c>
      <c r="F1258" s="1677">
        <v>21.4</v>
      </c>
      <c r="G1258" s="1677">
        <v>4.4000000000000004</v>
      </c>
      <c r="H1258" s="1669">
        <f>F1258*D1258</f>
        <v>3092.2999999999997</v>
      </c>
      <c r="I1258" s="1669">
        <f>G1258*D1258</f>
        <v>635.80000000000007</v>
      </c>
      <c r="J1258" s="1669">
        <f>SUM(H1258:I1258)</f>
        <v>3728.1</v>
      </c>
      <c r="K1258" s="1708"/>
      <c r="L1258" s="1721"/>
      <c r="M1258" s="1710" t="s">
        <v>1016</v>
      </c>
      <c r="N1258" s="1711" t="s">
        <v>665</v>
      </c>
    </row>
    <row r="1259" spans="1:14" ht="24" customHeight="1">
      <c r="A1259" s="1712"/>
      <c r="B1259" s="1673" t="s">
        <v>139</v>
      </c>
      <c r="C1259" s="1674" t="s">
        <v>89</v>
      </c>
      <c r="D1259" s="1675">
        <v>43.5</v>
      </c>
      <c r="E1259" s="1676" t="s">
        <v>87</v>
      </c>
      <c r="F1259" s="1677">
        <v>21.4</v>
      </c>
      <c r="G1259" s="1677">
        <v>3.6</v>
      </c>
      <c r="H1259" s="1669">
        <f>F1259*D1259</f>
        <v>930.9</v>
      </c>
      <c r="I1259" s="1669">
        <f>G1259*D1259</f>
        <v>156.6</v>
      </c>
      <c r="J1259" s="1669">
        <f>SUM(H1259:I1259)</f>
        <v>1087.5</v>
      </c>
      <c r="K1259" s="1708"/>
      <c r="L1259" s="1721"/>
      <c r="M1259" s="1710" t="s">
        <v>1016</v>
      </c>
      <c r="N1259" s="1711" t="s">
        <v>659</v>
      </c>
    </row>
    <row r="1260" spans="1:14" ht="24" customHeight="1">
      <c r="A1260" s="1712"/>
      <c r="B1260" s="1673" t="s">
        <v>139</v>
      </c>
      <c r="C1260" s="1674" t="s">
        <v>90</v>
      </c>
      <c r="D1260" s="1675">
        <v>501.8</v>
      </c>
      <c r="E1260" s="1676" t="s">
        <v>87</v>
      </c>
      <c r="F1260" s="1677">
        <v>21.2</v>
      </c>
      <c r="G1260" s="1677">
        <v>3.6</v>
      </c>
      <c r="H1260" s="1669">
        <f>F1260*D1260</f>
        <v>10638.16</v>
      </c>
      <c r="I1260" s="1669">
        <f>G1260*D1260</f>
        <v>1806.48</v>
      </c>
      <c r="J1260" s="1669">
        <f>SUM(H1260:I1260)</f>
        <v>12444.64</v>
      </c>
      <c r="K1260" s="1708"/>
      <c r="L1260" s="1721"/>
      <c r="M1260" s="1710" t="s">
        <v>1016</v>
      </c>
      <c r="N1260" s="1711" t="s">
        <v>665</v>
      </c>
    </row>
    <row r="1261" spans="1:14" ht="24" customHeight="1">
      <c r="A1261" s="1712"/>
      <c r="B1261" s="1673" t="s">
        <v>139</v>
      </c>
      <c r="C1261" s="1674" t="s">
        <v>91</v>
      </c>
      <c r="D1261" s="1675">
        <v>165.3</v>
      </c>
      <c r="E1261" s="1676" t="s">
        <v>87</v>
      </c>
      <c r="F1261" s="1677">
        <v>21.2</v>
      </c>
      <c r="G1261" s="1677">
        <v>3.1</v>
      </c>
      <c r="H1261" s="1669">
        <f>F1261*D1261</f>
        <v>3504.36</v>
      </c>
      <c r="I1261" s="1669">
        <f>G1261*D1261</f>
        <v>512.43000000000006</v>
      </c>
      <c r="J1261" s="1669">
        <f>SUM(H1261:I1261)</f>
        <v>4016.79</v>
      </c>
      <c r="K1261" s="1708"/>
      <c r="L1261" s="1721"/>
      <c r="M1261" s="1710" t="s">
        <v>1016</v>
      </c>
      <c r="N1261" s="1711" t="s">
        <v>659</v>
      </c>
    </row>
    <row r="1262" spans="1:14" ht="24" customHeight="1">
      <c r="A1262" s="1712"/>
      <c r="B1262" s="1673" t="s">
        <v>139</v>
      </c>
      <c r="C1262" s="1674" t="s">
        <v>200</v>
      </c>
      <c r="D1262" s="1675">
        <f>SUM(D1258:D1261)*0.03</f>
        <v>25.652999999999995</v>
      </c>
      <c r="E1262" s="1676" t="s">
        <v>87</v>
      </c>
      <c r="F1262" s="1677">
        <v>25.83</v>
      </c>
      <c r="G1262" s="1677">
        <v>0</v>
      </c>
      <c r="H1262" s="1669">
        <f>F1262*D1262</f>
        <v>662.61698999999987</v>
      </c>
      <c r="I1262" s="1669">
        <f>G1262*D1262</f>
        <v>0</v>
      </c>
      <c r="J1262" s="1669">
        <f>SUM(H1262:I1262)</f>
        <v>662.61698999999987</v>
      </c>
      <c r="K1262" s="1708"/>
      <c r="L1262" s="1721"/>
      <c r="M1262" s="1710" t="s">
        <v>1019</v>
      </c>
      <c r="N1262" s="1711"/>
    </row>
    <row r="1263" spans="1:14" ht="24" customHeight="1">
      <c r="A1263" s="1712"/>
      <c r="B1263" s="2368" t="s">
        <v>249</v>
      </c>
      <c r="C1263" s="2370"/>
      <c r="D1263" s="1675"/>
      <c r="E1263" s="1676"/>
      <c r="F1263" s="1669"/>
      <c r="G1263" s="1669"/>
      <c r="H1263" s="1669"/>
      <c r="I1263" s="1669"/>
      <c r="J1263" s="1669"/>
      <c r="K1263" s="1708"/>
      <c r="L1263" s="1721"/>
      <c r="M1263" s="1711"/>
      <c r="N1263" s="1711"/>
    </row>
    <row r="1264" spans="1:14" ht="24" customHeight="1">
      <c r="A1264" s="1712"/>
      <c r="B1264" s="2368" t="s">
        <v>394</v>
      </c>
      <c r="C1264" s="2370"/>
      <c r="D1264" s="1675"/>
      <c r="E1264" s="1676"/>
      <c r="F1264" s="1669"/>
      <c r="G1264" s="1669"/>
      <c r="H1264" s="1669"/>
      <c r="I1264" s="1669"/>
      <c r="J1264" s="1669"/>
      <c r="K1264" s="1708"/>
      <c r="L1264" s="1721"/>
      <c r="M1264" s="1711"/>
      <c r="N1264" s="1711"/>
    </row>
    <row r="1265" spans="1:14" ht="24" customHeight="1">
      <c r="A1265" s="1712"/>
      <c r="B1265" s="2368" t="s">
        <v>416</v>
      </c>
      <c r="C1265" s="2370"/>
      <c r="D1265" s="1675"/>
      <c r="E1265" s="1676"/>
      <c r="F1265" s="1669"/>
      <c r="G1265" s="1669"/>
      <c r="H1265" s="1669"/>
      <c r="I1265" s="1669"/>
      <c r="J1265" s="1669"/>
      <c r="K1265" s="1708"/>
      <c r="L1265" s="1721"/>
      <c r="M1265" s="1711"/>
      <c r="N1265" s="1711"/>
    </row>
    <row r="1266" spans="1:14" ht="24" customHeight="1">
      <c r="A1266" s="1712"/>
      <c r="B1266" s="1673" t="s">
        <v>139</v>
      </c>
      <c r="C1266" s="1674" t="s">
        <v>228</v>
      </c>
      <c r="D1266" s="1675">
        <v>4.5</v>
      </c>
      <c r="E1266" s="1676" t="s">
        <v>85</v>
      </c>
      <c r="F1266" s="1736">
        <v>2679.9</v>
      </c>
      <c r="G1266" s="1736">
        <v>519</v>
      </c>
      <c r="H1266" s="1669">
        <f t="shared" ref="H1266:H1284" si="195">F1266*D1266</f>
        <v>12059.550000000001</v>
      </c>
      <c r="I1266" s="1669">
        <f t="shared" ref="I1266:I1284" si="196">G1266*D1266</f>
        <v>2335.5</v>
      </c>
      <c r="J1266" s="1669">
        <f t="shared" ref="J1266:J1272" si="197">SUM(H1266:I1266)</f>
        <v>14395.050000000001</v>
      </c>
      <c r="K1266" s="1708"/>
      <c r="L1266" s="1721"/>
      <c r="M1266" s="1710" t="s">
        <v>1016</v>
      </c>
      <c r="N1266" s="1711" t="s">
        <v>664</v>
      </c>
    </row>
    <row r="1267" spans="1:14" ht="24" customHeight="1">
      <c r="A1267" s="1712"/>
      <c r="B1267" s="2368" t="s">
        <v>418</v>
      </c>
      <c r="C1267" s="2370"/>
      <c r="D1267" s="1675">
        <v>22.5</v>
      </c>
      <c r="E1267" s="1676"/>
      <c r="F1267" s="1669"/>
      <c r="G1267" s="1669"/>
      <c r="H1267" s="1669"/>
      <c r="I1267" s="1669"/>
      <c r="J1267" s="1669"/>
      <c r="K1267" s="1708"/>
      <c r="L1267" s="1721"/>
      <c r="M1267" s="1711"/>
      <c r="N1267" s="1711"/>
    </row>
    <row r="1268" spans="1:14" ht="24" customHeight="1">
      <c r="A1268" s="1712"/>
      <c r="B1268" s="1673" t="s">
        <v>139</v>
      </c>
      <c r="C1268" s="1674" t="s">
        <v>165</v>
      </c>
      <c r="D1268" s="1675">
        <f>D1267</f>
        <v>22.5</v>
      </c>
      <c r="E1268" s="1676" t="s">
        <v>86</v>
      </c>
      <c r="F1268" s="1669"/>
      <c r="G1268" s="1669">
        <v>121</v>
      </c>
      <c r="H1268" s="1669">
        <f t="shared" si="195"/>
        <v>0</v>
      </c>
      <c r="I1268" s="1669">
        <f t="shared" si="196"/>
        <v>2722.5</v>
      </c>
      <c r="J1268" s="1669">
        <f t="shared" si="197"/>
        <v>2722.5</v>
      </c>
      <c r="K1268" s="1708"/>
      <c r="L1268" s="1721"/>
      <c r="M1268" s="1710" t="s">
        <v>1017</v>
      </c>
      <c r="N1268" s="1711" t="s">
        <v>664</v>
      </c>
    </row>
    <row r="1269" spans="1:14" ht="24" customHeight="1">
      <c r="A1269" s="1712"/>
      <c r="B1269" s="1673" t="s">
        <v>139</v>
      </c>
      <c r="C1269" s="1674" t="s">
        <v>198</v>
      </c>
      <c r="D1269" s="1675">
        <f>D1267*0.5</f>
        <v>11.25</v>
      </c>
      <c r="E1269" s="1676" t="s">
        <v>164</v>
      </c>
      <c r="F1269" s="1669">
        <v>400</v>
      </c>
      <c r="G1269" s="1669"/>
      <c r="H1269" s="1669">
        <f t="shared" si="195"/>
        <v>4500</v>
      </c>
      <c r="I1269" s="1669">
        <f t="shared" si="196"/>
        <v>0</v>
      </c>
      <c r="J1269" s="1669">
        <f t="shared" si="197"/>
        <v>4500</v>
      </c>
      <c r="K1269" s="1708"/>
      <c r="L1269" s="1721"/>
      <c r="M1269" s="1710" t="s">
        <v>1018</v>
      </c>
      <c r="N1269" s="1711"/>
    </row>
    <row r="1270" spans="1:14" ht="24" customHeight="1">
      <c r="A1270" s="1712"/>
      <c r="B1270" s="1673" t="s">
        <v>139</v>
      </c>
      <c r="C1270" s="1674" t="s">
        <v>166</v>
      </c>
      <c r="D1270" s="1675">
        <f>D1269*0.3</f>
        <v>3.375</v>
      </c>
      <c r="E1270" s="1676" t="s">
        <v>164</v>
      </c>
      <c r="F1270" s="1669">
        <v>400</v>
      </c>
      <c r="G1270" s="1669">
        <v>0</v>
      </c>
      <c r="H1270" s="1669">
        <f t="shared" si="195"/>
        <v>1350</v>
      </c>
      <c r="I1270" s="1669">
        <f t="shared" si="196"/>
        <v>0</v>
      </c>
      <c r="J1270" s="1669">
        <f t="shared" si="197"/>
        <v>1350</v>
      </c>
      <c r="K1270" s="1708"/>
      <c r="L1270" s="1721"/>
      <c r="M1270" s="1710" t="s">
        <v>1018</v>
      </c>
      <c r="N1270" s="1711"/>
    </row>
    <row r="1271" spans="1:14" ht="24" customHeight="1">
      <c r="A1271" s="1712"/>
      <c r="B1271" s="1673" t="s">
        <v>139</v>
      </c>
      <c r="C1271" s="1674" t="s">
        <v>163</v>
      </c>
      <c r="D1271" s="1675">
        <f>D1267</f>
        <v>22.5</v>
      </c>
      <c r="E1271" s="1676" t="s">
        <v>83</v>
      </c>
      <c r="F1271" s="1669">
        <v>28</v>
      </c>
      <c r="G1271" s="1669">
        <v>0</v>
      </c>
      <c r="H1271" s="1669">
        <f t="shared" si="195"/>
        <v>630</v>
      </c>
      <c r="I1271" s="1669">
        <f t="shared" si="196"/>
        <v>0</v>
      </c>
      <c r="J1271" s="1669">
        <f t="shared" si="197"/>
        <v>630</v>
      </c>
      <c r="K1271" s="1708"/>
      <c r="L1271" s="1721"/>
      <c r="M1271" s="1710" t="s">
        <v>1018</v>
      </c>
      <c r="N1271" s="1711"/>
    </row>
    <row r="1272" spans="1:14" ht="24" customHeight="1">
      <c r="A1272" s="1712"/>
      <c r="B1272" s="1673" t="s">
        <v>139</v>
      </c>
      <c r="C1272" s="1674" t="s">
        <v>1781</v>
      </c>
      <c r="D1272" s="1675">
        <f>D1267*0.25</f>
        <v>5.625</v>
      </c>
      <c r="E1272" s="1676" t="s">
        <v>87</v>
      </c>
      <c r="F1272" s="1669">
        <v>23.89</v>
      </c>
      <c r="G1272" s="1669">
        <v>0</v>
      </c>
      <c r="H1272" s="1669">
        <f t="shared" si="195"/>
        <v>134.38124999999999</v>
      </c>
      <c r="I1272" s="1669">
        <f t="shared" si="196"/>
        <v>0</v>
      </c>
      <c r="J1272" s="1669">
        <f t="shared" si="197"/>
        <v>134.38124999999999</v>
      </c>
      <c r="K1272" s="1708"/>
      <c r="L1272" s="1721"/>
      <c r="M1272" s="1710" t="s">
        <v>660</v>
      </c>
      <c r="N1272" s="1711"/>
    </row>
    <row r="1273" spans="1:14" ht="24" customHeight="1">
      <c r="A1273" s="1780"/>
      <c r="B1273" s="1780"/>
      <c r="C1273" s="1827" t="s">
        <v>133</v>
      </c>
      <c r="D1273" s="2365"/>
      <c r="E1273" s="2365"/>
      <c r="F1273" s="2365"/>
      <c r="G1273" s="2365"/>
      <c r="H1273" s="2365"/>
      <c r="I1273" s="2365"/>
      <c r="J1273" s="2365"/>
      <c r="K1273" s="2365"/>
      <c r="L1273" s="1721"/>
      <c r="M1273" s="1710"/>
      <c r="N1273" s="1711"/>
    </row>
    <row r="1274" spans="1:14" ht="24" customHeight="1">
      <c r="A1274" s="1780"/>
      <c r="B1274" s="2366" t="s">
        <v>1769</v>
      </c>
      <c r="C1274" s="2366"/>
      <c r="D1274" s="1828"/>
      <c r="E1274" s="1769"/>
      <c r="F1274" s="1828"/>
      <c r="G1274" s="1828" t="s">
        <v>134</v>
      </c>
      <c r="H1274" s="1828"/>
      <c r="I1274" s="1828"/>
      <c r="J1274" s="1828"/>
      <c r="K1274" s="1828"/>
      <c r="L1274" s="1721"/>
      <c r="M1274" s="1710"/>
      <c r="N1274" s="1711"/>
    </row>
    <row r="1275" spans="1:14" ht="24" customHeight="1">
      <c r="A1275" s="1780"/>
      <c r="B1275" s="2367" t="s">
        <v>1970</v>
      </c>
      <c r="C1275" s="2367"/>
      <c r="D1275" s="1831"/>
      <c r="E1275" s="1832"/>
      <c r="F1275" s="1833"/>
      <c r="G1275" s="1833" t="s">
        <v>1971</v>
      </c>
      <c r="H1275" s="1833"/>
      <c r="I1275" s="1833"/>
      <c r="J1275" s="1833"/>
      <c r="K1275" s="1833"/>
      <c r="L1275" s="1721"/>
      <c r="M1275" s="1710"/>
      <c r="N1275" s="1711"/>
    </row>
    <row r="1276" spans="1:14" ht="24" customHeight="1">
      <c r="A1276" s="1830"/>
      <c r="B1276" s="1828" t="s">
        <v>2031</v>
      </c>
      <c r="C1276" s="1830"/>
      <c r="D1276" s="1830"/>
      <c r="E1276" s="1830"/>
      <c r="F1276" s="1830"/>
      <c r="G1276" s="1828" t="s">
        <v>2031</v>
      </c>
      <c r="H1276" s="1830"/>
      <c r="I1276" s="1830"/>
      <c r="J1276" s="1830"/>
      <c r="K1276" s="1830"/>
      <c r="L1276" s="1721"/>
      <c r="M1276" s="1710"/>
      <c r="N1276" s="1711"/>
    </row>
    <row r="1277" spans="1:14" ht="24" customHeight="1">
      <c r="B1277" s="1721" t="s">
        <v>1984</v>
      </c>
      <c r="C1277" s="1830"/>
      <c r="D1277" s="1685"/>
      <c r="E1277" s="1685"/>
      <c r="G1277" s="1721" t="s">
        <v>1985</v>
      </c>
      <c r="H1277" s="1685"/>
      <c r="I1277" s="1685"/>
      <c r="J1277" s="1685"/>
      <c r="K1277" s="1685"/>
      <c r="L1277" s="1721"/>
      <c r="M1277" s="1710"/>
      <c r="N1277" s="1711"/>
    </row>
    <row r="1278" spans="1:14" ht="24" customHeight="1">
      <c r="B1278" s="1828" t="s">
        <v>670</v>
      </c>
      <c r="L1278" s="1721"/>
      <c r="M1278" s="1710"/>
      <c r="N1278" s="1711"/>
    </row>
    <row r="1279" spans="1:14" ht="24" customHeight="1">
      <c r="B1279" s="1721" t="s">
        <v>1972</v>
      </c>
      <c r="L1279" s="1721"/>
      <c r="M1279" s="1710"/>
      <c r="N1279" s="1711"/>
    </row>
    <row r="1280" spans="1:14" ht="24" customHeight="1">
      <c r="A1280" s="1702"/>
      <c r="B1280" s="2369" t="s">
        <v>417</v>
      </c>
      <c r="C1280" s="2373"/>
      <c r="D1280" s="1705"/>
      <c r="E1280" s="1706"/>
      <c r="F1280" s="1707"/>
      <c r="G1280" s="1707"/>
      <c r="H1280" s="1707"/>
      <c r="I1280" s="1707"/>
      <c r="J1280" s="1707"/>
      <c r="K1280" s="1709"/>
      <c r="L1280" s="1721"/>
      <c r="M1280" s="1711"/>
      <c r="N1280" s="1711"/>
    </row>
    <row r="1281" spans="1:14" ht="24" customHeight="1">
      <c r="A1281" s="1712"/>
      <c r="B1281" s="1673" t="s">
        <v>139</v>
      </c>
      <c r="C1281" s="1674" t="s">
        <v>88</v>
      </c>
      <c r="D1281" s="1675">
        <v>168.6</v>
      </c>
      <c r="E1281" s="1676" t="s">
        <v>87</v>
      </c>
      <c r="F1281" s="1677">
        <v>21.4</v>
      </c>
      <c r="G1281" s="1677">
        <v>4.4000000000000004</v>
      </c>
      <c r="H1281" s="1669">
        <f t="shared" si="195"/>
        <v>3608.0399999999995</v>
      </c>
      <c r="I1281" s="1669">
        <f t="shared" si="196"/>
        <v>741.84</v>
      </c>
      <c r="J1281" s="1669">
        <f>SUM(H1281:I1281)</f>
        <v>4349.8799999999992</v>
      </c>
      <c r="K1281" s="1708"/>
      <c r="L1281" s="1721"/>
      <c r="M1281" s="1710" t="s">
        <v>1016</v>
      </c>
      <c r="N1281" s="1711" t="s">
        <v>659</v>
      </c>
    </row>
    <row r="1282" spans="1:14" ht="24" customHeight="1">
      <c r="A1282" s="1712"/>
      <c r="B1282" s="1673" t="s">
        <v>139</v>
      </c>
      <c r="C1282" s="1674" t="s">
        <v>89</v>
      </c>
      <c r="D1282" s="1675">
        <v>100.4</v>
      </c>
      <c r="E1282" s="1676" t="s">
        <v>87</v>
      </c>
      <c r="F1282" s="1677">
        <v>21.4</v>
      </c>
      <c r="G1282" s="1677">
        <v>3.6</v>
      </c>
      <c r="H1282" s="1669">
        <f t="shared" si="195"/>
        <v>2148.56</v>
      </c>
      <c r="I1282" s="1669">
        <f t="shared" si="196"/>
        <v>361.44000000000005</v>
      </c>
      <c r="J1282" s="1669">
        <f>SUM(H1282:I1282)</f>
        <v>2510</v>
      </c>
      <c r="K1282" s="1708"/>
      <c r="L1282" s="1721"/>
      <c r="M1282" s="1710" t="s">
        <v>1016</v>
      </c>
      <c r="N1282" s="1711" t="s">
        <v>659</v>
      </c>
    </row>
    <row r="1283" spans="1:14" ht="24" customHeight="1">
      <c r="A1283" s="1712"/>
      <c r="B1283" s="1673" t="s">
        <v>139</v>
      </c>
      <c r="C1283" s="1674" t="s">
        <v>90</v>
      </c>
      <c r="D1283" s="1675">
        <v>280</v>
      </c>
      <c r="E1283" s="1676" t="s">
        <v>87</v>
      </c>
      <c r="F1283" s="1677">
        <v>21.2</v>
      </c>
      <c r="G1283" s="1677">
        <v>3.6</v>
      </c>
      <c r="H1283" s="1669">
        <f t="shared" si="195"/>
        <v>5936</v>
      </c>
      <c r="I1283" s="1669">
        <f t="shared" si="196"/>
        <v>1008</v>
      </c>
      <c r="J1283" s="1669">
        <f>SUM(H1283:I1283)</f>
        <v>6944</v>
      </c>
      <c r="K1283" s="1708"/>
      <c r="L1283" s="1721"/>
      <c r="M1283" s="1710" t="s">
        <v>1016</v>
      </c>
      <c r="N1283" s="1711" t="s">
        <v>659</v>
      </c>
    </row>
    <row r="1284" spans="1:14" ht="24" customHeight="1">
      <c r="A1284" s="1712"/>
      <c r="B1284" s="1673" t="s">
        <v>139</v>
      </c>
      <c r="C1284" s="1674" t="s">
        <v>200</v>
      </c>
      <c r="D1284" s="1675">
        <f>SUM(D1281:D1283)*0.03</f>
        <v>16.47</v>
      </c>
      <c r="E1284" s="1676" t="s">
        <v>87</v>
      </c>
      <c r="F1284" s="1677">
        <v>25.83</v>
      </c>
      <c r="G1284" s="1677">
        <v>0</v>
      </c>
      <c r="H1284" s="1669">
        <f t="shared" si="195"/>
        <v>425.42009999999993</v>
      </c>
      <c r="I1284" s="1669">
        <f t="shared" si="196"/>
        <v>0</v>
      </c>
      <c r="J1284" s="1669">
        <f>SUM(H1284:I1284)</f>
        <v>425.42009999999993</v>
      </c>
      <c r="K1284" s="1708"/>
      <c r="L1284" s="1721"/>
      <c r="M1284" s="1710" t="s">
        <v>1019</v>
      </c>
      <c r="N1284" s="1711"/>
    </row>
    <row r="1285" spans="1:14" ht="24" customHeight="1">
      <c r="A1285" s="1712"/>
      <c r="B1285" s="2368" t="s">
        <v>395</v>
      </c>
      <c r="C1285" s="2370"/>
      <c r="D1285" s="1675"/>
      <c r="E1285" s="1676"/>
      <c r="F1285" s="1669"/>
      <c r="G1285" s="1669"/>
      <c r="H1285" s="1669"/>
      <c r="I1285" s="1669"/>
      <c r="J1285" s="1669"/>
      <c r="K1285" s="1708"/>
      <c r="L1285" s="1721"/>
      <c r="M1285" s="1711"/>
      <c r="N1285" s="1711"/>
    </row>
    <row r="1286" spans="1:14" ht="24" customHeight="1">
      <c r="A1286" s="1712"/>
      <c r="B1286" s="2368" t="s">
        <v>420</v>
      </c>
      <c r="C1286" s="2370"/>
      <c r="D1286" s="1675"/>
      <c r="E1286" s="1676"/>
      <c r="F1286" s="1669"/>
      <c r="G1286" s="1669"/>
      <c r="H1286" s="1669"/>
      <c r="I1286" s="1669"/>
      <c r="J1286" s="1669"/>
      <c r="K1286" s="1708"/>
      <c r="L1286" s="1721"/>
      <c r="M1286" s="1711"/>
      <c r="N1286" s="1711"/>
    </row>
    <row r="1287" spans="1:14" ht="24" customHeight="1">
      <c r="A1287" s="1712"/>
      <c r="B1287" s="1673" t="s">
        <v>139</v>
      </c>
      <c r="C1287" s="1674" t="s">
        <v>228</v>
      </c>
      <c r="D1287" s="1675">
        <v>5.5</v>
      </c>
      <c r="E1287" s="1676" t="s">
        <v>85</v>
      </c>
      <c r="F1287" s="1736">
        <v>2679.9</v>
      </c>
      <c r="G1287" s="1736">
        <v>519</v>
      </c>
      <c r="H1287" s="1669">
        <f t="shared" ref="H1287:H1298" si="198">F1287*D1287</f>
        <v>14739.45</v>
      </c>
      <c r="I1287" s="1669">
        <f t="shared" ref="I1287:I1298" si="199">G1287*D1287</f>
        <v>2854.5</v>
      </c>
      <c r="J1287" s="1669">
        <f t="shared" ref="J1287:J1293" si="200">SUM(H1287:I1287)</f>
        <v>17593.95</v>
      </c>
      <c r="K1287" s="1708"/>
      <c r="L1287" s="1721"/>
      <c r="M1287" s="1710" t="s">
        <v>1016</v>
      </c>
      <c r="N1287" s="1711" t="s">
        <v>664</v>
      </c>
    </row>
    <row r="1288" spans="1:14" ht="24" customHeight="1">
      <c r="A1288" s="1712"/>
      <c r="B1288" s="2368" t="s">
        <v>421</v>
      </c>
      <c r="C1288" s="2370"/>
      <c r="D1288" s="1675">
        <v>28.6</v>
      </c>
      <c r="E1288" s="1676"/>
      <c r="F1288" s="1669"/>
      <c r="G1288" s="1669"/>
      <c r="H1288" s="1669"/>
      <c r="I1288" s="1669"/>
      <c r="J1288" s="1669"/>
      <c r="K1288" s="1708"/>
      <c r="L1288" s="1721"/>
      <c r="M1288" s="1711"/>
      <c r="N1288" s="1711"/>
    </row>
    <row r="1289" spans="1:14" ht="24" customHeight="1">
      <c r="A1289" s="1712"/>
      <c r="B1289" s="1673" t="s">
        <v>139</v>
      </c>
      <c r="C1289" s="1674" t="s">
        <v>165</v>
      </c>
      <c r="D1289" s="1675">
        <f>D1288</f>
        <v>28.6</v>
      </c>
      <c r="E1289" s="1676" t="s">
        <v>86</v>
      </c>
      <c r="F1289" s="1669"/>
      <c r="G1289" s="1669">
        <v>121</v>
      </c>
      <c r="H1289" s="1669">
        <f t="shared" si="198"/>
        <v>0</v>
      </c>
      <c r="I1289" s="1669">
        <f t="shared" si="199"/>
        <v>3460.6000000000004</v>
      </c>
      <c r="J1289" s="1669">
        <f t="shared" si="200"/>
        <v>3460.6000000000004</v>
      </c>
      <c r="K1289" s="1708"/>
      <c r="L1289" s="1721"/>
      <c r="M1289" s="1710" t="s">
        <v>1017</v>
      </c>
      <c r="N1289" s="1711" t="s">
        <v>664</v>
      </c>
    </row>
    <row r="1290" spans="1:14" ht="24" customHeight="1">
      <c r="A1290" s="1712"/>
      <c r="B1290" s="1673" t="s">
        <v>139</v>
      </c>
      <c r="C1290" s="1674" t="s">
        <v>198</v>
      </c>
      <c r="D1290" s="1675">
        <f>D1288*0.5</f>
        <v>14.3</v>
      </c>
      <c r="E1290" s="1676" t="s">
        <v>164</v>
      </c>
      <c r="F1290" s="1669">
        <v>400</v>
      </c>
      <c r="G1290" s="1669"/>
      <c r="H1290" s="1669">
        <f t="shared" si="198"/>
        <v>5720</v>
      </c>
      <c r="I1290" s="1669">
        <f t="shared" si="199"/>
        <v>0</v>
      </c>
      <c r="J1290" s="1669">
        <f t="shared" si="200"/>
        <v>5720</v>
      </c>
      <c r="K1290" s="1708"/>
      <c r="L1290" s="1721"/>
      <c r="M1290" s="1710" t="s">
        <v>1018</v>
      </c>
      <c r="N1290" s="1711"/>
    </row>
    <row r="1291" spans="1:14" ht="24" customHeight="1">
      <c r="A1291" s="1712"/>
      <c r="B1291" s="1673" t="s">
        <v>139</v>
      </c>
      <c r="C1291" s="1674" t="s">
        <v>166</v>
      </c>
      <c r="D1291" s="1675">
        <f>D1290*0.3</f>
        <v>4.29</v>
      </c>
      <c r="E1291" s="1676" t="s">
        <v>164</v>
      </c>
      <c r="F1291" s="1669">
        <v>400</v>
      </c>
      <c r="G1291" s="1669">
        <v>0</v>
      </c>
      <c r="H1291" s="1669">
        <f t="shared" si="198"/>
        <v>1716</v>
      </c>
      <c r="I1291" s="1669">
        <f t="shared" si="199"/>
        <v>0</v>
      </c>
      <c r="J1291" s="1669">
        <f t="shared" si="200"/>
        <v>1716</v>
      </c>
      <c r="K1291" s="1708"/>
      <c r="L1291" s="1721"/>
      <c r="M1291" s="1710" t="s">
        <v>1018</v>
      </c>
      <c r="N1291" s="1711"/>
    </row>
    <row r="1292" spans="1:14" ht="24" customHeight="1">
      <c r="A1292" s="1712"/>
      <c r="B1292" s="1673" t="s">
        <v>139</v>
      </c>
      <c r="C1292" s="1674" t="s">
        <v>163</v>
      </c>
      <c r="D1292" s="1675">
        <f>D1288</f>
        <v>28.6</v>
      </c>
      <c r="E1292" s="1676" t="s">
        <v>83</v>
      </c>
      <c r="F1292" s="1669">
        <v>28</v>
      </c>
      <c r="G1292" s="1669">
        <v>0</v>
      </c>
      <c r="H1292" s="1669">
        <f t="shared" si="198"/>
        <v>800.80000000000007</v>
      </c>
      <c r="I1292" s="1669">
        <f t="shared" si="199"/>
        <v>0</v>
      </c>
      <c r="J1292" s="1669">
        <f t="shared" si="200"/>
        <v>800.80000000000007</v>
      </c>
      <c r="K1292" s="1708"/>
      <c r="L1292" s="1721"/>
      <c r="M1292" s="1710" t="s">
        <v>1018</v>
      </c>
      <c r="N1292" s="1711"/>
    </row>
    <row r="1293" spans="1:14" ht="24" customHeight="1">
      <c r="A1293" s="1712"/>
      <c r="B1293" s="1673" t="s">
        <v>139</v>
      </c>
      <c r="C1293" s="1674" t="s">
        <v>1781</v>
      </c>
      <c r="D1293" s="1675">
        <f>D1288*0.25</f>
        <v>7.15</v>
      </c>
      <c r="E1293" s="1676" t="s">
        <v>87</v>
      </c>
      <c r="F1293" s="1736">
        <v>23.89</v>
      </c>
      <c r="G1293" s="1736">
        <v>0</v>
      </c>
      <c r="H1293" s="1669">
        <f t="shared" si="198"/>
        <v>170.8135</v>
      </c>
      <c r="I1293" s="1669">
        <f t="shared" si="199"/>
        <v>0</v>
      </c>
      <c r="J1293" s="1669">
        <f t="shared" si="200"/>
        <v>170.8135</v>
      </c>
      <c r="K1293" s="1708"/>
      <c r="L1293" s="1721"/>
      <c r="M1293" s="1710" t="s">
        <v>660</v>
      </c>
      <c r="N1293" s="1711"/>
    </row>
    <row r="1294" spans="1:14" ht="24" customHeight="1">
      <c r="A1294" s="1712"/>
      <c r="B1294" s="2368" t="s">
        <v>419</v>
      </c>
      <c r="C1294" s="2370"/>
      <c r="D1294" s="1675"/>
      <c r="E1294" s="1676"/>
      <c r="F1294" s="1669"/>
      <c r="G1294" s="1669"/>
      <c r="H1294" s="1669"/>
      <c r="I1294" s="1669"/>
      <c r="J1294" s="1669"/>
      <c r="K1294" s="1708"/>
      <c r="L1294" s="1721"/>
      <c r="M1294" s="1711"/>
      <c r="N1294" s="1711"/>
    </row>
    <row r="1295" spans="1:14" s="1685" customFormat="1" ht="24" customHeight="1">
      <c r="A1295" s="1712"/>
      <c r="B1295" s="1673" t="s">
        <v>139</v>
      </c>
      <c r="C1295" s="1674" t="s">
        <v>88</v>
      </c>
      <c r="D1295" s="1675">
        <v>264.5</v>
      </c>
      <c r="E1295" s="1676" t="s">
        <v>87</v>
      </c>
      <c r="F1295" s="1677">
        <v>21.4</v>
      </c>
      <c r="G1295" s="1677">
        <v>4.4000000000000004</v>
      </c>
      <c r="H1295" s="1669">
        <f t="shared" si="198"/>
        <v>5660.2999999999993</v>
      </c>
      <c r="I1295" s="1669">
        <f t="shared" si="199"/>
        <v>1163.8000000000002</v>
      </c>
      <c r="J1295" s="1669">
        <f>SUM(H1295:I1295)</f>
        <v>6824.0999999999995</v>
      </c>
      <c r="K1295" s="1708"/>
      <c r="L1295" s="1721"/>
      <c r="M1295" s="1710" t="s">
        <v>1016</v>
      </c>
      <c r="N1295" s="1711" t="s">
        <v>659</v>
      </c>
    </row>
    <row r="1296" spans="1:14" s="1685" customFormat="1" ht="24" customHeight="1">
      <c r="A1296" s="1712"/>
      <c r="B1296" s="1665" t="s">
        <v>139</v>
      </c>
      <c r="C1296" s="1666" t="s">
        <v>89</v>
      </c>
      <c r="D1296" s="1667">
        <v>117.7</v>
      </c>
      <c r="E1296" s="1668" t="s">
        <v>87</v>
      </c>
      <c r="F1296" s="1744">
        <v>21.4</v>
      </c>
      <c r="G1296" s="1744">
        <v>3.6</v>
      </c>
      <c r="H1296" s="1670">
        <f t="shared" si="198"/>
        <v>2518.7799999999997</v>
      </c>
      <c r="I1296" s="1670">
        <f t="shared" si="199"/>
        <v>423.72</v>
      </c>
      <c r="J1296" s="1669">
        <f>SUM(H1296:I1296)</f>
        <v>2942.5</v>
      </c>
      <c r="K1296" s="1708"/>
      <c r="L1296" s="1721"/>
      <c r="M1296" s="1710" t="s">
        <v>1016</v>
      </c>
      <c r="N1296" s="1711" t="s">
        <v>659</v>
      </c>
    </row>
    <row r="1297" spans="1:14" s="1685" customFormat="1" ht="24" customHeight="1">
      <c r="A1297" s="1672"/>
      <c r="B1297" s="1673" t="s">
        <v>139</v>
      </c>
      <c r="C1297" s="1674" t="s">
        <v>90</v>
      </c>
      <c r="D1297" s="1675">
        <v>433.5</v>
      </c>
      <c r="E1297" s="1676" t="s">
        <v>87</v>
      </c>
      <c r="F1297" s="1677">
        <v>21.2</v>
      </c>
      <c r="G1297" s="1677">
        <v>3.6</v>
      </c>
      <c r="H1297" s="1669">
        <f t="shared" si="198"/>
        <v>9190.1999999999989</v>
      </c>
      <c r="I1297" s="1669">
        <f t="shared" si="199"/>
        <v>1560.6000000000001</v>
      </c>
      <c r="J1297" s="1678">
        <f>SUM(H1297:I1297)</f>
        <v>10750.8</v>
      </c>
      <c r="K1297" s="1708"/>
      <c r="L1297" s="1721"/>
      <c r="M1297" s="1710" t="s">
        <v>1016</v>
      </c>
      <c r="N1297" s="1711" t="s">
        <v>659</v>
      </c>
    </row>
    <row r="1298" spans="1:14" ht="24" customHeight="1">
      <c r="A1298" s="1672"/>
      <c r="B1298" s="1673" t="s">
        <v>139</v>
      </c>
      <c r="C1298" s="1674" t="s">
        <v>200</v>
      </c>
      <c r="D1298" s="1675">
        <f>SUM(D1295:D1297)*0.03</f>
        <v>24.471</v>
      </c>
      <c r="E1298" s="1676" t="s">
        <v>87</v>
      </c>
      <c r="F1298" s="1677">
        <v>25.83</v>
      </c>
      <c r="G1298" s="1677">
        <v>0</v>
      </c>
      <c r="H1298" s="1669">
        <f t="shared" si="198"/>
        <v>632.08592999999996</v>
      </c>
      <c r="I1298" s="1669">
        <f t="shared" si="199"/>
        <v>0</v>
      </c>
      <c r="J1298" s="1678">
        <f>SUM(H1298:I1298)</f>
        <v>632.08592999999996</v>
      </c>
      <c r="K1298" s="1708"/>
      <c r="L1298" s="1721"/>
      <c r="M1298" s="1710" t="s">
        <v>1019</v>
      </c>
      <c r="N1298" s="1711"/>
    </row>
    <row r="1299" spans="1:14" ht="24" customHeight="1">
      <c r="A1299" s="1672"/>
      <c r="B1299" s="2368" t="s">
        <v>1051</v>
      </c>
      <c r="C1299" s="2370"/>
      <c r="D1299" s="1675"/>
      <c r="E1299" s="1676"/>
      <c r="F1299" s="1669"/>
      <c r="G1299" s="1669"/>
      <c r="H1299" s="1669"/>
      <c r="I1299" s="1669"/>
      <c r="J1299" s="1678"/>
      <c r="K1299" s="1708"/>
      <c r="L1299" s="1721"/>
      <c r="M1299" s="1711"/>
      <c r="N1299" s="1711"/>
    </row>
    <row r="1300" spans="1:14" ht="24" customHeight="1">
      <c r="A1300" s="1672"/>
      <c r="B1300" s="2368" t="s">
        <v>1052</v>
      </c>
      <c r="C1300" s="2370"/>
      <c r="D1300" s="1675"/>
      <c r="E1300" s="1676"/>
      <c r="F1300" s="1669"/>
      <c r="G1300" s="1669"/>
      <c r="H1300" s="1669"/>
      <c r="I1300" s="1669"/>
      <c r="J1300" s="1678"/>
      <c r="K1300" s="1708"/>
      <c r="L1300" s="1721"/>
      <c r="M1300" s="1711"/>
      <c r="N1300" s="1711"/>
    </row>
    <row r="1301" spans="1:14" ht="24" customHeight="1">
      <c r="A1301" s="1672"/>
      <c r="B1301" s="1673" t="s">
        <v>139</v>
      </c>
      <c r="C1301" s="1674" t="s">
        <v>228</v>
      </c>
      <c r="D1301" s="1675">
        <v>4.5</v>
      </c>
      <c r="E1301" s="1676" t="s">
        <v>85</v>
      </c>
      <c r="F1301" s="1677">
        <v>2679.9</v>
      </c>
      <c r="G1301" s="1677">
        <v>519</v>
      </c>
      <c r="H1301" s="1669">
        <f t="shared" ref="H1301:H1319" si="201">F1301*D1301</f>
        <v>12059.550000000001</v>
      </c>
      <c r="I1301" s="1669">
        <f t="shared" ref="I1301:I1319" si="202">G1301*D1301</f>
        <v>2335.5</v>
      </c>
      <c r="J1301" s="1678">
        <f t="shared" ref="J1301:J1314" si="203">SUM(H1301:I1301)</f>
        <v>14395.050000000001</v>
      </c>
      <c r="K1301" s="1708"/>
      <c r="L1301" s="1721"/>
      <c r="M1301" s="1710" t="s">
        <v>1016</v>
      </c>
      <c r="N1301" s="1711" t="s">
        <v>664</v>
      </c>
    </row>
    <row r="1302" spans="1:14" ht="24" customHeight="1">
      <c r="A1302" s="1780"/>
      <c r="B1302" s="1780"/>
      <c r="C1302" s="1827" t="s">
        <v>133</v>
      </c>
      <c r="D1302" s="2365"/>
      <c r="E1302" s="2365"/>
      <c r="F1302" s="2365"/>
      <c r="G1302" s="2365"/>
      <c r="H1302" s="2365"/>
      <c r="I1302" s="2365"/>
      <c r="J1302" s="2365"/>
      <c r="K1302" s="2365"/>
      <c r="L1302" s="1721"/>
      <c r="M1302" s="1710"/>
      <c r="N1302" s="1711"/>
    </row>
    <row r="1303" spans="1:14" ht="24" customHeight="1">
      <c r="A1303" s="1780"/>
      <c r="B1303" s="2366" t="s">
        <v>1769</v>
      </c>
      <c r="C1303" s="2366"/>
      <c r="D1303" s="1828"/>
      <c r="E1303" s="1769"/>
      <c r="F1303" s="1828"/>
      <c r="G1303" s="1828" t="s">
        <v>134</v>
      </c>
      <c r="H1303" s="1828"/>
      <c r="I1303" s="1828"/>
      <c r="J1303" s="1828"/>
      <c r="K1303" s="1828"/>
      <c r="L1303" s="1721"/>
      <c r="M1303" s="1710"/>
      <c r="N1303" s="1711"/>
    </row>
    <row r="1304" spans="1:14" ht="24" customHeight="1">
      <c r="A1304" s="1780"/>
      <c r="B1304" s="2367" t="s">
        <v>1970</v>
      </c>
      <c r="C1304" s="2367"/>
      <c r="D1304" s="1831"/>
      <c r="E1304" s="1832"/>
      <c r="F1304" s="1833"/>
      <c r="G1304" s="1833" t="s">
        <v>1971</v>
      </c>
      <c r="H1304" s="1833"/>
      <c r="I1304" s="1833"/>
      <c r="J1304" s="1833"/>
      <c r="K1304" s="1833"/>
      <c r="L1304" s="1721"/>
      <c r="M1304" s="1710"/>
      <c r="N1304" s="1711"/>
    </row>
    <row r="1305" spans="1:14" ht="24" customHeight="1">
      <c r="A1305" s="1830"/>
      <c r="B1305" s="1828" t="s">
        <v>2031</v>
      </c>
      <c r="C1305" s="1830"/>
      <c r="D1305" s="1830"/>
      <c r="E1305" s="1830"/>
      <c r="F1305" s="1830"/>
      <c r="G1305" s="1828" t="s">
        <v>2031</v>
      </c>
      <c r="H1305" s="1830"/>
      <c r="I1305" s="1830"/>
      <c r="J1305" s="1830"/>
      <c r="K1305" s="1830"/>
      <c r="L1305" s="1721"/>
      <c r="M1305" s="1710"/>
      <c r="N1305" s="1711"/>
    </row>
    <row r="1306" spans="1:14" ht="24" customHeight="1">
      <c r="B1306" s="1721" t="s">
        <v>1984</v>
      </c>
      <c r="C1306" s="1830"/>
      <c r="D1306" s="1685"/>
      <c r="E1306" s="1685"/>
      <c r="G1306" s="1721" t="s">
        <v>1985</v>
      </c>
      <c r="H1306" s="1685"/>
      <c r="I1306" s="1685"/>
      <c r="J1306" s="1685"/>
      <c r="K1306" s="1685"/>
      <c r="L1306" s="1721"/>
      <c r="M1306" s="1710"/>
      <c r="N1306" s="1711"/>
    </row>
    <row r="1307" spans="1:14" ht="24" customHeight="1">
      <c r="B1307" s="1828" t="s">
        <v>670</v>
      </c>
      <c r="L1307" s="1721"/>
      <c r="M1307" s="1710"/>
      <c r="N1307" s="1711"/>
    </row>
    <row r="1308" spans="1:14" ht="24" customHeight="1">
      <c r="B1308" s="1721" t="s">
        <v>1972</v>
      </c>
      <c r="L1308" s="1721"/>
      <c r="M1308" s="1710"/>
      <c r="N1308" s="1711"/>
    </row>
    <row r="1309" spans="1:14" ht="24" customHeight="1">
      <c r="A1309" s="1672"/>
      <c r="B1309" s="1748" t="s">
        <v>1053</v>
      </c>
      <c r="C1309" s="1674"/>
      <c r="D1309" s="1675">
        <v>20.8</v>
      </c>
      <c r="E1309" s="1676"/>
      <c r="F1309" s="1677"/>
      <c r="G1309" s="1677"/>
      <c r="H1309" s="1669"/>
      <c r="I1309" s="1669"/>
      <c r="J1309" s="1678"/>
      <c r="K1309" s="1708"/>
      <c r="L1309" s="1721"/>
      <c r="M1309" s="1710"/>
      <c r="N1309" s="1711"/>
    </row>
    <row r="1310" spans="1:14" ht="24" customHeight="1">
      <c r="A1310" s="1712"/>
      <c r="B1310" s="1673" t="s">
        <v>139</v>
      </c>
      <c r="C1310" s="1674" t="s">
        <v>1784</v>
      </c>
      <c r="D1310" s="1675">
        <f>D1309</f>
        <v>20.8</v>
      </c>
      <c r="E1310" s="1676" t="s">
        <v>86</v>
      </c>
      <c r="F1310" s="1669"/>
      <c r="G1310" s="1669">
        <v>121</v>
      </c>
      <c r="H1310" s="1669">
        <f t="shared" si="201"/>
        <v>0</v>
      </c>
      <c r="I1310" s="1669">
        <f t="shared" si="202"/>
        <v>2516.8000000000002</v>
      </c>
      <c r="J1310" s="1669">
        <f t="shared" si="203"/>
        <v>2516.8000000000002</v>
      </c>
      <c r="K1310" s="1708"/>
      <c r="L1310" s="1721"/>
      <c r="M1310" s="1710" t="s">
        <v>1017</v>
      </c>
      <c r="N1310" s="1711" t="s">
        <v>664</v>
      </c>
    </row>
    <row r="1311" spans="1:14" ht="24" customHeight="1">
      <c r="A1311" s="1712"/>
      <c r="B1311" s="1673" t="s">
        <v>139</v>
      </c>
      <c r="C1311" s="1674" t="s">
        <v>198</v>
      </c>
      <c r="D1311" s="1675">
        <f>D1309*0.5</f>
        <v>10.4</v>
      </c>
      <c r="E1311" s="1676" t="s">
        <v>164</v>
      </c>
      <c r="F1311" s="1669">
        <v>400</v>
      </c>
      <c r="G1311" s="1669"/>
      <c r="H1311" s="1669">
        <f t="shared" si="201"/>
        <v>4160</v>
      </c>
      <c r="I1311" s="1669">
        <f t="shared" si="202"/>
        <v>0</v>
      </c>
      <c r="J1311" s="1669">
        <f t="shared" si="203"/>
        <v>4160</v>
      </c>
      <c r="K1311" s="1708"/>
      <c r="L1311" s="1721"/>
      <c r="M1311" s="1710" t="s">
        <v>1018</v>
      </c>
      <c r="N1311" s="1711"/>
    </row>
    <row r="1312" spans="1:14" ht="24" customHeight="1">
      <c r="A1312" s="1712"/>
      <c r="B1312" s="1673" t="s">
        <v>139</v>
      </c>
      <c r="C1312" s="1674" t="s">
        <v>1782</v>
      </c>
      <c r="D1312" s="1675">
        <f>D1311*0.3</f>
        <v>3.12</v>
      </c>
      <c r="E1312" s="1676" t="s">
        <v>164</v>
      </c>
      <c r="F1312" s="1669">
        <v>400</v>
      </c>
      <c r="G1312" s="1669">
        <v>0</v>
      </c>
      <c r="H1312" s="1669">
        <f t="shared" si="201"/>
        <v>1248</v>
      </c>
      <c r="I1312" s="1669">
        <f t="shared" si="202"/>
        <v>0</v>
      </c>
      <c r="J1312" s="1669">
        <f t="shared" si="203"/>
        <v>1248</v>
      </c>
      <c r="K1312" s="1708"/>
      <c r="L1312" s="1721"/>
      <c r="M1312" s="1710" t="s">
        <v>1018</v>
      </c>
      <c r="N1312" s="1711"/>
    </row>
    <row r="1313" spans="1:14" ht="24" customHeight="1">
      <c r="A1313" s="1664"/>
      <c r="B1313" s="1665" t="s">
        <v>139</v>
      </c>
      <c r="C1313" s="1666" t="s">
        <v>163</v>
      </c>
      <c r="D1313" s="1667">
        <f>D1309</f>
        <v>20.8</v>
      </c>
      <c r="E1313" s="1668" t="s">
        <v>83</v>
      </c>
      <c r="F1313" s="1670">
        <v>28</v>
      </c>
      <c r="G1313" s="1670">
        <v>0</v>
      </c>
      <c r="H1313" s="1670">
        <f t="shared" si="201"/>
        <v>582.4</v>
      </c>
      <c r="I1313" s="1670">
        <f t="shared" si="202"/>
        <v>0</v>
      </c>
      <c r="J1313" s="1670">
        <f t="shared" si="203"/>
        <v>582.4</v>
      </c>
      <c r="K1313" s="1746"/>
      <c r="L1313" s="1721"/>
      <c r="M1313" s="1710" t="s">
        <v>1018</v>
      </c>
      <c r="N1313" s="1711"/>
    </row>
    <row r="1314" spans="1:14" ht="24" customHeight="1">
      <c r="A1314" s="1712"/>
      <c r="B1314" s="1673" t="s">
        <v>139</v>
      </c>
      <c r="C1314" s="1674" t="s">
        <v>1781</v>
      </c>
      <c r="D1314" s="1675">
        <f>D1309*0.25</f>
        <v>5.2</v>
      </c>
      <c r="E1314" s="1676" t="s">
        <v>87</v>
      </c>
      <c r="F1314" s="1736">
        <v>23.89</v>
      </c>
      <c r="G1314" s="1736">
        <v>0</v>
      </c>
      <c r="H1314" s="1669">
        <f t="shared" si="201"/>
        <v>124.22800000000001</v>
      </c>
      <c r="I1314" s="1669">
        <f t="shared" si="202"/>
        <v>0</v>
      </c>
      <c r="J1314" s="1669">
        <f t="shared" si="203"/>
        <v>124.22800000000001</v>
      </c>
      <c r="K1314" s="1708"/>
      <c r="L1314" s="1721"/>
      <c r="M1314" s="1710" t="s">
        <v>660</v>
      </c>
      <c r="N1314" s="1711"/>
    </row>
    <row r="1315" spans="1:14" s="1685" customFormat="1" ht="24" customHeight="1">
      <c r="A1315" s="1712"/>
      <c r="B1315" s="2368" t="s">
        <v>1054</v>
      </c>
      <c r="C1315" s="2370"/>
      <c r="D1315" s="1675"/>
      <c r="E1315" s="1676"/>
      <c r="F1315" s="1669"/>
      <c r="G1315" s="1669"/>
      <c r="H1315" s="1669"/>
      <c r="I1315" s="1669"/>
      <c r="J1315" s="1669"/>
      <c r="K1315" s="1708"/>
      <c r="L1315" s="1721"/>
      <c r="M1315" s="1711"/>
      <c r="N1315" s="1711"/>
    </row>
    <row r="1316" spans="1:14" s="1685" customFormat="1" ht="24" customHeight="1">
      <c r="A1316" s="1712"/>
      <c r="B1316" s="1673" t="s">
        <v>139</v>
      </c>
      <c r="C1316" s="1674" t="s">
        <v>88</v>
      </c>
      <c r="D1316" s="1675">
        <v>168</v>
      </c>
      <c r="E1316" s="1676" t="s">
        <v>87</v>
      </c>
      <c r="F1316" s="1677">
        <v>21.4</v>
      </c>
      <c r="G1316" s="1677">
        <v>4.4000000000000004</v>
      </c>
      <c r="H1316" s="1669">
        <f t="shared" si="201"/>
        <v>3595.2</v>
      </c>
      <c r="I1316" s="1669">
        <f t="shared" si="202"/>
        <v>739.2</v>
      </c>
      <c r="J1316" s="1669">
        <f>SUM(H1316:I1316)</f>
        <v>4334.3999999999996</v>
      </c>
      <c r="K1316" s="1708"/>
      <c r="L1316" s="1721"/>
      <c r="M1316" s="1710" t="s">
        <v>1016</v>
      </c>
      <c r="N1316" s="1711" t="s">
        <v>659</v>
      </c>
    </row>
    <row r="1317" spans="1:14" s="1685" customFormat="1" ht="24" customHeight="1">
      <c r="A1317" s="1712"/>
      <c r="B1317" s="1673" t="s">
        <v>139</v>
      </c>
      <c r="C1317" s="1674" t="s">
        <v>89</v>
      </c>
      <c r="D1317" s="1675">
        <v>72.900000000000006</v>
      </c>
      <c r="E1317" s="1676" t="s">
        <v>87</v>
      </c>
      <c r="F1317" s="1677">
        <v>21.4</v>
      </c>
      <c r="G1317" s="1677">
        <v>3.6</v>
      </c>
      <c r="H1317" s="1669">
        <f t="shared" si="201"/>
        <v>1560.06</v>
      </c>
      <c r="I1317" s="1669">
        <f t="shared" si="202"/>
        <v>262.44000000000005</v>
      </c>
      <c r="J1317" s="1669">
        <f>SUM(H1317:I1317)</f>
        <v>1822.5</v>
      </c>
      <c r="K1317" s="1708"/>
      <c r="L1317" s="1721"/>
      <c r="M1317" s="1710" t="s">
        <v>1016</v>
      </c>
      <c r="N1317" s="1711" t="s">
        <v>659</v>
      </c>
    </row>
    <row r="1318" spans="1:14" ht="24" customHeight="1">
      <c r="A1318" s="1712"/>
      <c r="B1318" s="1673" t="s">
        <v>139</v>
      </c>
      <c r="C1318" s="1674" t="s">
        <v>90</v>
      </c>
      <c r="D1318" s="1675">
        <v>221.2</v>
      </c>
      <c r="E1318" s="1676" t="s">
        <v>87</v>
      </c>
      <c r="F1318" s="1677">
        <v>21.2</v>
      </c>
      <c r="G1318" s="1677">
        <v>3.6</v>
      </c>
      <c r="H1318" s="1669">
        <f t="shared" si="201"/>
        <v>4689.4399999999996</v>
      </c>
      <c r="I1318" s="1669">
        <f t="shared" si="202"/>
        <v>796.31999999999994</v>
      </c>
      <c r="J1318" s="1669">
        <f>SUM(H1318:I1318)</f>
        <v>5485.7599999999993</v>
      </c>
      <c r="K1318" s="1708"/>
      <c r="L1318" s="1721"/>
      <c r="M1318" s="1710" t="s">
        <v>1016</v>
      </c>
      <c r="N1318" s="1711" t="s">
        <v>659</v>
      </c>
    </row>
    <row r="1319" spans="1:14" ht="24" customHeight="1">
      <c r="A1319" s="1712"/>
      <c r="B1319" s="1673" t="s">
        <v>139</v>
      </c>
      <c r="C1319" s="1674" t="s">
        <v>200</v>
      </c>
      <c r="D1319" s="1675">
        <f>SUM(D1316:D1318)*0.03</f>
        <v>13.863</v>
      </c>
      <c r="E1319" s="1676" t="s">
        <v>87</v>
      </c>
      <c r="F1319" s="1677">
        <v>25.83</v>
      </c>
      <c r="G1319" s="1677">
        <v>0</v>
      </c>
      <c r="H1319" s="1669">
        <f t="shared" si="201"/>
        <v>358.08128999999997</v>
      </c>
      <c r="I1319" s="1669">
        <f t="shared" si="202"/>
        <v>0</v>
      </c>
      <c r="J1319" s="1669">
        <f>SUM(H1319:I1319)</f>
        <v>358.08128999999997</v>
      </c>
      <c r="K1319" s="1708"/>
      <c r="L1319" s="1721"/>
      <c r="M1319" s="1710" t="s">
        <v>1019</v>
      </c>
      <c r="N1319" s="1711"/>
    </row>
    <row r="1320" spans="1:14" s="1685" customFormat="1" ht="24" customHeight="1">
      <c r="A1320" s="1712"/>
      <c r="B1320" s="2368" t="s">
        <v>1055</v>
      </c>
      <c r="C1320" s="2370"/>
      <c r="D1320" s="1675"/>
      <c r="E1320" s="1676"/>
      <c r="F1320" s="1669"/>
      <c r="G1320" s="1669"/>
      <c r="H1320" s="1669"/>
      <c r="I1320" s="1669"/>
      <c r="J1320" s="1669"/>
      <c r="K1320" s="1708"/>
      <c r="L1320" s="1721"/>
      <c r="M1320" s="1711"/>
      <c r="N1320" s="1711"/>
    </row>
    <row r="1321" spans="1:14" s="1685" customFormat="1" ht="24" customHeight="1">
      <c r="A1321" s="1712"/>
      <c r="B1321" s="2368" t="s">
        <v>1056</v>
      </c>
      <c r="C1321" s="2370"/>
      <c r="D1321" s="1675"/>
      <c r="E1321" s="1676"/>
      <c r="F1321" s="1669"/>
      <c r="G1321" s="1669"/>
      <c r="H1321" s="1669"/>
      <c r="I1321" s="1669"/>
      <c r="J1321" s="1669"/>
      <c r="K1321" s="1708"/>
      <c r="L1321" s="1721"/>
      <c r="M1321" s="1711"/>
      <c r="N1321" s="1711"/>
    </row>
    <row r="1322" spans="1:14" ht="24" customHeight="1">
      <c r="A1322" s="1702"/>
      <c r="B1322" s="1703" t="s">
        <v>139</v>
      </c>
      <c r="C1322" s="1743" t="s">
        <v>228</v>
      </c>
      <c r="D1322" s="1705">
        <v>4.5</v>
      </c>
      <c r="E1322" s="1706" t="s">
        <v>85</v>
      </c>
      <c r="F1322" s="1742">
        <v>2679.9</v>
      </c>
      <c r="G1322" s="1742">
        <v>519</v>
      </c>
      <c r="H1322" s="1707">
        <f t="shared" ref="H1322:H1333" si="204">F1322*D1322</f>
        <v>12059.550000000001</v>
      </c>
      <c r="I1322" s="1707">
        <f t="shared" ref="I1322:I1333" si="205">G1322*D1322</f>
        <v>2335.5</v>
      </c>
      <c r="J1322" s="1707">
        <f t="shared" ref="J1322:J1328" si="206">SUM(H1322:I1322)</f>
        <v>14395.050000000001</v>
      </c>
      <c r="K1322" s="1709"/>
      <c r="L1322" s="1721"/>
      <c r="M1322" s="1710" t="s">
        <v>1016</v>
      </c>
      <c r="N1322" s="1711" t="s">
        <v>664</v>
      </c>
    </row>
    <row r="1323" spans="1:14" ht="24" customHeight="1">
      <c r="A1323" s="1712"/>
      <c r="B1323" s="2368" t="s">
        <v>1057</v>
      </c>
      <c r="C1323" s="2370"/>
      <c r="D1323" s="1675">
        <v>22.9</v>
      </c>
      <c r="E1323" s="1676"/>
      <c r="F1323" s="1669"/>
      <c r="G1323" s="1669"/>
      <c r="H1323" s="1669"/>
      <c r="I1323" s="1669"/>
      <c r="J1323" s="1669"/>
      <c r="K1323" s="1708"/>
      <c r="L1323" s="1721"/>
      <c r="M1323" s="1711"/>
      <c r="N1323" s="1711"/>
    </row>
    <row r="1324" spans="1:14" ht="24" customHeight="1">
      <c r="A1324" s="1712"/>
      <c r="B1324" s="1673" t="s">
        <v>139</v>
      </c>
      <c r="C1324" s="1674" t="s">
        <v>1784</v>
      </c>
      <c r="D1324" s="1675">
        <f>D1323</f>
        <v>22.9</v>
      </c>
      <c r="E1324" s="1676" t="s">
        <v>86</v>
      </c>
      <c r="F1324" s="1669"/>
      <c r="G1324" s="1669">
        <v>121</v>
      </c>
      <c r="H1324" s="1669">
        <f t="shared" si="204"/>
        <v>0</v>
      </c>
      <c r="I1324" s="1669">
        <f t="shared" si="205"/>
        <v>2770.8999999999996</v>
      </c>
      <c r="J1324" s="1669">
        <f t="shared" si="206"/>
        <v>2770.8999999999996</v>
      </c>
      <c r="K1324" s="1708"/>
      <c r="L1324" s="1721"/>
      <c r="M1324" s="1710" t="s">
        <v>1017</v>
      </c>
      <c r="N1324" s="1711" t="s">
        <v>664</v>
      </c>
    </row>
    <row r="1325" spans="1:14" ht="24" customHeight="1">
      <c r="A1325" s="1712"/>
      <c r="B1325" s="1673" t="s">
        <v>139</v>
      </c>
      <c r="C1325" s="1674" t="s">
        <v>198</v>
      </c>
      <c r="D1325" s="1675">
        <f>D1323*0.5</f>
        <v>11.45</v>
      </c>
      <c r="E1325" s="1676" t="s">
        <v>164</v>
      </c>
      <c r="F1325" s="1669">
        <v>400</v>
      </c>
      <c r="G1325" s="1669"/>
      <c r="H1325" s="1669">
        <f t="shared" si="204"/>
        <v>4580</v>
      </c>
      <c r="I1325" s="1669">
        <f t="shared" si="205"/>
        <v>0</v>
      </c>
      <c r="J1325" s="1669">
        <f t="shared" si="206"/>
        <v>4580</v>
      </c>
      <c r="K1325" s="1708"/>
      <c r="L1325" s="1721"/>
      <c r="M1325" s="1710" t="s">
        <v>1018</v>
      </c>
      <c r="N1325" s="1711"/>
    </row>
    <row r="1326" spans="1:14" ht="24" customHeight="1">
      <c r="A1326" s="1712"/>
      <c r="B1326" s="1673" t="s">
        <v>139</v>
      </c>
      <c r="C1326" s="1674" t="s">
        <v>166</v>
      </c>
      <c r="D1326" s="1675">
        <f>D1325*0.3</f>
        <v>3.4349999999999996</v>
      </c>
      <c r="E1326" s="1676" t="s">
        <v>164</v>
      </c>
      <c r="F1326" s="1669">
        <v>400</v>
      </c>
      <c r="G1326" s="1669">
        <v>0</v>
      </c>
      <c r="H1326" s="1669">
        <f t="shared" si="204"/>
        <v>1373.9999999999998</v>
      </c>
      <c r="I1326" s="1669">
        <f t="shared" si="205"/>
        <v>0</v>
      </c>
      <c r="J1326" s="1669">
        <f t="shared" si="206"/>
        <v>1373.9999999999998</v>
      </c>
      <c r="K1326" s="1708"/>
      <c r="L1326" s="1721"/>
      <c r="M1326" s="1710" t="s">
        <v>1018</v>
      </c>
      <c r="N1326" s="1711"/>
    </row>
    <row r="1327" spans="1:14" ht="24" customHeight="1">
      <c r="A1327" s="1712"/>
      <c r="B1327" s="1673" t="s">
        <v>139</v>
      </c>
      <c r="C1327" s="1674" t="s">
        <v>163</v>
      </c>
      <c r="D1327" s="1675">
        <f>D1323</f>
        <v>22.9</v>
      </c>
      <c r="E1327" s="1676" t="s">
        <v>83</v>
      </c>
      <c r="F1327" s="1669">
        <v>28</v>
      </c>
      <c r="G1327" s="1669">
        <v>0</v>
      </c>
      <c r="H1327" s="1669">
        <f t="shared" si="204"/>
        <v>641.19999999999993</v>
      </c>
      <c r="I1327" s="1669">
        <f t="shared" si="205"/>
        <v>0</v>
      </c>
      <c r="J1327" s="1669">
        <f t="shared" si="206"/>
        <v>641.19999999999993</v>
      </c>
      <c r="K1327" s="1708"/>
      <c r="L1327" s="1721"/>
      <c r="M1327" s="1710" t="s">
        <v>1018</v>
      </c>
      <c r="N1327" s="1711"/>
    </row>
    <row r="1328" spans="1:14" ht="24" customHeight="1">
      <c r="A1328" s="1712"/>
      <c r="B1328" s="1673" t="s">
        <v>139</v>
      </c>
      <c r="C1328" s="1674" t="s">
        <v>1781</v>
      </c>
      <c r="D1328" s="1675">
        <f>D1323*0.25</f>
        <v>5.7249999999999996</v>
      </c>
      <c r="E1328" s="1676" t="s">
        <v>87</v>
      </c>
      <c r="F1328" s="1736">
        <v>23.89</v>
      </c>
      <c r="G1328" s="1736">
        <v>0</v>
      </c>
      <c r="H1328" s="1669">
        <f t="shared" si="204"/>
        <v>136.77025</v>
      </c>
      <c r="I1328" s="1669">
        <f t="shared" si="205"/>
        <v>0</v>
      </c>
      <c r="J1328" s="1669">
        <f t="shared" si="206"/>
        <v>136.77025</v>
      </c>
      <c r="K1328" s="1708"/>
      <c r="L1328" s="1721"/>
      <c r="M1328" s="1710" t="s">
        <v>660</v>
      </c>
      <c r="N1328" s="1711"/>
    </row>
    <row r="1329" spans="1:14" ht="24" customHeight="1">
      <c r="A1329" s="1712"/>
      <c r="B1329" s="2368" t="s">
        <v>1058</v>
      </c>
      <c r="C1329" s="2370"/>
      <c r="D1329" s="1675"/>
      <c r="E1329" s="1676"/>
      <c r="F1329" s="1669"/>
      <c r="G1329" s="1669"/>
      <c r="H1329" s="1669"/>
      <c r="I1329" s="1669"/>
      <c r="J1329" s="1669"/>
      <c r="K1329" s="1708"/>
      <c r="L1329" s="1721"/>
      <c r="M1329" s="1711"/>
      <c r="N1329" s="1711"/>
    </row>
    <row r="1330" spans="1:14" ht="24" customHeight="1">
      <c r="A1330" s="1712"/>
      <c r="B1330" s="1673" t="s">
        <v>139</v>
      </c>
      <c r="C1330" s="1674" t="s">
        <v>88</v>
      </c>
      <c r="D1330" s="1675">
        <v>182.4</v>
      </c>
      <c r="E1330" s="1676" t="s">
        <v>87</v>
      </c>
      <c r="F1330" s="1677">
        <v>21.4</v>
      </c>
      <c r="G1330" s="1677">
        <v>4.4000000000000004</v>
      </c>
      <c r="H1330" s="1669">
        <f t="shared" si="204"/>
        <v>3903.3599999999997</v>
      </c>
      <c r="I1330" s="1669">
        <f t="shared" si="205"/>
        <v>802.56000000000006</v>
      </c>
      <c r="J1330" s="1669">
        <f>SUM(H1330:I1330)</f>
        <v>4705.92</v>
      </c>
      <c r="K1330" s="1708"/>
      <c r="L1330" s="1721"/>
      <c r="M1330" s="1710" t="s">
        <v>1016</v>
      </c>
      <c r="N1330" s="1711" t="s">
        <v>659</v>
      </c>
    </row>
    <row r="1331" spans="1:14" ht="24" customHeight="1">
      <c r="A1331" s="1664"/>
      <c r="B1331" s="1665" t="s">
        <v>139</v>
      </c>
      <c r="C1331" s="1666" t="s">
        <v>89</v>
      </c>
      <c r="D1331" s="1667">
        <v>94.8</v>
      </c>
      <c r="E1331" s="1668" t="s">
        <v>87</v>
      </c>
      <c r="F1331" s="1744">
        <v>21.4</v>
      </c>
      <c r="G1331" s="1744">
        <v>3.6</v>
      </c>
      <c r="H1331" s="1670">
        <f t="shared" si="204"/>
        <v>2028.7199999999998</v>
      </c>
      <c r="I1331" s="1670">
        <f t="shared" si="205"/>
        <v>341.28</v>
      </c>
      <c r="J1331" s="1670">
        <f>SUM(H1331:I1331)</f>
        <v>2370</v>
      </c>
      <c r="K1331" s="1746"/>
      <c r="L1331" s="1721"/>
      <c r="M1331" s="1710" t="s">
        <v>1016</v>
      </c>
      <c r="N1331" s="1711" t="s">
        <v>659</v>
      </c>
    </row>
    <row r="1332" spans="1:14" ht="24" customHeight="1">
      <c r="A1332" s="1664"/>
      <c r="B1332" s="1665" t="s">
        <v>139</v>
      </c>
      <c r="C1332" s="1666" t="s">
        <v>90</v>
      </c>
      <c r="D1332" s="1667">
        <v>245.7</v>
      </c>
      <c r="E1332" s="1668" t="s">
        <v>87</v>
      </c>
      <c r="F1332" s="1744">
        <v>21.2</v>
      </c>
      <c r="G1332" s="1744">
        <v>3.6</v>
      </c>
      <c r="H1332" s="1670">
        <f t="shared" si="204"/>
        <v>5208.8399999999992</v>
      </c>
      <c r="I1332" s="1670">
        <f t="shared" si="205"/>
        <v>884.52</v>
      </c>
      <c r="J1332" s="1670">
        <f>SUM(H1332:I1332)</f>
        <v>6093.3599999999988</v>
      </c>
      <c r="K1332" s="1746"/>
      <c r="L1332" s="1721"/>
      <c r="M1332" s="1710" t="s">
        <v>1016</v>
      </c>
      <c r="N1332" s="1711" t="s">
        <v>659</v>
      </c>
    </row>
    <row r="1333" spans="1:14" ht="24" customHeight="1">
      <c r="A1333" s="1664"/>
      <c r="B1333" s="1665" t="s">
        <v>139</v>
      </c>
      <c r="C1333" s="1666" t="s">
        <v>200</v>
      </c>
      <c r="D1333" s="1667">
        <f>SUM(D1330:D1332)*0.03</f>
        <v>15.686999999999999</v>
      </c>
      <c r="E1333" s="1668" t="s">
        <v>87</v>
      </c>
      <c r="F1333" s="1744">
        <v>25.83</v>
      </c>
      <c r="G1333" s="1744">
        <v>0</v>
      </c>
      <c r="H1333" s="1670">
        <f t="shared" si="204"/>
        <v>405.19520999999997</v>
      </c>
      <c r="I1333" s="1670">
        <f t="shared" si="205"/>
        <v>0</v>
      </c>
      <c r="J1333" s="1670">
        <f>SUM(H1333:I1333)</f>
        <v>405.19520999999997</v>
      </c>
      <c r="K1333" s="1746"/>
      <c r="L1333" s="1721"/>
      <c r="M1333" s="1710" t="s">
        <v>1019</v>
      </c>
      <c r="N1333" s="1711"/>
    </row>
    <row r="1334" spans="1:14" ht="24" customHeight="1">
      <c r="A1334" s="1712"/>
      <c r="B1334" s="2368" t="s">
        <v>1030</v>
      </c>
      <c r="C1334" s="2370"/>
      <c r="D1334" s="1675"/>
      <c r="E1334" s="1676"/>
      <c r="F1334" s="1669"/>
      <c r="G1334" s="1669"/>
      <c r="H1334" s="1669"/>
      <c r="I1334" s="1669"/>
      <c r="J1334" s="1669"/>
      <c r="K1334" s="1708"/>
      <c r="L1334" s="1721"/>
      <c r="M1334" s="1711"/>
      <c r="N1334" s="1711"/>
    </row>
    <row r="1335" spans="1:14" ht="24" customHeight="1">
      <c r="A1335" s="1712"/>
      <c r="B1335" s="2368" t="s">
        <v>1031</v>
      </c>
      <c r="C1335" s="2370"/>
      <c r="D1335" s="1675"/>
      <c r="E1335" s="1676"/>
      <c r="F1335" s="1669"/>
      <c r="G1335" s="1669"/>
      <c r="H1335" s="1669"/>
      <c r="I1335" s="1669"/>
      <c r="J1335" s="1669"/>
      <c r="K1335" s="1708"/>
      <c r="L1335" s="1721"/>
      <c r="M1335" s="1711"/>
      <c r="N1335" s="1711"/>
    </row>
    <row r="1336" spans="1:14" ht="24" customHeight="1">
      <c r="A1336" s="1780"/>
      <c r="B1336" s="1780"/>
      <c r="C1336" s="1827" t="s">
        <v>133</v>
      </c>
      <c r="D1336" s="2365"/>
      <c r="E1336" s="2365"/>
      <c r="F1336" s="2365"/>
      <c r="G1336" s="2365"/>
      <c r="H1336" s="2365"/>
      <c r="I1336" s="2365"/>
      <c r="J1336" s="2365"/>
      <c r="K1336" s="2365"/>
      <c r="L1336" s="1721"/>
      <c r="M1336" s="1711"/>
      <c r="N1336" s="1711"/>
    </row>
    <row r="1337" spans="1:14" ht="24" customHeight="1">
      <c r="A1337" s="1780"/>
      <c r="B1337" s="2366" t="s">
        <v>1769</v>
      </c>
      <c r="C1337" s="2366"/>
      <c r="D1337" s="1828"/>
      <c r="E1337" s="1769"/>
      <c r="F1337" s="1828"/>
      <c r="G1337" s="1828" t="s">
        <v>134</v>
      </c>
      <c r="H1337" s="1828"/>
      <c r="I1337" s="1828"/>
      <c r="J1337" s="1828"/>
      <c r="K1337" s="1828"/>
      <c r="L1337" s="1721"/>
      <c r="M1337" s="1711"/>
      <c r="N1337" s="1711"/>
    </row>
    <row r="1338" spans="1:14" ht="24" customHeight="1">
      <c r="A1338" s="1780"/>
      <c r="B1338" s="2367" t="s">
        <v>1970</v>
      </c>
      <c r="C1338" s="2367"/>
      <c r="D1338" s="1831"/>
      <c r="E1338" s="1832"/>
      <c r="F1338" s="1833"/>
      <c r="G1338" s="1833" t="s">
        <v>1971</v>
      </c>
      <c r="H1338" s="1833"/>
      <c r="I1338" s="1833"/>
      <c r="J1338" s="1833"/>
      <c r="K1338" s="1833"/>
      <c r="L1338" s="1721"/>
      <c r="M1338" s="1711"/>
      <c r="N1338" s="1711"/>
    </row>
    <row r="1339" spans="1:14" ht="24" customHeight="1">
      <c r="A1339" s="1830"/>
      <c r="B1339" s="1828" t="s">
        <v>2031</v>
      </c>
      <c r="C1339" s="1830"/>
      <c r="D1339" s="1830"/>
      <c r="E1339" s="1830"/>
      <c r="F1339" s="1830"/>
      <c r="G1339" s="1828" t="s">
        <v>2031</v>
      </c>
      <c r="H1339" s="1830"/>
      <c r="I1339" s="1830"/>
      <c r="J1339" s="1830"/>
      <c r="K1339" s="1830"/>
      <c r="L1339" s="1721"/>
      <c r="M1339" s="1711"/>
      <c r="N1339" s="1711"/>
    </row>
    <row r="1340" spans="1:14" ht="24" customHeight="1">
      <c r="B1340" s="1721" t="s">
        <v>1984</v>
      </c>
      <c r="C1340" s="1830"/>
      <c r="D1340" s="1685"/>
      <c r="E1340" s="1685"/>
      <c r="G1340" s="1721" t="s">
        <v>1985</v>
      </c>
      <c r="H1340" s="1685"/>
      <c r="I1340" s="1685"/>
      <c r="J1340" s="1685"/>
      <c r="K1340" s="1685"/>
      <c r="L1340" s="1721"/>
      <c r="M1340" s="1711"/>
      <c r="N1340" s="1711"/>
    </row>
    <row r="1341" spans="1:14" ht="24" customHeight="1">
      <c r="B1341" s="1828" t="s">
        <v>670</v>
      </c>
      <c r="L1341" s="1721"/>
      <c r="M1341" s="1711"/>
      <c r="N1341" s="1711"/>
    </row>
    <row r="1342" spans="1:14" ht="24" customHeight="1">
      <c r="B1342" s="1721" t="s">
        <v>1972</v>
      </c>
      <c r="L1342" s="1721"/>
      <c r="M1342" s="1711"/>
      <c r="N1342" s="1711"/>
    </row>
    <row r="1343" spans="1:14" ht="24" customHeight="1">
      <c r="A1343" s="1712"/>
      <c r="B1343" s="1673" t="s">
        <v>139</v>
      </c>
      <c r="C1343" s="1674" t="s">
        <v>228</v>
      </c>
      <c r="D1343" s="1675">
        <v>15.9</v>
      </c>
      <c r="E1343" s="1676" t="s">
        <v>85</v>
      </c>
      <c r="F1343" s="1736">
        <v>2679.9</v>
      </c>
      <c r="G1343" s="1736">
        <v>519</v>
      </c>
      <c r="H1343" s="1669">
        <f t="shared" ref="H1343:H1358" si="207">F1343*D1343</f>
        <v>42610.41</v>
      </c>
      <c r="I1343" s="1669">
        <f t="shared" ref="I1343:I1358" si="208">G1343*D1343</f>
        <v>8252.1</v>
      </c>
      <c r="J1343" s="1669">
        <f t="shared" ref="J1343:J1349" si="209">SUM(H1343:I1343)</f>
        <v>50862.51</v>
      </c>
      <c r="K1343" s="1708"/>
      <c r="L1343" s="1721"/>
      <c r="M1343" s="1710" t="s">
        <v>1016</v>
      </c>
      <c r="N1343" s="1711" t="s">
        <v>659</v>
      </c>
    </row>
    <row r="1344" spans="1:14" ht="24" customHeight="1">
      <c r="A1344" s="1712"/>
      <c r="B1344" s="2368" t="s">
        <v>1033</v>
      </c>
      <c r="C1344" s="2370"/>
      <c r="D1344" s="1675">
        <v>65.400000000000006</v>
      </c>
      <c r="E1344" s="1676"/>
      <c r="F1344" s="1669"/>
      <c r="G1344" s="1669"/>
      <c r="H1344" s="1669"/>
      <c r="I1344" s="1669"/>
      <c r="J1344" s="1669"/>
      <c r="K1344" s="1708"/>
      <c r="L1344" s="1721"/>
      <c r="M1344" s="1711"/>
      <c r="N1344" s="1711"/>
    </row>
    <row r="1345" spans="1:14" ht="24" customHeight="1">
      <c r="A1345" s="1712"/>
      <c r="B1345" s="1673" t="s">
        <v>139</v>
      </c>
      <c r="C1345" s="1674" t="s">
        <v>165</v>
      </c>
      <c r="D1345" s="1675">
        <f>D1344</f>
        <v>65.400000000000006</v>
      </c>
      <c r="E1345" s="1676" t="s">
        <v>86</v>
      </c>
      <c r="F1345" s="1736">
        <v>0</v>
      </c>
      <c r="G1345" s="1669">
        <v>121</v>
      </c>
      <c r="H1345" s="1669">
        <f t="shared" si="207"/>
        <v>0</v>
      </c>
      <c r="I1345" s="1669">
        <f t="shared" si="208"/>
        <v>7913.4000000000005</v>
      </c>
      <c r="J1345" s="1669">
        <f t="shared" si="209"/>
        <v>7913.4000000000005</v>
      </c>
      <c r="K1345" s="1708"/>
      <c r="L1345" s="1721"/>
      <c r="M1345" s="1710" t="s">
        <v>1017</v>
      </c>
      <c r="N1345" s="1711" t="s">
        <v>659</v>
      </c>
    </row>
    <row r="1346" spans="1:14" ht="24" customHeight="1">
      <c r="A1346" s="1712"/>
      <c r="B1346" s="1673" t="s">
        <v>139</v>
      </c>
      <c r="C1346" s="1674" t="s">
        <v>198</v>
      </c>
      <c r="D1346" s="1675">
        <f>D1344*0.5</f>
        <v>32.700000000000003</v>
      </c>
      <c r="E1346" s="1676" t="s">
        <v>164</v>
      </c>
      <c r="F1346" s="1736">
        <v>400</v>
      </c>
      <c r="G1346" s="1736">
        <v>0</v>
      </c>
      <c r="H1346" s="1669">
        <f t="shared" si="207"/>
        <v>13080.000000000002</v>
      </c>
      <c r="I1346" s="1669">
        <f t="shared" si="208"/>
        <v>0</v>
      </c>
      <c r="J1346" s="1669">
        <f t="shared" si="209"/>
        <v>13080.000000000002</v>
      </c>
      <c r="K1346" s="1708"/>
      <c r="L1346" s="1721"/>
      <c r="M1346" s="1710" t="s">
        <v>1018</v>
      </c>
      <c r="N1346" s="1711"/>
    </row>
    <row r="1347" spans="1:14" ht="24" customHeight="1">
      <c r="A1347" s="1712"/>
      <c r="B1347" s="1673" t="s">
        <v>139</v>
      </c>
      <c r="C1347" s="1674" t="s">
        <v>166</v>
      </c>
      <c r="D1347" s="1675">
        <f>D1346*0.3</f>
        <v>9.81</v>
      </c>
      <c r="E1347" s="1676" t="s">
        <v>164</v>
      </c>
      <c r="F1347" s="1736">
        <v>400</v>
      </c>
      <c r="G1347" s="1736">
        <v>0</v>
      </c>
      <c r="H1347" s="1669">
        <f t="shared" si="207"/>
        <v>3924</v>
      </c>
      <c r="I1347" s="1669">
        <f t="shared" si="208"/>
        <v>0</v>
      </c>
      <c r="J1347" s="1669">
        <f t="shared" si="209"/>
        <v>3924</v>
      </c>
      <c r="K1347" s="1708"/>
      <c r="L1347" s="1721"/>
      <c r="M1347" s="1710" t="s">
        <v>1018</v>
      </c>
      <c r="N1347" s="1685"/>
    </row>
    <row r="1348" spans="1:14" ht="24" customHeight="1">
      <c r="A1348" s="1712"/>
      <c r="B1348" s="1673" t="s">
        <v>139</v>
      </c>
      <c r="C1348" s="1674" t="s">
        <v>163</v>
      </c>
      <c r="D1348" s="1675">
        <f>D1344</f>
        <v>65.400000000000006</v>
      </c>
      <c r="E1348" s="1676" t="s">
        <v>83</v>
      </c>
      <c r="F1348" s="1736">
        <v>28</v>
      </c>
      <c r="G1348" s="1736">
        <v>0</v>
      </c>
      <c r="H1348" s="1669">
        <f t="shared" si="207"/>
        <v>1831.2000000000003</v>
      </c>
      <c r="I1348" s="1669">
        <f t="shared" si="208"/>
        <v>0</v>
      </c>
      <c r="J1348" s="1669">
        <f t="shared" si="209"/>
        <v>1831.2000000000003</v>
      </c>
      <c r="K1348" s="1708"/>
      <c r="L1348" s="1721"/>
      <c r="M1348" s="1710" t="s">
        <v>1018</v>
      </c>
      <c r="N1348" s="1685"/>
    </row>
    <row r="1349" spans="1:14" ht="24" customHeight="1">
      <c r="A1349" s="1712"/>
      <c r="B1349" s="1673" t="s">
        <v>139</v>
      </c>
      <c r="C1349" s="1674" t="s">
        <v>1781</v>
      </c>
      <c r="D1349" s="1675">
        <f>D1344*0.25</f>
        <v>16.350000000000001</v>
      </c>
      <c r="E1349" s="1676" t="s">
        <v>87</v>
      </c>
      <c r="F1349" s="1736">
        <v>23.89</v>
      </c>
      <c r="G1349" s="1736">
        <v>0</v>
      </c>
      <c r="H1349" s="1669">
        <f t="shared" si="207"/>
        <v>390.60150000000004</v>
      </c>
      <c r="I1349" s="1669">
        <f t="shared" si="208"/>
        <v>0</v>
      </c>
      <c r="J1349" s="1669">
        <f t="shared" si="209"/>
        <v>390.60150000000004</v>
      </c>
      <c r="K1349" s="1708"/>
      <c r="L1349" s="1721"/>
      <c r="M1349" s="1710" t="s">
        <v>660</v>
      </c>
      <c r="N1349" s="1685"/>
    </row>
    <row r="1350" spans="1:14" ht="24" customHeight="1">
      <c r="A1350" s="1712"/>
      <c r="B1350" s="2368" t="s">
        <v>1032</v>
      </c>
      <c r="C1350" s="2370"/>
      <c r="D1350" s="1675"/>
      <c r="E1350" s="1676"/>
      <c r="F1350" s="1669"/>
      <c r="G1350" s="1669"/>
      <c r="H1350" s="1669"/>
      <c r="I1350" s="1669"/>
      <c r="J1350" s="1669"/>
      <c r="K1350" s="1708"/>
      <c r="L1350" s="1721"/>
      <c r="M1350" s="1711"/>
      <c r="N1350" s="1711"/>
    </row>
    <row r="1351" spans="1:14" ht="24" customHeight="1">
      <c r="A1351" s="1712"/>
      <c r="B1351" s="1673" t="s">
        <v>139</v>
      </c>
      <c r="C1351" s="1674" t="s">
        <v>88</v>
      </c>
      <c r="D1351" s="1675">
        <v>326.3</v>
      </c>
      <c r="E1351" s="1676" t="s">
        <v>87</v>
      </c>
      <c r="F1351" s="1677">
        <v>21.4</v>
      </c>
      <c r="G1351" s="1677">
        <v>4.4000000000000004</v>
      </c>
      <c r="H1351" s="1669">
        <f t="shared" si="207"/>
        <v>6982.82</v>
      </c>
      <c r="I1351" s="1669">
        <f t="shared" si="208"/>
        <v>1435.7200000000003</v>
      </c>
      <c r="J1351" s="1669">
        <f t="shared" ref="J1351:J1358" si="210">SUM(H1351:I1351)</f>
        <v>8418.5400000000009</v>
      </c>
      <c r="K1351" s="1708"/>
      <c r="L1351" s="1721"/>
      <c r="M1351" s="1710" t="s">
        <v>1016</v>
      </c>
      <c r="N1351" s="1711" t="s">
        <v>659</v>
      </c>
    </row>
    <row r="1352" spans="1:14" ht="24" customHeight="1">
      <c r="A1352" s="1712"/>
      <c r="B1352" s="1673" t="s">
        <v>139</v>
      </c>
      <c r="C1352" s="1674" t="s">
        <v>89</v>
      </c>
      <c r="D1352" s="1675">
        <v>833.5</v>
      </c>
      <c r="E1352" s="1676" t="s">
        <v>87</v>
      </c>
      <c r="F1352" s="1677">
        <v>21.4</v>
      </c>
      <c r="G1352" s="1677">
        <v>3.6</v>
      </c>
      <c r="H1352" s="1669">
        <f t="shared" si="207"/>
        <v>17836.899999999998</v>
      </c>
      <c r="I1352" s="1669">
        <f t="shared" si="208"/>
        <v>3000.6</v>
      </c>
      <c r="J1352" s="1669">
        <f t="shared" si="210"/>
        <v>20837.499999999996</v>
      </c>
      <c r="K1352" s="1708"/>
      <c r="L1352" s="1721"/>
      <c r="M1352" s="1710" t="s">
        <v>1016</v>
      </c>
      <c r="N1352" s="1711" t="s">
        <v>659</v>
      </c>
    </row>
    <row r="1353" spans="1:14" ht="24" customHeight="1">
      <c r="A1353" s="1712"/>
      <c r="B1353" s="1673" t="s">
        <v>139</v>
      </c>
      <c r="C1353" s="1674" t="s">
        <v>91</v>
      </c>
      <c r="D1353" s="1675">
        <v>757.6</v>
      </c>
      <c r="E1353" s="1676" t="s">
        <v>87</v>
      </c>
      <c r="F1353" s="1677">
        <v>21.2</v>
      </c>
      <c r="G1353" s="1677">
        <v>3.1</v>
      </c>
      <c r="H1353" s="1669">
        <f t="shared" si="207"/>
        <v>16061.12</v>
      </c>
      <c r="I1353" s="1669">
        <f t="shared" si="208"/>
        <v>2348.56</v>
      </c>
      <c r="J1353" s="1669">
        <f t="shared" si="210"/>
        <v>18409.68</v>
      </c>
      <c r="K1353" s="1708"/>
      <c r="L1353" s="1721"/>
      <c r="M1353" s="1710" t="s">
        <v>1016</v>
      </c>
      <c r="N1353" s="1711" t="s">
        <v>659</v>
      </c>
    </row>
    <row r="1354" spans="1:14" s="1685" customFormat="1" ht="24" customHeight="1">
      <c r="A1354" s="1712"/>
      <c r="B1354" s="1673" t="s">
        <v>139</v>
      </c>
      <c r="C1354" s="1674" t="s">
        <v>200</v>
      </c>
      <c r="D1354" s="1675">
        <f>SUM(D1351:D1353)*0.03</f>
        <v>57.521999999999998</v>
      </c>
      <c r="E1354" s="1676" t="s">
        <v>87</v>
      </c>
      <c r="F1354" s="1677">
        <v>25.83</v>
      </c>
      <c r="G1354" s="1677">
        <v>0</v>
      </c>
      <c r="H1354" s="1669">
        <f t="shared" si="207"/>
        <v>1485.7932599999999</v>
      </c>
      <c r="I1354" s="1669">
        <f t="shared" si="208"/>
        <v>0</v>
      </c>
      <c r="J1354" s="1669">
        <f t="shared" si="210"/>
        <v>1485.7932599999999</v>
      </c>
      <c r="K1354" s="1708"/>
      <c r="L1354" s="1721"/>
      <c r="M1354" s="1710" t="s">
        <v>1019</v>
      </c>
      <c r="N1354" s="1711"/>
    </row>
    <row r="1355" spans="1:14" ht="24" customHeight="1">
      <c r="A1355" s="1712"/>
      <c r="B1355" s="1673" t="s">
        <v>139</v>
      </c>
      <c r="C1355" s="1713" t="s">
        <v>1104</v>
      </c>
      <c r="D1355" s="1675">
        <v>4140</v>
      </c>
      <c r="E1355" s="1676" t="s">
        <v>87</v>
      </c>
      <c r="F1355" s="1669">
        <v>38.799999999999997</v>
      </c>
      <c r="G1355" s="1669">
        <v>12</v>
      </c>
      <c r="H1355" s="1669">
        <f t="shared" si="207"/>
        <v>160632</v>
      </c>
      <c r="I1355" s="1669">
        <f t="shared" si="208"/>
        <v>49680</v>
      </c>
      <c r="J1355" s="1669">
        <f t="shared" si="210"/>
        <v>210312</v>
      </c>
      <c r="K1355" s="1708"/>
      <c r="L1355" s="1721"/>
      <c r="M1355" s="1710" t="s">
        <v>1020</v>
      </c>
      <c r="N1355" s="1711" t="s">
        <v>664</v>
      </c>
    </row>
    <row r="1356" spans="1:14" ht="24" customHeight="1">
      <c r="A1356" s="1702"/>
      <c r="B1356" s="1703" t="s">
        <v>139</v>
      </c>
      <c r="C1356" s="1704" t="s">
        <v>1105</v>
      </c>
      <c r="D1356" s="1705">
        <v>410.4</v>
      </c>
      <c r="E1356" s="1706" t="s">
        <v>87</v>
      </c>
      <c r="F1356" s="1742">
        <v>36.4</v>
      </c>
      <c r="G1356" s="1707">
        <v>12</v>
      </c>
      <c r="H1356" s="1707">
        <f t="shared" si="207"/>
        <v>14938.56</v>
      </c>
      <c r="I1356" s="1707">
        <f t="shared" si="208"/>
        <v>4924.7999999999993</v>
      </c>
      <c r="J1356" s="1707">
        <f t="shared" si="210"/>
        <v>19863.36</v>
      </c>
      <c r="K1356" s="1709"/>
      <c r="L1356" s="1721"/>
      <c r="M1356" s="1710" t="s">
        <v>1020</v>
      </c>
      <c r="N1356" s="1711" t="s">
        <v>664</v>
      </c>
    </row>
    <row r="1357" spans="1:14" ht="24" customHeight="1">
      <c r="A1357" s="1712"/>
      <c r="B1357" s="1673" t="s">
        <v>139</v>
      </c>
      <c r="C1357" s="1713" t="s">
        <v>1207</v>
      </c>
      <c r="D1357" s="1675">
        <v>155.69999999999999</v>
      </c>
      <c r="E1357" s="1676" t="s">
        <v>87</v>
      </c>
      <c r="F1357" s="1669">
        <v>30.1</v>
      </c>
      <c r="G1357" s="1669">
        <v>12</v>
      </c>
      <c r="H1357" s="1669">
        <f t="shared" si="207"/>
        <v>4686.57</v>
      </c>
      <c r="I1357" s="1669">
        <f t="shared" si="208"/>
        <v>1868.3999999999999</v>
      </c>
      <c r="J1357" s="1669">
        <f t="shared" si="210"/>
        <v>6554.9699999999993</v>
      </c>
      <c r="K1357" s="1708"/>
      <c r="L1357" s="1721"/>
      <c r="M1357" s="1710" t="s">
        <v>1020</v>
      </c>
      <c r="N1357" s="1711" t="s">
        <v>664</v>
      </c>
    </row>
    <row r="1358" spans="1:14" ht="24" customHeight="1">
      <c r="A1358" s="1712"/>
      <c r="B1358" s="1673" t="s">
        <v>139</v>
      </c>
      <c r="C1358" s="1674" t="s">
        <v>90</v>
      </c>
      <c r="D1358" s="1675">
        <v>22.8</v>
      </c>
      <c r="E1358" s="1676" t="s">
        <v>87</v>
      </c>
      <c r="F1358" s="1677">
        <v>21.2</v>
      </c>
      <c r="G1358" s="1677">
        <v>3.6</v>
      </c>
      <c r="H1358" s="1669">
        <f t="shared" si="207"/>
        <v>483.36</v>
      </c>
      <c r="I1358" s="1669">
        <f t="shared" si="208"/>
        <v>82.08</v>
      </c>
      <c r="J1358" s="1669">
        <f t="shared" si="210"/>
        <v>565.44000000000005</v>
      </c>
      <c r="K1358" s="1708"/>
      <c r="L1358" s="1721"/>
      <c r="M1358" s="1710" t="s">
        <v>1016</v>
      </c>
      <c r="N1358" s="1711" t="s">
        <v>659</v>
      </c>
    </row>
    <row r="1359" spans="1:14" s="1685" customFormat="1" ht="24" customHeight="1">
      <c r="A1359" s="1712"/>
      <c r="B1359" s="2368" t="s">
        <v>1035</v>
      </c>
      <c r="C1359" s="2370"/>
      <c r="D1359" s="1675"/>
      <c r="E1359" s="1676"/>
      <c r="F1359" s="1669"/>
      <c r="G1359" s="1669"/>
      <c r="H1359" s="1669"/>
      <c r="I1359" s="1669"/>
      <c r="J1359" s="1669"/>
      <c r="K1359" s="1708"/>
      <c r="L1359" s="1721"/>
      <c r="M1359" s="1711"/>
      <c r="N1359" s="1711"/>
    </row>
    <row r="1360" spans="1:14" s="1685" customFormat="1" ht="24" customHeight="1">
      <c r="A1360" s="1712"/>
      <c r="B1360" s="2368" t="s">
        <v>1034</v>
      </c>
      <c r="C1360" s="2370"/>
      <c r="D1360" s="1675"/>
      <c r="E1360" s="1676"/>
      <c r="F1360" s="1669"/>
      <c r="G1360" s="1669"/>
      <c r="H1360" s="1669"/>
      <c r="I1360" s="1669"/>
      <c r="J1360" s="1669"/>
      <c r="K1360" s="1708"/>
      <c r="L1360" s="1721"/>
      <c r="M1360" s="1711"/>
      <c r="N1360" s="1711"/>
    </row>
    <row r="1361" spans="1:14" ht="24" customHeight="1">
      <c r="A1361" s="1712"/>
      <c r="B1361" s="1673" t="s">
        <v>139</v>
      </c>
      <c r="C1361" s="1674" t="s">
        <v>228</v>
      </c>
      <c r="D1361" s="1675">
        <v>17</v>
      </c>
      <c r="E1361" s="1676" t="s">
        <v>85</v>
      </c>
      <c r="F1361" s="1736">
        <v>2679.9</v>
      </c>
      <c r="G1361" s="1736">
        <v>519</v>
      </c>
      <c r="H1361" s="1669">
        <f t="shared" ref="H1361:H1379" si="211">F1361*D1361</f>
        <v>45558.3</v>
      </c>
      <c r="I1361" s="1669">
        <f t="shared" ref="I1361:I1379" si="212">G1361*D1361</f>
        <v>8823</v>
      </c>
      <c r="J1361" s="1669">
        <f t="shared" ref="J1361:J1367" si="213">SUM(H1361:I1361)</f>
        <v>54381.3</v>
      </c>
      <c r="K1361" s="1708"/>
      <c r="L1361" s="1721"/>
      <c r="M1361" s="1710" t="s">
        <v>1016</v>
      </c>
      <c r="N1361" s="1711" t="s">
        <v>659</v>
      </c>
    </row>
    <row r="1362" spans="1:14" ht="24" customHeight="1">
      <c r="A1362" s="1712"/>
      <c r="B1362" s="2368" t="s">
        <v>1036</v>
      </c>
      <c r="C1362" s="2370"/>
      <c r="D1362" s="1675">
        <v>93.9</v>
      </c>
      <c r="E1362" s="1676"/>
      <c r="F1362" s="1669"/>
      <c r="G1362" s="1669"/>
      <c r="H1362" s="1669"/>
      <c r="I1362" s="1669"/>
      <c r="J1362" s="1669"/>
      <c r="K1362" s="1708"/>
      <c r="L1362" s="1721"/>
      <c r="M1362" s="1711"/>
      <c r="N1362" s="1711"/>
    </row>
    <row r="1363" spans="1:14" ht="24" customHeight="1">
      <c r="A1363" s="1712"/>
      <c r="B1363" s="1673" t="s">
        <v>139</v>
      </c>
      <c r="C1363" s="1713" t="s">
        <v>165</v>
      </c>
      <c r="D1363" s="1675">
        <f>D1362</f>
        <v>93.9</v>
      </c>
      <c r="E1363" s="1676" t="s">
        <v>86</v>
      </c>
      <c r="F1363" s="1669">
        <v>0</v>
      </c>
      <c r="G1363" s="1669">
        <v>121</v>
      </c>
      <c r="H1363" s="1669">
        <f t="shared" si="211"/>
        <v>0</v>
      </c>
      <c r="I1363" s="1669">
        <f t="shared" si="212"/>
        <v>11361.900000000001</v>
      </c>
      <c r="J1363" s="1669">
        <f t="shared" si="213"/>
        <v>11361.900000000001</v>
      </c>
      <c r="K1363" s="1708"/>
      <c r="L1363" s="1721"/>
      <c r="M1363" s="1710" t="s">
        <v>1017</v>
      </c>
      <c r="N1363" s="1711" t="s">
        <v>659</v>
      </c>
    </row>
    <row r="1364" spans="1:14" ht="24" customHeight="1">
      <c r="A1364" s="1712"/>
      <c r="B1364" s="1673" t="s">
        <v>139</v>
      </c>
      <c r="C1364" s="1713" t="s">
        <v>198</v>
      </c>
      <c r="D1364" s="1675">
        <f>D1362*0.5</f>
        <v>46.95</v>
      </c>
      <c r="E1364" s="1676" t="s">
        <v>164</v>
      </c>
      <c r="F1364" s="1669">
        <v>400</v>
      </c>
      <c r="G1364" s="1669">
        <v>0</v>
      </c>
      <c r="H1364" s="1669">
        <f t="shared" si="211"/>
        <v>18780</v>
      </c>
      <c r="I1364" s="1669">
        <f t="shared" si="212"/>
        <v>0</v>
      </c>
      <c r="J1364" s="1669">
        <f t="shared" si="213"/>
        <v>18780</v>
      </c>
      <c r="K1364" s="1708"/>
      <c r="L1364" s="1721"/>
      <c r="M1364" s="1710" t="s">
        <v>1018</v>
      </c>
      <c r="N1364" s="1711"/>
    </row>
    <row r="1365" spans="1:14" ht="24" customHeight="1">
      <c r="A1365" s="1712"/>
      <c r="B1365" s="1673" t="s">
        <v>139</v>
      </c>
      <c r="C1365" s="1674" t="s">
        <v>166</v>
      </c>
      <c r="D1365" s="1675">
        <f>D1364*0.3</f>
        <v>14.085000000000001</v>
      </c>
      <c r="E1365" s="1676" t="s">
        <v>164</v>
      </c>
      <c r="F1365" s="1736">
        <v>400</v>
      </c>
      <c r="G1365" s="1736">
        <v>0</v>
      </c>
      <c r="H1365" s="1669">
        <f t="shared" si="211"/>
        <v>5634</v>
      </c>
      <c r="I1365" s="1669">
        <f t="shared" si="212"/>
        <v>0</v>
      </c>
      <c r="J1365" s="1669">
        <f t="shared" si="213"/>
        <v>5634</v>
      </c>
      <c r="K1365" s="1708"/>
      <c r="L1365" s="1721"/>
      <c r="M1365" s="1710" t="s">
        <v>1018</v>
      </c>
      <c r="N1365" s="1685"/>
    </row>
    <row r="1366" spans="1:14" ht="24" customHeight="1">
      <c r="A1366" s="1712"/>
      <c r="B1366" s="1673" t="s">
        <v>139</v>
      </c>
      <c r="C1366" s="1674" t="s">
        <v>163</v>
      </c>
      <c r="D1366" s="1675">
        <f>D1362</f>
        <v>93.9</v>
      </c>
      <c r="E1366" s="1676" t="s">
        <v>83</v>
      </c>
      <c r="F1366" s="1736">
        <v>28</v>
      </c>
      <c r="G1366" s="1736">
        <v>0</v>
      </c>
      <c r="H1366" s="1669">
        <f t="shared" si="211"/>
        <v>2629.2000000000003</v>
      </c>
      <c r="I1366" s="1669">
        <f t="shared" si="212"/>
        <v>0</v>
      </c>
      <c r="J1366" s="1669">
        <f t="shared" si="213"/>
        <v>2629.2000000000003</v>
      </c>
      <c r="K1366" s="1708"/>
      <c r="L1366" s="1721"/>
      <c r="M1366" s="1710" t="s">
        <v>1018</v>
      </c>
      <c r="N1366" s="1685"/>
    </row>
    <row r="1367" spans="1:14" ht="24" customHeight="1">
      <c r="A1367" s="1712"/>
      <c r="B1367" s="1673" t="s">
        <v>139</v>
      </c>
      <c r="C1367" s="1674" t="s">
        <v>1781</v>
      </c>
      <c r="D1367" s="1675">
        <f>D1362*0.25</f>
        <v>23.475000000000001</v>
      </c>
      <c r="E1367" s="1676" t="s">
        <v>87</v>
      </c>
      <c r="F1367" s="1736">
        <v>23.89</v>
      </c>
      <c r="G1367" s="1736">
        <v>0</v>
      </c>
      <c r="H1367" s="1669">
        <f t="shared" si="211"/>
        <v>560.81775000000005</v>
      </c>
      <c r="I1367" s="1669">
        <f t="shared" si="212"/>
        <v>0</v>
      </c>
      <c r="J1367" s="1669">
        <f t="shared" si="213"/>
        <v>560.81775000000005</v>
      </c>
      <c r="K1367" s="1708"/>
      <c r="L1367" s="1721"/>
      <c r="M1367" s="1710" t="s">
        <v>660</v>
      </c>
      <c r="N1367" s="1685"/>
    </row>
    <row r="1368" spans="1:14" ht="24" customHeight="1">
      <c r="A1368" s="1780"/>
      <c r="B1368" s="1780"/>
      <c r="C1368" s="1827" t="s">
        <v>133</v>
      </c>
      <c r="D1368" s="2365"/>
      <c r="E1368" s="2365"/>
      <c r="F1368" s="2365"/>
      <c r="G1368" s="2365"/>
      <c r="H1368" s="2365"/>
      <c r="I1368" s="2365"/>
      <c r="J1368" s="2365"/>
      <c r="K1368" s="2365"/>
      <c r="L1368" s="1721"/>
      <c r="M1368" s="1710"/>
      <c r="N1368" s="1685"/>
    </row>
    <row r="1369" spans="1:14" ht="24" customHeight="1">
      <c r="A1369" s="1780"/>
      <c r="B1369" s="2366" t="s">
        <v>1769</v>
      </c>
      <c r="C1369" s="2366"/>
      <c r="D1369" s="1828"/>
      <c r="E1369" s="1769"/>
      <c r="F1369" s="1828"/>
      <c r="G1369" s="1828" t="s">
        <v>134</v>
      </c>
      <c r="H1369" s="1828"/>
      <c r="I1369" s="1828"/>
      <c r="J1369" s="1828"/>
      <c r="K1369" s="1828"/>
      <c r="L1369" s="1721"/>
      <c r="M1369" s="1710"/>
      <c r="N1369" s="1685"/>
    </row>
    <row r="1370" spans="1:14" ht="24" customHeight="1">
      <c r="A1370" s="1780"/>
      <c r="B1370" s="2367" t="s">
        <v>1970</v>
      </c>
      <c r="C1370" s="2367"/>
      <c r="D1370" s="1831"/>
      <c r="E1370" s="1832"/>
      <c r="F1370" s="1833"/>
      <c r="G1370" s="1833" t="s">
        <v>1971</v>
      </c>
      <c r="H1370" s="1833"/>
      <c r="I1370" s="1833"/>
      <c r="J1370" s="1833"/>
      <c r="K1370" s="1833"/>
      <c r="L1370" s="1721"/>
      <c r="M1370" s="1710"/>
      <c r="N1370" s="1685"/>
    </row>
    <row r="1371" spans="1:14" ht="24" customHeight="1">
      <c r="A1371" s="1830"/>
      <c r="B1371" s="1828" t="s">
        <v>2031</v>
      </c>
      <c r="C1371" s="1830"/>
      <c r="D1371" s="1830"/>
      <c r="E1371" s="1830"/>
      <c r="F1371" s="1830"/>
      <c r="G1371" s="1828" t="s">
        <v>2031</v>
      </c>
      <c r="H1371" s="1830"/>
      <c r="I1371" s="1830"/>
      <c r="J1371" s="1830"/>
      <c r="K1371" s="1830"/>
      <c r="L1371" s="1721"/>
      <c r="M1371" s="1710"/>
      <c r="N1371" s="1685"/>
    </row>
    <row r="1372" spans="1:14" ht="24" customHeight="1">
      <c r="B1372" s="1721" t="s">
        <v>1984</v>
      </c>
      <c r="C1372" s="1830"/>
      <c r="D1372" s="1685"/>
      <c r="E1372" s="1685"/>
      <c r="G1372" s="1721" t="s">
        <v>1985</v>
      </c>
      <c r="H1372" s="1685"/>
      <c r="I1372" s="1685"/>
      <c r="J1372" s="1685"/>
      <c r="K1372" s="1685"/>
      <c r="L1372" s="1721"/>
      <c r="M1372" s="1710"/>
      <c r="N1372" s="1685"/>
    </row>
    <row r="1373" spans="1:14" ht="24" customHeight="1">
      <c r="B1373" s="1828" t="s">
        <v>670</v>
      </c>
      <c r="L1373" s="1721"/>
      <c r="M1373" s="1710"/>
      <c r="N1373" s="1685"/>
    </row>
    <row r="1374" spans="1:14" ht="24" customHeight="1">
      <c r="B1374" s="1721" t="s">
        <v>1972</v>
      </c>
      <c r="L1374" s="1721"/>
      <c r="M1374" s="1710"/>
      <c r="N1374" s="1685"/>
    </row>
    <row r="1375" spans="1:14" ht="24" customHeight="1">
      <c r="A1375" s="1712"/>
      <c r="B1375" s="2368" t="s">
        <v>1037</v>
      </c>
      <c r="C1375" s="2370"/>
      <c r="D1375" s="1675"/>
      <c r="E1375" s="1676"/>
      <c r="F1375" s="1669"/>
      <c r="G1375" s="1669"/>
      <c r="H1375" s="1669"/>
      <c r="I1375" s="1669"/>
      <c r="J1375" s="1669"/>
      <c r="K1375" s="1708"/>
      <c r="L1375" s="1721"/>
      <c r="M1375" s="1711"/>
      <c r="N1375" s="1711"/>
    </row>
    <row r="1376" spans="1:14" ht="24" customHeight="1">
      <c r="A1376" s="1712"/>
      <c r="B1376" s="1673" t="s">
        <v>139</v>
      </c>
      <c r="C1376" s="1674" t="s">
        <v>88</v>
      </c>
      <c r="D1376" s="1675">
        <v>345.2</v>
      </c>
      <c r="E1376" s="1676" t="s">
        <v>87</v>
      </c>
      <c r="F1376" s="1677">
        <v>21.4</v>
      </c>
      <c r="G1376" s="1677">
        <v>4.4000000000000004</v>
      </c>
      <c r="H1376" s="1669">
        <f t="shared" si="211"/>
        <v>7387.2799999999988</v>
      </c>
      <c r="I1376" s="1669">
        <f t="shared" si="212"/>
        <v>1518.88</v>
      </c>
      <c r="J1376" s="1669">
        <f>SUM(H1376:I1376)</f>
        <v>8906.16</v>
      </c>
      <c r="K1376" s="1708"/>
      <c r="L1376" s="1721"/>
      <c r="M1376" s="1710" t="s">
        <v>1016</v>
      </c>
      <c r="N1376" s="1711" t="s">
        <v>659</v>
      </c>
    </row>
    <row r="1377" spans="1:14" ht="24" customHeight="1">
      <c r="A1377" s="1712"/>
      <c r="B1377" s="1673" t="s">
        <v>139</v>
      </c>
      <c r="C1377" s="1674" t="s">
        <v>89</v>
      </c>
      <c r="D1377" s="1718">
        <v>1167.2</v>
      </c>
      <c r="E1377" s="1676" t="s">
        <v>87</v>
      </c>
      <c r="F1377" s="1677">
        <v>21.4</v>
      </c>
      <c r="G1377" s="1677">
        <v>3.6</v>
      </c>
      <c r="H1377" s="1669">
        <f t="shared" si="211"/>
        <v>24978.079999999998</v>
      </c>
      <c r="I1377" s="1669">
        <f t="shared" si="212"/>
        <v>4201.92</v>
      </c>
      <c r="J1377" s="1669">
        <f>SUM(H1377:I1377)</f>
        <v>29180</v>
      </c>
      <c r="K1377" s="1708"/>
      <c r="L1377" s="1721"/>
      <c r="M1377" s="1710" t="s">
        <v>1016</v>
      </c>
      <c r="N1377" s="1711" t="s">
        <v>659</v>
      </c>
    </row>
    <row r="1378" spans="1:14" ht="24" customHeight="1">
      <c r="A1378" s="1664"/>
      <c r="B1378" s="1665" t="s">
        <v>139</v>
      </c>
      <c r="C1378" s="1666" t="s">
        <v>91</v>
      </c>
      <c r="D1378" s="1675">
        <v>628.1</v>
      </c>
      <c r="E1378" s="1668" t="s">
        <v>87</v>
      </c>
      <c r="F1378" s="1744">
        <v>21.2</v>
      </c>
      <c r="G1378" s="1744">
        <v>3.1</v>
      </c>
      <c r="H1378" s="1670">
        <f t="shared" si="211"/>
        <v>13315.72</v>
      </c>
      <c r="I1378" s="1670">
        <f t="shared" si="212"/>
        <v>1947.1100000000001</v>
      </c>
      <c r="J1378" s="1670">
        <f>SUM(H1378:I1378)</f>
        <v>15262.83</v>
      </c>
      <c r="K1378" s="1746"/>
      <c r="L1378" s="1721"/>
      <c r="M1378" s="1710" t="s">
        <v>1016</v>
      </c>
      <c r="N1378" s="1711" t="s">
        <v>659</v>
      </c>
    </row>
    <row r="1379" spans="1:14" ht="24" customHeight="1">
      <c r="A1379" s="1712"/>
      <c r="B1379" s="1673" t="s">
        <v>139</v>
      </c>
      <c r="C1379" s="1674" t="s">
        <v>200</v>
      </c>
      <c r="D1379" s="1675">
        <f>SUM(D1376:D1378)*0.03</f>
        <v>64.215000000000003</v>
      </c>
      <c r="E1379" s="1676" t="s">
        <v>87</v>
      </c>
      <c r="F1379" s="1677">
        <v>25.83</v>
      </c>
      <c r="G1379" s="1677">
        <v>0</v>
      </c>
      <c r="H1379" s="1669">
        <f t="shared" si="211"/>
        <v>1658.67345</v>
      </c>
      <c r="I1379" s="1669">
        <f t="shared" si="212"/>
        <v>0</v>
      </c>
      <c r="J1379" s="1669">
        <f>SUM(H1379:I1379)</f>
        <v>1658.67345</v>
      </c>
      <c r="K1379" s="1708"/>
      <c r="L1379" s="1721"/>
      <c r="M1379" s="1710" t="s">
        <v>1019</v>
      </c>
      <c r="N1379" s="1711"/>
    </row>
    <row r="1380" spans="1:14" ht="24" customHeight="1">
      <c r="A1380" s="1712"/>
      <c r="B1380" s="2368" t="s">
        <v>1038</v>
      </c>
      <c r="C1380" s="2370"/>
      <c r="D1380" s="1675"/>
      <c r="E1380" s="1676"/>
      <c r="F1380" s="1669"/>
      <c r="G1380" s="1669"/>
      <c r="H1380" s="1669"/>
      <c r="I1380" s="1669"/>
      <c r="J1380" s="1669"/>
      <c r="K1380" s="1708"/>
      <c r="L1380" s="1721"/>
      <c r="M1380" s="1711"/>
      <c r="N1380" s="1711"/>
    </row>
    <row r="1381" spans="1:14" ht="24" customHeight="1">
      <c r="A1381" s="1712"/>
      <c r="B1381" s="2368" t="s">
        <v>1039</v>
      </c>
      <c r="C1381" s="2370"/>
      <c r="D1381" s="1675"/>
      <c r="E1381" s="1676"/>
      <c r="F1381" s="1669"/>
      <c r="G1381" s="1669"/>
      <c r="H1381" s="1669"/>
      <c r="I1381" s="1669"/>
      <c r="J1381" s="1669"/>
      <c r="K1381" s="1708"/>
      <c r="L1381" s="1721"/>
      <c r="M1381" s="1711"/>
      <c r="N1381" s="1711"/>
    </row>
    <row r="1382" spans="1:14" s="1685" customFormat="1" ht="24" customHeight="1">
      <c r="A1382" s="1712"/>
      <c r="B1382" s="1673" t="s">
        <v>139</v>
      </c>
      <c r="C1382" s="1674" t="s">
        <v>228</v>
      </c>
      <c r="D1382" s="1675">
        <v>14.2</v>
      </c>
      <c r="E1382" s="1676" t="s">
        <v>85</v>
      </c>
      <c r="F1382" s="1736">
        <v>2679.9</v>
      </c>
      <c r="G1382" s="1736">
        <v>519</v>
      </c>
      <c r="H1382" s="1669">
        <f t="shared" ref="H1382:H1393" si="214">F1382*D1382</f>
        <v>38054.58</v>
      </c>
      <c r="I1382" s="1669">
        <f t="shared" ref="I1382:I1393" si="215">G1382*D1382</f>
        <v>7369.7999999999993</v>
      </c>
      <c r="J1382" s="1669">
        <f t="shared" ref="J1382:J1388" si="216">SUM(H1382:I1382)</f>
        <v>45424.380000000005</v>
      </c>
      <c r="K1382" s="1708"/>
      <c r="L1382" s="1721"/>
      <c r="M1382" s="1710" t="s">
        <v>1016</v>
      </c>
      <c r="N1382" s="1711" t="s">
        <v>659</v>
      </c>
    </row>
    <row r="1383" spans="1:14" s="1685" customFormat="1" ht="24" customHeight="1">
      <c r="A1383" s="1712"/>
      <c r="B1383" s="2368" t="s">
        <v>1040</v>
      </c>
      <c r="C1383" s="2370"/>
      <c r="D1383" s="1675">
        <v>95</v>
      </c>
      <c r="E1383" s="1676"/>
      <c r="F1383" s="1669"/>
      <c r="G1383" s="1669"/>
      <c r="H1383" s="1669"/>
      <c r="I1383" s="1669"/>
      <c r="J1383" s="1669"/>
      <c r="K1383" s="1708"/>
      <c r="L1383" s="1721"/>
      <c r="M1383" s="1711"/>
      <c r="N1383" s="1711"/>
    </row>
    <row r="1384" spans="1:14" ht="24" customHeight="1">
      <c r="A1384" s="1712"/>
      <c r="B1384" s="1673" t="s">
        <v>139</v>
      </c>
      <c r="C1384" s="1674" t="s">
        <v>165</v>
      </c>
      <c r="D1384" s="1675">
        <f>D1383</f>
        <v>95</v>
      </c>
      <c r="E1384" s="1676" t="s">
        <v>86</v>
      </c>
      <c r="F1384" s="1736">
        <v>0</v>
      </c>
      <c r="G1384" s="1669">
        <v>121</v>
      </c>
      <c r="H1384" s="1669">
        <f t="shared" si="214"/>
        <v>0</v>
      </c>
      <c r="I1384" s="1669">
        <f t="shared" si="215"/>
        <v>11495</v>
      </c>
      <c r="J1384" s="1669">
        <f t="shared" si="216"/>
        <v>11495</v>
      </c>
      <c r="K1384" s="1708"/>
      <c r="L1384" s="1721"/>
      <c r="M1384" s="1710" t="s">
        <v>1017</v>
      </c>
      <c r="N1384" s="1711" t="s">
        <v>659</v>
      </c>
    </row>
    <row r="1385" spans="1:14" ht="24" customHeight="1">
      <c r="A1385" s="1712"/>
      <c r="B1385" s="1673" t="s">
        <v>139</v>
      </c>
      <c r="C1385" s="1674" t="s">
        <v>198</v>
      </c>
      <c r="D1385" s="1675">
        <f>D1383*0.5</f>
        <v>47.5</v>
      </c>
      <c r="E1385" s="1676" t="s">
        <v>164</v>
      </c>
      <c r="F1385" s="1736">
        <v>400</v>
      </c>
      <c r="G1385" s="1736">
        <v>0</v>
      </c>
      <c r="H1385" s="1669">
        <f t="shared" si="214"/>
        <v>19000</v>
      </c>
      <c r="I1385" s="1669">
        <f t="shared" si="215"/>
        <v>0</v>
      </c>
      <c r="J1385" s="1669">
        <f t="shared" si="216"/>
        <v>19000</v>
      </c>
      <c r="K1385" s="1708"/>
      <c r="L1385" s="1721"/>
      <c r="M1385" s="1710" t="s">
        <v>1018</v>
      </c>
      <c r="N1385" s="1711"/>
    </row>
    <row r="1386" spans="1:14" ht="24" customHeight="1">
      <c r="A1386" s="1712"/>
      <c r="B1386" s="1673" t="s">
        <v>139</v>
      </c>
      <c r="C1386" s="1674" t="s">
        <v>166</v>
      </c>
      <c r="D1386" s="1675">
        <f>D1385*0.3</f>
        <v>14.25</v>
      </c>
      <c r="E1386" s="1676" t="s">
        <v>164</v>
      </c>
      <c r="F1386" s="1736">
        <v>400</v>
      </c>
      <c r="G1386" s="1736">
        <v>0</v>
      </c>
      <c r="H1386" s="1669">
        <f t="shared" si="214"/>
        <v>5700</v>
      </c>
      <c r="I1386" s="1669">
        <f t="shared" si="215"/>
        <v>0</v>
      </c>
      <c r="J1386" s="1669">
        <f t="shared" si="216"/>
        <v>5700</v>
      </c>
      <c r="K1386" s="1708"/>
      <c r="L1386" s="1721"/>
      <c r="M1386" s="1710" t="s">
        <v>1018</v>
      </c>
      <c r="N1386" s="1685"/>
    </row>
    <row r="1387" spans="1:14" ht="24" customHeight="1">
      <c r="A1387" s="1702"/>
      <c r="B1387" s="1703" t="s">
        <v>139</v>
      </c>
      <c r="C1387" s="1743" t="s">
        <v>163</v>
      </c>
      <c r="D1387" s="1705">
        <f>D1383</f>
        <v>95</v>
      </c>
      <c r="E1387" s="1706" t="s">
        <v>83</v>
      </c>
      <c r="F1387" s="1742">
        <v>28</v>
      </c>
      <c r="G1387" s="1742">
        <v>0</v>
      </c>
      <c r="H1387" s="1707">
        <f t="shared" si="214"/>
        <v>2660</v>
      </c>
      <c r="I1387" s="1707">
        <f t="shared" si="215"/>
        <v>0</v>
      </c>
      <c r="J1387" s="1707">
        <f t="shared" si="216"/>
        <v>2660</v>
      </c>
      <c r="K1387" s="1709"/>
      <c r="L1387" s="1721"/>
      <c r="M1387" s="1710" t="s">
        <v>1018</v>
      </c>
      <c r="N1387" s="1685"/>
    </row>
    <row r="1388" spans="1:14" ht="24" customHeight="1">
      <c r="A1388" s="1712"/>
      <c r="B1388" s="1673" t="s">
        <v>139</v>
      </c>
      <c r="C1388" s="1674" t="s">
        <v>1781</v>
      </c>
      <c r="D1388" s="1675">
        <f>D1383*0.25</f>
        <v>23.75</v>
      </c>
      <c r="E1388" s="1676" t="s">
        <v>87</v>
      </c>
      <c r="F1388" s="1736">
        <v>23.89</v>
      </c>
      <c r="G1388" s="1736">
        <v>0</v>
      </c>
      <c r="H1388" s="1669">
        <f t="shared" si="214"/>
        <v>567.38750000000005</v>
      </c>
      <c r="I1388" s="1669">
        <f t="shared" si="215"/>
        <v>0</v>
      </c>
      <c r="J1388" s="1669">
        <f t="shared" si="216"/>
        <v>567.38750000000005</v>
      </c>
      <c r="K1388" s="1708"/>
      <c r="L1388" s="1721"/>
      <c r="M1388" s="1710" t="s">
        <v>660</v>
      </c>
      <c r="N1388" s="1685"/>
    </row>
    <row r="1389" spans="1:14" ht="24" customHeight="1">
      <c r="A1389" s="1712"/>
      <c r="B1389" s="2368" t="s">
        <v>1041</v>
      </c>
      <c r="C1389" s="2370"/>
      <c r="D1389" s="1675"/>
      <c r="E1389" s="1676"/>
      <c r="F1389" s="1669"/>
      <c r="G1389" s="1669"/>
      <c r="H1389" s="1669"/>
      <c r="I1389" s="1669"/>
      <c r="J1389" s="1669"/>
      <c r="K1389" s="1708"/>
      <c r="L1389" s="1721"/>
      <c r="M1389" s="1711"/>
      <c r="N1389" s="1711"/>
    </row>
    <row r="1390" spans="1:14" ht="24" customHeight="1">
      <c r="A1390" s="1712"/>
      <c r="B1390" s="1673" t="s">
        <v>139</v>
      </c>
      <c r="C1390" s="1674" t="s">
        <v>88</v>
      </c>
      <c r="D1390" s="1675">
        <v>288.60000000000002</v>
      </c>
      <c r="E1390" s="1676" t="s">
        <v>87</v>
      </c>
      <c r="F1390" s="1677">
        <v>21.4</v>
      </c>
      <c r="G1390" s="1677">
        <v>4.4000000000000004</v>
      </c>
      <c r="H1390" s="1669">
        <f t="shared" si="214"/>
        <v>6176.04</v>
      </c>
      <c r="I1390" s="1669">
        <f t="shared" si="215"/>
        <v>1269.8400000000001</v>
      </c>
      <c r="J1390" s="1669">
        <f>SUM(H1390:I1390)</f>
        <v>7445.88</v>
      </c>
      <c r="K1390" s="1708"/>
      <c r="L1390" s="1721"/>
      <c r="M1390" s="1710" t="s">
        <v>1016</v>
      </c>
      <c r="N1390" s="1711" t="s">
        <v>659</v>
      </c>
    </row>
    <row r="1391" spans="1:14" ht="24" customHeight="1">
      <c r="A1391" s="1712"/>
      <c r="B1391" s="1673" t="s">
        <v>139</v>
      </c>
      <c r="C1391" s="1674" t="s">
        <v>89</v>
      </c>
      <c r="D1391" s="1675">
        <v>1118.7</v>
      </c>
      <c r="E1391" s="1676" t="s">
        <v>87</v>
      </c>
      <c r="F1391" s="1677">
        <v>21.4</v>
      </c>
      <c r="G1391" s="1677">
        <v>3.6</v>
      </c>
      <c r="H1391" s="1669">
        <f t="shared" si="214"/>
        <v>23940.18</v>
      </c>
      <c r="I1391" s="1669">
        <f t="shared" si="215"/>
        <v>4027.32</v>
      </c>
      <c r="J1391" s="1669">
        <f>SUM(H1391:I1391)</f>
        <v>27967.5</v>
      </c>
      <c r="K1391" s="1708"/>
      <c r="L1391" s="1721"/>
      <c r="M1391" s="1710" t="s">
        <v>1016</v>
      </c>
      <c r="N1391" s="1711" t="s">
        <v>659</v>
      </c>
    </row>
    <row r="1392" spans="1:14" ht="24" customHeight="1">
      <c r="A1392" s="1712"/>
      <c r="B1392" s="1673" t="s">
        <v>139</v>
      </c>
      <c r="C1392" s="1674" t="s">
        <v>1014</v>
      </c>
      <c r="D1392" s="1675">
        <v>841.5</v>
      </c>
      <c r="E1392" s="1676" t="s">
        <v>87</v>
      </c>
      <c r="F1392" s="1736">
        <v>21.2</v>
      </c>
      <c r="G1392" s="1736">
        <v>3.1</v>
      </c>
      <c r="H1392" s="1669">
        <f t="shared" si="214"/>
        <v>17839.8</v>
      </c>
      <c r="I1392" s="1669">
        <f t="shared" si="215"/>
        <v>2608.65</v>
      </c>
      <c r="J1392" s="1669">
        <f>SUM(H1392:I1392)</f>
        <v>20448.45</v>
      </c>
      <c r="K1392" s="1708"/>
      <c r="L1392" s="1721"/>
      <c r="M1392" s="1710" t="s">
        <v>1016</v>
      </c>
      <c r="N1392" s="1685" t="s">
        <v>659</v>
      </c>
    </row>
    <row r="1393" spans="1:22" ht="24" customHeight="1">
      <c r="A1393" s="1712"/>
      <c r="B1393" s="1673" t="s">
        <v>139</v>
      </c>
      <c r="C1393" s="1674" t="s">
        <v>200</v>
      </c>
      <c r="D1393" s="1675">
        <f>SUM(D1390:D1392)*0.03</f>
        <v>67.463999999999999</v>
      </c>
      <c r="E1393" s="1676" t="s">
        <v>87</v>
      </c>
      <c r="F1393" s="1736">
        <v>25.83</v>
      </c>
      <c r="G1393" s="1736">
        <v>0</v>
      </c>
      <c r="H1393" s="1669">
        <f t="shared" si="214"/>
        <v>1742.59512</v>
      </c>
      <c r="I1393" s="1669">
        <f t="shared" si="215"/>
        <v>0</v>
      </c>
      <c r="J1393" s="1669">
        <f>SUM(H1393:I1393)</f>
        <v>1742.59512</v>
      </c>
      <c r="K1393" s="1708"/>
      <c r="L1393" s="1721"/>
      <c r="M1393" s="1710" t="s">
        <v>1019</v>
      </c>
      <c r="N1393" s="1685"/>
    </row>
    <row r="1394" spans="1:22" ht="24" customHeight="1">
      <c r="A1394" s="1715"/>
      <c r="B1394" s="1716"/>
      <c r="C1394" s="1717"/>
      <c r="D1394" s="1718"/>
      <c r="E1394" s="1719"/>
      <c r="F1394" s="1751"/>
      <c r="G1394" s="1751"/>
      <c r="H1394" s="1720"/>
      <c r="I1394" s="1720"/>
      <c r="J1394" s="1720"/>
      <c r="K1394" s="1752"/>
      <c r="L1394" s="1721"/>
      <c r="M1394" s="1710"/>
      <c r="N1394" s="1711"/>
    </row>
    <row r="1395" spans="1:22" ht="24" customHeight="1" thickBot="1">
      <c r="A1395" s="1722"/>
      <c r="B1395" s="1753"/>
      <c r="C1395" s="1724" t="str">
        <f>"รวมราคา "&amp;B1203</f>
        <v>รวมราคา งานโครงสร้างชั้น 6</v>
      </c>
      <c r="D1395" s="1725"/>
      <c r="E1395" s="1726"/>
      <c r="F1395" s="1727"/>
      <c r="G1395" s="1727"/>
      <c r="H1395" s="1727">
        <f>SUM(H1204:H1393)</f>
        <v>3501331.3890900016</v>
      </c>
      <c r="I1395" s="1727">
        <f>SUM(I1204:I1393)</f>
        <v>687986.04</v>
      </c>
      <c r="J1395" s="1727">
        <f>SUM(J1204:J1393)</f>
        <v>4189317.4290900012</v>
      </c>
      <c r="K1395" s="1728"/>
      <c r="L1395" s="1729"/>
      <c r="M1395" s="1701"/>
      <c r="N1395" s="1701"/>
    </row>
    <row r="1396" spans="1:22" ht="24" customHeight="1" thickTop="1">
      <c r="A1396" s="1730">
        <v>1.9</v>
      </c>
      <c r="B1396" s="2374" t="s">
        <v>354</v>
      </c>
      <c r="C1396" s="2375"/>
      <c r="D1396" s="1731"/>
      <c r="E1396" s="1732"/>
      <c r="F1396" s="1733"/>
      <c r="G1396" s="1733"/>
      <c r="H1396" s="1733"/>
      <c r="I1396" s="1733"/>
      <c r="J1396" s="1733"/>
      <c r="K1396" s="1734"/>
      <c r="L1396" s="1729"/>
      <c r="M1396" s="1701"/>
      <c r="N1396" s="1701"/>
    </row>
    <row r="1397" spans="1:22" ht="24" customHeight="1">
      <c r="A1397" s="1702"/>
      <c r="B1397" s="2369" t="s">
        <v>245</v>
      </c>
      <c r="C1397" s="2373"/>
      <c r="D1397" s="1705"/>
      <c r="E1397" s="1706"/>
      <c r="F1397" s="1707"/>
      <c r="G1397" s="1707"/>
      <c r="H1397" s="1707"/>
      <c r="I1397" s="1707"/>
      <c r="J1397" s="1707"/>
      <c r="K1397" s="1709"/>
      <c r="L1397" s="1721"/>
      <c r="M1397" s="1711"/>
      <c r="N1397" s="1711"/>
    </row>
    <row r="1398" spans="1:22" ht="24" customHeight="1">
      <c r="A1398" s="1712"/>
      <c r="B1398" s="1673" t="s">
        <v>139</v>
      </c>
      <c r="C1398" s="1674" t="s">
        <v>97</v>
      </c>
      <c r="D1398" s="1675">
        <v>1007.5</v>
      </c>
      <c r="E1398" s="1676" t="s">
        <v>86</v>
      </c>
      <c r="F1398" s="1669">
        <v>430</v>
      </c>
      <c r="G1398" s="1669">
        <v>0</v>
      </c>
      <c r="H1398" s="1669">
        <f t="shared" ref="H1398:H1420" si="217">F1398*D1398</f>
        <v>433225</v>
      </c>
      <c r="I1398" s="1669">
        <f t="shared" ref="I1398:I1420" si="218">G1398*D1398</f>
        <v>0</v>
      </c>
      <c r="J1398" s="1669">
        <f t="shared" ref="J1398:J1413" si="219">SUM(H1398:I1398)</f>
        <v>433225</v>
      </c>
      <c r="K1398" s="1679"/>
      <c r="L1398" s="1708" t="s">
        <v>1893</v>
      </c>
      <c r="M1398" s="1710" t="s">
        <v>1871</v>
      </c>
      <c r="N1398" s="1711" t="s">
        <v>663</v>
      </c>
      <c r="V1398" s="1711"/>
    </row>
    <row r="1399" spans="1:22" ht="24" customHeight="1">
      <c r="A1399" s="1712"/>
      <c r="B1399" s="2368" t="s">
        <v>423</v>
      </c>
      <c r="C1399" s="2370"/>
      <c r="D1399" s="1675"/>
      <c r="E1399" s="1676"/>
      <c r="F1399" s="1669"/>
      <c r="G1399" s="1669"/>
      <c r="H1399" s="1669">
        <f t="shared" si="217"/>
        <v>0</v>
      </c>
      <c r="I1399" s="1669">
        <f t="shared" si="218"/>
        <v>0</v>
      </c>
      <c r="J1399" s="1669">
        <f t="shared" si="219"/>
        <v>0</v>
      </c>
      <c r="K1399" s="1708"/>
      <c r="L1399" s="1721"/>
      <c r="M1399" s="1711"/>
      <c r="N1399" s="1711"/>
    </row>
    <row r="1400" spans="1:22" ht="24" customHeight="1">
      <c r="A1400" s="1712"/>
      <c r="B1400" s="1673" t="s">
        <v>139</v>
      </c>
      <c r="C1400" s="1674" t="s">
        <v>228</v>
      </c>
      <c r="D1400" s="1675">
        <v>272.10000000000002</v>
      </c>
      <c r="E1400" s="1676" t="s">
        <v>85</v>
      </c>
      <c r="F1400" s="1736">
        <v>2679.9</v>
      </c>
      <c r="G1400" s="1736">
        <v>519</v>
      </c>
      <c r="H1400" s="1669">
        <f t="shared" si="217"/>
        <v>729200.79</v>
      </c>
      <c r="I1400" s="1669">
        <f t="shared" si="218"/>
        <v>141219.90000000002</v>
      </c>
      <c r="J1400" s="1669">
        <f t="shared" si="219"/>
        <v>870420.69000000006</v>
      </c>
      <c r="K1400" s="1708"/>
      <c r="L1400" s="1721"/>
      <c r="M1400" s="1710" t="s">
        <v>1016</v>
      </c>
      <c r="N1400" s="1711" t="s">
        <v>659</v>
      </c>
    </row>
    <row r="1401" spans="1:22" ht="24" customHeight="1">
      <c r="A1401" s="1780"/>
      <c r="B1401" s="1780"/>
      <c r="C1401" s="1827" t="s">
        <v>133</v>
      </c>
      <c r="D1401" s="2365"/>
      <c r="E1401" s="2365"/>
      <c r="F1401" s="2365"/>
      <c r="G1401" s="2365"/>
      <c r="H1401" s="2365"/>
      <c r="I1401" s="2365"/>
      <c r="J1401" s="2365"/>
      <c r="K1401" s="2365"/>
      <c r="L1401" s="1721"/>
      <c r="M1401" s="1710"/>
      <c r="N1401" s="1711"/>
    </row>
    <row r="1402" spans="1:22" ht="24" customHeight="1">
      <c r="A1402" s="1780"/>
      <c r="B1402" s="2366" t="s">
        <v>1769</v>
      </c>
      <c r="C1402" s="2366"/>
      <c r="D1402" s="1828"/>
      <c r="E1402" s="1769"/>
      <c r="F1402" s="1828"/>
      <c r="G1402" s="1828" t="s">
        <v>134</v>
      </c>
      <c r="H1402" s="1828"/>
      <c r="I1402" s="1828"/>
      <c r="J1402" s="1828"/>
      <c r="K1402" s="1828"/>
      <c r="L1402" s="1721"/>
      <c r="M1402" s="1710"/>
      <c r="N1402" s="1711"/>
    </row>
    <row r="1403" spans="1:22" ht="24" customHeight="1">
      <c r="A1403" s="1780"/>
      <c r="B1403" s="2367" t="s">
        <v>1970</v>
      </c>
      <c r="C1403" s="2367"/>
      <c r="D1403" s="1831"/>
      <c r="E1403" s="1832"/>
      <c r="F1403" s="1833"/>
      <c r="G1403" s="1833" t="s">
        <v>1971</v>
      </c>
      <c r="H1403" s="1833"/>
      <c r="I1403" s="1833"/>
      <c r="J1403" s="1833"/>
      <c r="K1403" s="1833"/>
      <c r="L1403" s="1721"/>
      <c r="M1403" s="1710"/>
      <c r="N1403" s="1711"/>
    </row>
    <row r="1404" spans="1:22" ht="24" customHeight="1">
      <c r="A1404" s="1830"/>
      <c r="B1404" s="1828" t="s">
        <v>2031</v>
      </c>
      <c r="C1404" s="1830"/>
      <c r="D1404" s="1830"/>
      <c r="E1404" s="1830"/>
      <c r="F1404" s="1830"/>
      <c r="G1404" s="1828" t="s">
        <v>2031</v>
      </c>
      <c r="H1404" s="1830"/>
      <c r="I1404" s="1830"/>
      <c r="J1404" s="1830"/>
      <c r="K1404" s="1830"/>
      <c r="L1404" s="1721"/>
      <c r="M1404" s="1710"/>
      <c r="N1404" s="1711"/>
    </row>
    <row r="1405" spans="1:22" ht="24" customHeight="1">
      <c r="B1405" s="1721" t="s">
        <v>1984</v>
      </c>
      <c r="C1405" s="1830"/>
      <c r="D1405" s="1685"/>
      <c r="E1405" s="1685"/>
      <c r="G1405" s="1721" t="s">
        <v>1985</v>
      </c>
      <c r="H1405" s="1685"/>
      <c r="I1405" s="1685"/>
      <c r="J1405" s="1685"/>
      <c r="K1405" s="1685"/>
      <c r="L1405" s="1721"/>
      <c r="M1405" s="1710"/>
      <c r="N1405" s="1711"/>
    </row>
    <row r="1406" spans="1:22" ht="24" customHeight="1">
      <c r="B1406" s="1828" t="s">
        <v>670</v>
      </c>
      <c r="L1406" s="1721"/>
      <c r="M1406" s="1710"/>
      <c r="N1406" s="1711"/>
    </row>
    <row r="1407" spans="1:22" ht="24" customHeight="1">
      <c r="B1407" s="1721" t="s">
        <v>1972</v>
      </c>
      <c r="L1407" s="1721"/>
      <c r="M1407" s="1710"/>
      <c r="N1407" s="1711"/>
    </row>
    <row r="1408" spans="1:22" ht="24" customHeight="1">
      <c r="A1408" s="1712"/>
      <c r="B1408" s="2368" t="s">
        <v>225</v>
      </c>
      <c r="C1408" s="2370"/>
      <c r="D1408" s="1675">
        <v>1068.5</v>
      </c>
      <c r="E1408" s="1676"/>
      <c r="F1408" s="1669"/>
      <c r="G1408" s="1669"/>
      <c r="H1408" s="1669"/>
      <c r="I1408" s="1669"/>
      <c r="J1408" s="1669"/>
      <c r="K1408" s="1708"/>
      <c r="L1408" s="1721"/>
      <c r="M1408" s="1711"/>
      <c r="N1408" s="1711"/>
    </row>
    <row r="1409" spans="1:14" ht="24" customHeight="1">
      <c r="A1409" s="1712"/>
      <c r="B1409" s="1673" t="s">
        <v>139</v>
      </c>
      <c r="C1409" s="1674" t="s">
        <v>165</v>
      </c>
      <c r="D1409" s="1675">
        <f>D1408</f>
        <v>1068.5</v>
      </c>
      <c r="E1409" s="1676" t="s">
        <v>86</v>
      </c>
      <c r="F1409" s="1669"/>
      <c r="G1409" s="1669">
        <v>121</v>
      </c>
      <c r="H1409" s="1669">
        <f t="shared" si="217"/>
        <v>0</v>
      </c>
      <c r="I1409" s="1669">
        <f t="shared" si="218"/>
        <v>129288.5</v>
      </c>
      <c r="J1409" s="1669">
        <f t="shared" si="219"/>
        <v>129288.5</v>
      </c>
      <c r="K1409" s="1708"/>
      <c r="L1409" s="1721"/>
      <c r="M1409" s="1710" t="s">
        <v>1017</v>
      </c>
      <c r="N1409" s="1711" t="s">
        <v>659</v>
      </c>
    </row>
    <row r="1410" spans="1:14" ht="24" customHeight="1">
      <c r="A1410" s="1712"/>
      <c r="B1410" s="1673" t="s">
        <v>139</v>
      </c>
      <c r="C1410" s="1674" t="s">
        <v>198</v>
      </c>
      <c r="D1410" s="1675">
        <f>D1408*0.5</f>
        <v>534.25</v>
      </c>
      <c r="E1410" s="1676" t="s">
        <v>164</v>
      </c>
      <c r="F1410" s="1669">
        <v>400</v>
      </c>
      <c r="G1410" s="1669"/>
      <c r="H1410" s="1669">
        <f t="shared" si="217"/>
        <v>213700</v>
      </c>
      <c r="I1410" s="1669">
        <f t="shared" si="218"/>
        <v>0</v>
      </c>
      <c r="J1410" s="1669">
        <f t="shared" si="219"/>
        <v>213700</v>
      </c>
      <c r="K1410" s="1708"/>
      <c r="L1410" s="1721"/>
      <c r="M1410" s="1710" t="s">
        <v>1018</v>
      </c>
      <c r="N1410" s="1711"/>
    </row>
    <row r="1411" spans="1:14" ht="24" customHeight="1">
      <c r="A1411" s="1712"/>
      <c r="B1411" s="1673" t="s">
        <v>139</v>
      </c>
      <c r="C1411" s="1674" t="s">
        <v>166</v>
      </c>
      <c r="D1411" s="1675">
        <f>D1410*0.3</f>
        <v>160.27500000000001</v>
      </c>
      <c r="E1411" s="1676" t="s">
        <v>164</v>
      </c>
      <c r="F1411" s="1669">
        <v>400</v>
      </c>
      <c r="G1411" s="1669">
        <v>0</v>
      </c>
      <c r="H1411" s="1669">
        <f t="shared" si="217"/>
        <v>64110</v>
      </c>
      <c r="I1411" s="1669">
        <f t="shared" si="218"/>
        <v>0</v>
      </c>
      <c r="J1411" s="1669">
        <f t="shared" si="219"/>
        <v>64110</v>
      </c>
      <c r="K1411" s="1708"/>
      <c r="L1411" s="1721"/>
      <c r="M1411" s="1710" t="s">
        <v>1018</v>
      </c>
      <c r="N1411" s="1711"/>
    </row>
    <row r="1412" spans="1:14" ht="24" customHeight="1">
      <c r="A1412" s="1712"/>
      <c r="B1412" s="1673" t="s">
        <v>139</v>
      </c>
      <c r="C1412" s="1674" t="s">
        <v>163</v>
      </c>
      <c r="D1412" s="1675">
        <f>D1408</f>
        <v>1068.5</v>
      </c>
      <c r="E1412" s="1676" t="s">
        <v>83</v>
      </c>
      <c r="F1412" s="1669">
        <v>28</v>
      </c>
      <c r="G1412" s="1669">
        <v>0</v>
      </c>
      <c r="H1412" s="1669">
        <f t="shared" si="217"/>
        <v>29918</v>
      </c>
      <c r="I1412" s="1669">
        <f t="shared" si="218"/>
        <v>0</v>
      </c>
      <c r="J1412" s="1669">
        <f t="shared" si="219"/>
        <v>29918</v>
      </c>
      <c r="K1412" s="1708"/>
      <c r="L1412" s="1721"/>
      <c r="M1412" s="1710" t="s">
        <v>1018</v>
      </c>
      <c r="N1412" s="1711"/>
    </row>
    <row r="1413" spans="1:14" ht="24" customHeight="1">
      <c r="A1413" s="1712"/>
      <c r="B1413" s="1673" t="s">
        <v>139</v>
      </c>
      <c r="C1413" s="1674" t="s">
        <v>1781</v>
      </c>
      <c r="D1413" s="1675">
        <f>D1408*0.25</f>
        <v>267.125</v>
      </c>
      <c r="E1413" s="1676" t="s">
        <v>87</v>
      </c>
      <c r="F1413" s="1736">
        <v>23.89</v>
      </c>
      <c r="G1413" s="1736">
        <v>0</v>
      </c>
      <c r="H1413" s="1669">
        <f t="shared" si="217"/>
        <v>6381.61625</v>
      </c>
      <c r="I1413" s="1669">
        <f t="shared" si="218"/>
        <v>0</v>
      </c>
      <c r="J1413" s="1669">
        <f t="shared" si="219"/>
        <v>6381.61625</v>
      </c>
      <c r="K1413" s="1708"/>
      <c r="L1413" s="1721"/>
      <c r="M1413" s="1710" t="s">
        <v>660</v>
      </c>
      <c r="N1413" s="1711"/>
    </row>
    <row r="1414" spans="1:14" ht="24" customHeight="1">
      <c r="A1414" s="1712"/>
      <c r="B1414" s="2368" t="s">
        <v>246</v>
      </c>
      <c r="C1414" s="2370"/>
      <c r="D1414" s="1675"/>
      <c r="E1414" s="1676"/>
      <c r="F1414" s="1669"/>
      <c r="G1414" s="1669"/>
      <c r="H1414" s="1669"/>
      <c r="I1414" s="1669"/>
      <c r="J1414" s="1669"/>
      <c r="K1414" s="1708"/>
      <c r="L1414" s="1721"/>
      <c r="M1414" s="1711"/>
      <c r="N1414" s="1711"/>
    </row>
    <row r="1415" spans="1:14" s="1685" customFormat="1" ht="24" customHeight="1">
      <c r="A1415" s="1712"/>
      <c r="B1415" s="1673" t="s">
        <v>139</v>
      </c>
      <c r="C1415" s="1674" t="s">
        <v>88</v>
      </c>
      <c r="D1415" s="1675">
        <v>1210.2</v>
      </c>
      <c r="E1415" s="1676" t="s">
        <v>87</v>
      </c>
      <c r="F1415" s="1677">
        <v>21.4</v>
      </c>
      <c r="G1415" s="1677">
        <v>4.4000000000000004</v>
      </c>
      <c r="H1415" s="1669">
        <f t="shared" si="217"/>
        <v>25898.28</v>
      </c>
      <c r="I1415" s="1669">
        <f t="shared" si="218"/>
        <v>5324.880000000001</v>
      </c>
      <c r="J1415" s="1669">
        <f t="shared" ref="J1415:J1420" si="220">SUM(H1415:I1415)</f>
        <v>31223.16</v>
      </c>
      <c r="K1415" s="1708"/>
      <c r="L1415" s="1721"/>
      <c r="M1415" s="1710" t="s">
        <v>1016</v>
      </c>
      <c r="N1415" s="1711" t="s">
        <v>659</v>
      </c>
    </row>
    <row r="1416" spans="1:14" ht="24" customHeight="1">
      <c r="A1416" s="1712"/>
      <c r="B1416" s="1673" t="s">
        <v>139</v>
      </c>
      <c r="C1416" s="1674" t="s">
        <v>89</v>
      </c>
      <c r="D1416" s="1675">
        <v>23255.4</v>
      </c>
      <c r="E1416" s="1676" t="s">
        <v>87</v>
      </c>
      <c r="F1416" s="1677">
        <v>21.4</v>
      </c>
      <c r="G1416" s="1677">
        <v>3.6</v>
      </c>
      <c r="H1416" s="1669">
        <f t="shared" si="217"/>
        <v>497665.56</v>
      </c>
      <c r="I1416" s="1669">
        <f t="shared" si="218"/>
        <v>83719.44</v>
      </c>
      <c r="J1416" s="1669">
        <f t="shared" si="220"/>
        <v>581385</v>
      </c>
      <c r="K1416" s="1708"/>
      <c r="L1416" s="1721"/>
      <c r="M1416" s="1710" t="s">
        <v>1016</v>
      </c>
      <c r="N1416" s="1711" t="s">
        <v>659</v>
      </c>
    </row>
    <row r="1417" spans="1:14" ht="24" customHeight="1">
      <c r="A1417" s="1664"/>
      <c r="B1417" s="1665" t="s">
        <v>139</v>
      </c>
      <c r="C1417" s="1666" t="s">
        <v>90</v>
      </c>
      <c r="D1417" s="1667">
        <v>6023.3</v>
      </c>
      <c r="E1417" s="1668" t="s">
        <v>87</v>
      </c>
      <c r="F1417" s="1744">
        <v>21.2</v>
      </c>
      <c r="G1417" s="1744">
        <v>3.6</v>
      </c>
      <c r="H1417" s="1670">
        <f t="shared" si="217"/>
        <v>127693.96</v>
      </c>
      <c r="I1417" s="1670">
        <f t="shared" si="218"/>
        <v>21683.88</v>
      </c>
      <c r="J1417" s="1669">
        <f t="shared" si="220"/>
        <v>149377.84</v>
      </c>
      <c r="K1417" s="1708"/>
      <c r="L1417" s="1721"/>
      <c r="M1417" s="1710" t="s">
        <v>1016</v>
      </c>
      <c r="N1417" s="1711" t="s">
        <v>659</v>
      </c>
    </row>
    <row r="1418" spans="1:14" ht="24" customHeight="1">
      <c r="A1418" s="1712"/>
      <c r="B1418" s="1673" t="s">
        <v>139</v>
      </c>
      <c r="C1418" s="1674" t="s">
        <v>91</v>
      </c>
      <c r="D1418" s="1675">
        <v>1967.2</v>
      </c>
      <c r="E1418" s="1676" t="s">
        <v>87</v>
      </c>
      <c r="F1418" s="1677">
        <v>21.2</v>
      </c>
      <c r="G1418" s="1677">
        <v>3.1</v>
      </c>
      <c r="H1418" s="1669">
        <f t="shared" si="217"/>
        <v>41704.639999999999</v>
      </c>
      <c r="I1418" s="1669">
        <f t="shared" si="218"/>
        <v>6098.3200000000006</v>
      </c>
      <c r="J1418" s="1678">
        <f t="shared" si="220"/>
        <v>47802.96</v>
      </c>
      <c r="K1418" s="1708"/>
      <c r="L1418" s="1721"/>
      <c r="M1418" s="1710" t="s">
        <v>1016</v>
      </c>
      <c r="N1418" s="1711" t="s">
        <v>659</v>
      </c>
    </row>
    <row r="1419" spans="1:14" ht="24" customHeight="1">
      <c r="A1419" s="1712"/>
      <c r="B1419" s="1673" t="s">
        <v>139</v>
      </c>
      <c r="C1419" s="1674" t="s">
        <v>1014</v>
      </c>
      <c r="D1419" s="1675">
        <v>1483.1</v>
      </c>
      <c r="E1419" s="1676" t="s">
        <v>87</v>
      </c>
      <c r="F1419" s="1677">
        <v>21.2</v>
      </c>
      <c r="G1419" s="1677">
        <v>3.1</v>
      </c>
      <c r="H1419" s="1669">
        <f t="shared" si="217"/>
        <v>31441.719999999998</v>
      </c>
      <c r="I1419" s="1669">
        <f t="shared" si="218"/>
        <v>4597.6099999999997</v>
      </c>
      <c r="J1419" s="1678">
        <f t="shared" si="220"/>
        <v>36039.329999999994</v>
      </c>
      <c r="K1419" s="1708"/>
      <c r="L1419" s="1721"/>
      <c r="M1419" s="1710" t="s">
        <v>1016</v>
      </c>
      <c r="N1419" s="1711" t="s">
        <v>659</v>
      </c>
    </row>
    <row r="1420" spans="1:14" ht="24" customHeight="1">
      <c r="A1420" s="1712"/>
      <c r="B1420" s="1673" t="s">
        <v>139</v>
      </c>
      <c r="C1420" s="1674" t="s">
        <v>200</v>
      </c>
      <c r="D1420" s="1675">
        <f>SUM(D1415:D1419)*0.03</f>
        <v>1018.176</v>
      </c>
      <c r="E1420" s="1676" t="s">
        <v>87</v>
      </c>
      <c r="F1420" s="1677">
        <v>25.83</v>
      </c>
      <c r="G1420" s="1677">
        <v>0</v>
      </c>
      <c r="H1420" s="1669">
        <f t="shared" si="217"/>
        <v>26299.486079999999</v>
      </c>
      <c r="I1420" s="1669">
        <f t="shared" si="218"/>
        <v>0</v>
      </c>
      <c r="J1420" s="1678">
        <f t="shared" si="220"/>
        <v>26299.486079999999</v>
      </c>
      <c r="K1420" s="1708"/>
      <c r="L1420" s="1721"/>
      <c r="M1420" s="1710" t="s">
        <v>1019</v>
      </c>
      <c r="N1420" s="1711"/>
    </row>
    <row r="1421" spans="1:14" ht="24" customHeight="1">
      <c r="A1421" s="1712"/>
      <c r="B1421" s="2368" t="s">
        <v>247</v>
      </c>
      <c r="C1421" s="2370"/>
      <c r="D1421" s="1675"/>
      <c r="E1421" s="1676"/>
      <c r="F1421" s="1669"/>
      <c r="G1421" s="1669"/>
      <c r="H1421" s="1669"/>
      <c r="I1421" s="1669"/>
      <c r="J1421" s="1678"/>
      <c r="K1421" s="1708"/>
      <c r="L1421" s="1721"/>
      <c r="M1421" s="1711"/>
      <c r="N1421" s="1711"/>
    </row>
    <row r="1422" spans="1:14" ht="24" customHeight="1">
      <c r="A1422" s="1712"/>
      <c r="B1422" s="2368" t="s">
        <v>415</v>
      </c>
      <c r="C1422" s="2370"/>
      <c r="D1422" s="1675"/>
      <c r="E1422" s="1676"/>
      <c r="F1422" s="1669"/>
      <c r="G1422" s="1669"/>
      <c r="H1422" s="1669"/>
      <c r="I1422" s="1669"/>
      <c r="J1422" s="1678"/>
      <c r="K1422" s="1708"/>
      <c r="L1422" s="1721"/>
      <c r="M1422" s="1711"/>
      <c r="N1422" s="1711"/>
    </row>
    <row r="1423" spans="1:14" ht="24" customHeight="1">
      <c r="A1423" s="1712"/>
      <c r="B1423" s="1673" t="s">
        <v>139</v>
      </c>
      <c r="C1423" s="1674" t="s">
        <v>228</v>
      </c>
      <c r="D1423" s="1675">
        <v>66.5</v>
      </c>
      <c r="E1423" s="1676" t="s">
        <v>85</v>
      </c>
      <c r="F1423" s="1677">
        <v>2679.9</v>
      </c>
      <c r="G1423" s="1677">
        <v>519</v>
      </c>
      <c r="H1423" s="1669">
        <f t="shared" ref="H1423:H1429" si="221">F1423*D1423</f>
        <v>178213.35</v>
      </c>
      <c r="I1423" s="1669">
        <f t="shared" ref="I1423:I1429" si="222">G1423*D1423</f>
        <v>34513.5</v>
      </c>
      <c r="J1423" s="1678">
        <f t="shared" ref="J1423:J1429" si="223">SUM(H1423:I1423)</f>
        <v>212726.85</v>
      </c>
      <c r="K1423" s="1708"/>
      <c r="L1423" s="1721"/>
      <c r="M1423" s="1710" t="s">
        <v>1016</v>
      </c>
      <c r="N1423" s="1711" t="s">
        <v>659</v>
      </c>
    </row>
    <row r="1424" spans="1:14" ht="24" customHeight="1">
      <c r="A1424" s="1712"/>
      <c r="B1424" s="1748" t="s">
        <v>226</v>
      </c>
      <c r="C1424" s="1674"/>
      <c r="D1424" s="1675">
        <v>363.5</v>
      </c>
      <c r="E1424" s="1676"/>
      <c r="F1424" s="1677"/>
      <c r="G1424" s="1677"/>
      <c r="H1424" s="1669"/>
      <c r="I1424" s="1669"/>
      <c r="J1424" s="1678"/>
      <c r="K1424" s="1708"/>
      <c r="L1424" s="1721"/>
      <c r="M1424" s="1710"/>
      <c r="N1424" s="1711"/>
    </row>
    <row r="1425" spans="1:14" ht="24" customHeight="1">
      <c r="A1425" s="1712"/>
      <c r="B1425" s="1673" t="s">
        <v>139</v>
      </c>
      <c r="C1425" s="1674" t="s">
        <v>165</v>
      </c>
      <c r="D1425" s="1675">
        <f>D1424</f>
        <v>363.5</v>
      </c>
      <c r="E1425" s="1676" t="s">
        <v>86</v>
      </c>
      <c r="F1425" s="1736">
        <v>0</v>
      </c>
      <c r="G1425" s="1669">
        <v>121</v>
      </c>
      <c r="H1425" s="1669">
        <f t="shared" si="221"/>
        <v>0</v>
      </c>
      <c r="I1425" s="1669">
        <f t="shared" si="222"/>
        <v>43983.5</v>
      </c>
      <c r="J1425" s="1678">
        <f t="shared" si="223"/>
        <v>43983.5</v>
      </c>
      <c r="K1425" s="1708"/>
      <c r="L1425" s="1721"/>
      <c r="M1425" s="1710" t="s">
        <v>1017</v>
      </c>
      <c r="N1425" s="1711" t="s">
        <v>659</v>
      </c>
    </row>
    <row r="1426" spans="1:14" ht="24" customHeight="1">
      <c r="A1426" s="1712"/>
      <c r="B1426" s="1673" t="s">
        <v>139</v>
      </c>
      <c r="C1426" s="1674" t="s">
        <v>198</v>
      </c>
      <c r="D1426" s="1675">
        <f>D1424*0.5</f>
        <v>181.75</v>
      </c>
      <c r="E1426" s="1676" t="s">
        <v>164</v>
      </c>
      <c r="F1426" s="1736">
        <v>400</v>
      </c>
      <c r="G1426" s="1736">
        <v>0</v>
      </c>
      <c r="H1426" s="1669">
        <f t="shared" si="221"/>
        <v>72700</v>
      </c>
      <c r="I1426" s="1669">
        <f t="shared" si="222"/>
        <v>0</v>
      </c>
      <c r="J1426" s="1678">
        <f t="shared" si="223"/>
        <v>72700</v>
      </c>
      <c r="K1426" s="1708"/>
      <c r="L1426" s="1721"/>
      <c r="M1426" s="1710" t="s">
        <v>1018</v>
      </c>
      <c r="N1426" s="1711"/>
    </row>
    <row r="1427" spans="1:14" ht="24" customHeight="1">
      <c r="A1427" s="1712"/>
      <c r="B1427" s="1673" t="s">
        <v>139</v>
      </c>
      <c r="C1427" s="1674" t="s">
        <v>166</v>
      </c>
      <c r="D1427" s="1675">
        <f>D1426*0.3</f>
        <v>54.524999999999999</v>
      </c>
      <c r="E1427" s="1676" t="s">
        <v>164</v>
      </c>
      <c r="F1427" s="1736">
        <v>400</v>
      </c>
      <c r="G1427" s="1736">
        <v>0</v>
      </c>
      <c r="H1427" s="1669">
        <f t="shared" si="221"/>
        <v>21810</v>
      </c>
      <c r="I1427" s="1669">
        <f t="shared" si="222"/>
        <v>0</v>
      </c>
      <c r="J1427" s="1678">
        <f t="shared" si="223"/>
        <v>21810</v>
      </c>
      <c r="K1427" s="1708"/>
      <c r="L1427" s="1721"/>
      <c r="M1427" s="1710" t="s">
        <v>1018</v>
      </c>
      <c r="N1427" s="1685"/>
    </row>
    <row r="1428" spans="1:14" ht="24" customHeight="1">
      <c r="A1428" s="1712"/>
      <c r="B1428" s="1673" t="s">
        <v>139</v>
      </c>
      <c r="C1428" s="1674" t="s">
        <v>163</v>
      </c>
      <c r="D1428" s="1675">
        <f>D1424</f>
        <v>363.5</v>
      </c>
      <c r="E1428" s="1676" t="s">
        <v>83</v>
      </c>
      <c r="F1428" s="1736">
        <v>28</v>
      </c>
      <c r="G1428" s="1736">
        <v>0</v>
      </c>
      <c r="H1428" s="1669">
        <f t="shared" si="221"/>
        <v>10178</v>
      </c>
      <c r="I1428" s="1669">
        <f t="shared" si="222"/>
        <v>0</v>
      </c>
      <c r="J1428" s="1678">
        <f t="shared" si="223"/>
        <v>10178</v>
      </c>
      <c r="K1428" s="1708"/>
      <c r="L1428" s="1721"/>
      <c r="M1428" s="1710" t="s">
        <v>1018</v>
      </c>
      <c r="N1428" s="1685"/>
    </row>
    <row r="1429" spans="1:14" ht="24" customHeight="1">
      <c r="A1429" s="1712"/>
      <c r="B1429" s="1673" t="s">
        <v>139</v>
      </c>
      <c r="C1429" s="1674" t="s">
        <v>1781</v>
      </c>
      <c r="D1429" s="1675">
        <f>D1424*0.25</f>
        <v>90.875</v>
      </c>
      <c r="E1429" s="1676" t="s">
        <v>87</v>
      </c>
      <c r="F1429" s="1736">
        <v>23.89</v>
      </c>
      <c r="G1429" s="1736">
        <v>0</v>
      </c>
      <c r="H1429" s="1669">
        <f t="shared" si="221"/>
        <v>2171.0037499999999</v>
      </c>
      <c r="I1429" s="1669">
        <f t="shared" si="222"/>
        <v>0</v>
      </c>
      <c r="J1429" s="1678">
        <f t="shared" si="223"/>
        <v>2171.0037499999999</v>
      </c>
      <c r="K1429" s="1708"/>
      <c r="L1429" s="1721"/>
      <c r="M1429" s="1710" t="s">
        <v>660</v>
      </c>
      <c r="N1429" s="1685"/>
    </row>
    <row r="1430" spans="1:14" ht="24" customHeight="1">
      <c r="A1430" s="1780"/>
      <c r="B1430" s="1780"/>
      <c r="C1430" s="1827" t="s">
        <v>133</v>
      </c>
      <c r="D1430" s="2365"/>
      <c r="E1430" s="2365"/>
      <c r="F1430" s="2365"/>
      <c r="G1430" s="2365"/>
      <c r="H1430" s="2365"/>
      <c r="I1430" s="2365"/>
      <c r="J1430" s="2365"/>
      <c r="K1430" s="2365"/>
      <c r="L1430" s="1721"/>
      <c r="M1430" s="1710"/>
      <c r="N1430" s="1685"/>
    </row>
    <row r="1431" spans="1:14" ht="24" customHeight="1">
      <c r="A1431" s="1780"/>
      <c r="B1431" s="2366" t="s">
        <v>1769</v>
      </c>
      <c r="C1431" s="2366"/>
      <c r="D1431" s="1828"/>
      <c r="E1431" s="1769"/>
      <c r="F1431" s="1828"/>
      <c r="G1431" s="1828" t="s">
        <v>134</v>
      </c>
      <c r="H1431" s="1828"/>
      <c r="I1431" s="1828"/>
      <c r="J1431" s="1828"/>
      <c r="K1431" s="1828"/>
      <c r="L1431" s="1721"/>
      <c r="M1431" s="1710"/>
      <c r="N1431" s="1685"/>
    </row>
    <row r="1432" spans="1:14" ht="24" customHeight="1">
      <c r="A1432" s="1780"/>
      <c r="B1432" s="2367" t="s">
        <v>1970</v>
      </c>
      <c r="C1432" s="2367"/>
      <c r="D1432" s="1831"/>
      <c r="E1432" s="1832"/>
      <c r="F1432" s="1833"/>
      <c r="G1432" s="1833" t="s">
        <v>1971</v>
      </c>
      <c r="H1432" s="1833"/>
      <c r="I1432" s="1833"/>
      <c r="J1432" s="1833"/>
      <c r="K1432" s="1833"/>
      <c r="L1432" s="1721"/>
      <c r="M1432" s="1710"/>
      <c r="N1432" s="1685"/>
    </row>
    <row r="1433" spans="1:14" ht="24" customHeight="1">
      <c r="A1433" s="1830"/>
      <c r="B1433" s="1828" t="s">
        <v>2031</v>
      </c>
      <c r="C1433" s="1830"/>
      <c r="D1433" s="1830"/>
      <c r="E1433" s="1830"/>
      <c r="F1433" s="1830"/>
      <c r="G1433" s="1828" t="s">
        <v>2031</v>
      </c>
      <c r="H1433" s="1830"/>
      <c r="I1433" s="1830"/>
      <c r="J1433" s="1830"/>
      <c r="K1433" s="1830"/>
      <c r="L1433" s="1721"/>
      <c r="M1433" s="1710"/>
      <c r="N1433" s="1685"/>
    </row>
    <row r="1434" spans="1:14" ht="24" customHeight="1">
      <c r="B1434" s="1721" t="s">
        <v>1984</v>
      </c>
      <c r="C1434" s="1830"/>
      <c r="D1434" s="1685"/>
      <c r="E1434" s="1685"/>
      <c r="G1434" s="1721" t="s">
        <v>1985</v>
      </c>
      <c r="H1434" s="1685"/>
      <c r="I1434" s="1685"/>
      <c r="J1434" s="1685"/>
      <c r="K1434" s="1685"/>
      <c r="L1434" s="1721"/>
      <c r="M1434" s="1710"/>
      <c r="N1434" s="1685"/>
    </row>
    <row r="1435" spans="1:14" ht="24" customHeight="1">
      <c r="B1435" s="1828" t="s">
        <v>670</v>
      </c>
      <c r="L1435" s="1721"/>
      <c r="M1435" s="1710"/>
      <c r="N1435" s="1685"/>
    </row>
    <row r="1436" spans="1:14" ht="24" customHeight="1">
      <c r="B1436" s="1721" t="s">
        <v>1972</v>
      </c>
      <c r="L1436" s="1721"/>
      <c r="M1436" s="1710"/>
      <c r="N1436" s="1685"/>
    </row>
    <row r="1437" spans="1:14" ht="24" customHeight="1">
      <c r="A1437" s="1712"/>
      <c r="B1437" s="2368" t="s">
        <v>248</v>
      </c>
      <c r="C1437" s="2370"/>
      <c r="D1437" s="1675"/>
      <c r="E1437" s="1676"/>
      <c r="F1437" s="1669"/>
      <c r="G1437" s="1669"/>
      <c r="H1437" s="1669"/>
      <c r="I1437" s="1669"/>
      <c r="J1437" s="1678"/>
      <c r="K1437" s="1708"/>
      <c r="L1437" s="1721"/>
      <c r="M1437" s="1711"/>
      <c r="N1437" s="1711"/>
    </row>
    <row r="1438" spans="1:14" ht="24" customHeight="1">
      <c r="A1438" s="1712"/>
      <c r="B1438" s="1673" t="s">
        <v>139</v>
      </c>
      <c r="C1438" s="1674" t="s">
        <v>88</v>
      </c>
      <c r="D1438" s="1675">
        <v>1868.1</v>
      </c>
      <c r="E1438" s="1676" t="s">
        <v>87</v>
      </c>
      <c r="F1438" s="1677">
        <v>21.4</v>
      </c>
      <c r="G1438" s="1677">
        <v>4.4000000000000004</v>
      </c>
      <c r="H1438" s="1669">
        <f>F1438*D1438</f>
        <v>39977.339999999997</v>
      </c>
      <c r="I1438" s="1669">
        <f>G1438*D1438</f>
        <v>8219.64</v>
      </c>
      <c r="J1438" s="1678">
        <f>SUM(H1438:I1438)</f>
        <v>48196.979999999996</v>
      </c>
      <c r="K1438" s="1708"/>
      <c r="L1438" s="1721"/>
      <c r="M1438" s="1710" t="s">
        <v>1016</v>
      </c>
      <c r="N1438" s="1711" t="s">
        <v>659</v>
      </c>
    </row>
    <row r="1439" spans="1:14" ht="24" customHeight="1">
      <c r="A1439" s="1712"/>
      <c r="B1439" s="1673" t="s">
        <v>139</v>
      </c>
      <c r="C1439" s="1674" t="s">
        <v>1014</v>
      </c>
      <c r="D1439" s="1675">
        <v>8946.4</v>
      </c>
      <c r="E1439" s="1676" t="s">
        <v>87</v>
      </c>
      <c r="F1439" s="1677">
        <v>21.2</v>
      </c>
      <c r="G1439" s="1677">
        <v>3.1</v>
      </c>
      <c r="H1439" s="1669">
        <f>F1439*D1439</f>
        <v>189663.68</v>
      </c>
      <c r="I1439" s="1669">
        <f>G1439*D1439</f>
        <v>27733.84</v>
      </c>
      <c r="J1439" s="1678">
        <f>SUM(H1439:I1439)</f>
        <v>217397.52</v>
      </c>
      <c r="K1439" s="1708"/>
      <c r="L1439" s="1721"/>
      <c r="M1439" s="1710" t="s">
        <v>1016</v>
      </c>
      <c r="N1439" s="1711" t="s">
        <v>659</v>
      </c>
    </row>
    <row r="1440" spans="1:14" ht="24" customHeight="1">
      <c r="A1440" s="1712"/>
      <c r="B1440" s="1673" t="s">
        <v>139</v>
      </c>
      <c r="C1440" s="1674" t="s">
        <v>200</v>
      </c>
      <c r="D1440" s="1675">
        <f>SUM(D1438:D1439)*0.03</f>
        <v>324.435</v>
      </c>
      <c r="E1440" s="1676" t="s">
        <v>87</v>
      </c>
      <c r="F1440" s="1677">
        <v>25.83</v>
      </c>
      <c r="G1440" s="1677">
        <v>0</v>
      </c>
      <c r="H1440" s="1669">
        <f>F1440*D1440</f>
        <v>8380.1560499999996</v>
      </c>
      <c r="I1440" s="1669">
        <f>G1440*D1440</f>
        <v>0</v>
      </c>
      <c r="J1440" s="1678">
        <f>SUM(H1440:I1440)</f>
        <v>8380.1560499999996</v>
      </c>
      <c r="K1440" s="1708"/>
      <c r="L1440" s="1721"/>
      <c r="M1440" s="1710" t="s">
        <v>1019</v>
      </c>
      <c r="N1440" s="1711"/>
    </row>
    <row r="1441" spans="1:14" ht="24" customHeight="1">
      <c r="A1441" s="1712"/>
      <c r="B1441" s="2368" t="s">
        <v>250</v>
      </c>
      <c r="C1441" s="2370"/>
      <c r="D1441" s="1675"/>
      <c r="E1441" s="1676"/>
      <c r="F1441" s="1669"/>
      <c r="G1441" s="1669"/>
      <c r="H1441" s="1669"/>
      <c r="I1441" s="1669"/>
      <c r="J1441" s="1678"/>
      <c r="K1441" s="1708"/>
      <c r="L1441" s="1721"/>
      <c r="M1441" s="1711"/>
      <c r="N1441" s="1711"/>
    </row>
    <row r="1442" spans="1:14" ht="24" customHeight="1">
      <c r="A1442" s="1712"/>
      <c r="B1442" s="2368" t="s">
        <v>422</v>
      </c>
      <c r="C1442" s="2370"/>
      <c r="D1442" s="1675"/>
      <c r="E1442" s="1676"/>
      <c r="F1442" s="1669"/>
      <c r="G1442" s="1669"/>
      <c r="H1442" s="1669"/>
      <c r="I1442" s="1669"/>
      <c r="J1442" s="1678"/>
      <c r="K1442" s="1708"/>
      <c r="L1442" s="1721"/>
      <c r="M1442" s="1711"/>
      <c r="N1442" s="1711"/>
    </row>
    <row r="1443" spans="1:14" ht="24" customHeight="1">
      <c r="A1443" s="1712"/>
      <c r="B1443" s="1673" t="s">
        <v>139</v>
      </c>
      <c r="C1443" s="1674" t="s">
        <v>228</v>
      </c>
      <c r="D1443" s="1675">
        <v>4.5</v>
      </c>
      <c r="E1443" s="1676" t="s">
        <v>85</v>
      </c>
      <c r="F1443" s="1736">
        <v>2679.9</v>
      </c>
      <c r="G1443" s="1736">
        <v>519</v>
      </c>
      <c r="H1443" s="1669">
        <f>F1443*D1443</f>
        <v>12059.550000000001</v>
      </c>
      <c r="I1443" s="1669">
        <f>G1443*D1443</f>
        <v>2335.5</v>
      </c>
      <c r="J1443" s="1678">
        <f>SUM(H1443:I1443)</f>
        <v>14395.050000000001</v>
      </c>
      <c r="K1443" s="1708"/>
      <c r="L1443" s="1721"/>
      <c r="M1443" s="1710" t="s">
        <v>1016</v>
      </c>
      <c r="N1443" s="1711" t="s">
        <v>659</v>
      </c>
    </row>
    <row r="1444" spans="1:14" ht="24" customHeight="1">
      <c r="A1444" s="1702"/>
      <c r="B1444" s="2369" t="s">
        <v>227</v>
      </c>
      <c r="C1444" s="2373"/>
      <c r="D1444" s="1705">
        <v>37.4</v>
      </c>
      <c r="E1444" s="1706"/>
      <c r="F1444" s="1707"/>
      <c r="G1444" s="1707"/>
      <c r="H1444" s="1707"/>
      <c r="I1444" s="1707"/>
      <c r="J1444" s="1669"/>
      <c r="K1444" s="1708"/>
      <c r="L1444" s="1721"/>
      <c r="M1444" s="1711"/>
      <c r="N1444" s="1711"/>
    </row>
    <row r="1445" spans="1:14" ht="24" customHeight="1">
      <c r="A1445" s="1712"/>
      <c r="B1445" s="1673" t="s">
        <v>139</v>
      </c>
      <c r="C1445" s="1674" t="s">
        <v>165</v>
      </c>
      <c r="D1445" s="1675">
        <f>D1444</f>
        <v>37.4</v>
      </c>
      <c r="E1445" s="1676" t="s">
        <v>86</v>
      </c>
      <c r="F1445" s="1669"/>
      <c r="G1445" s="1669">
        <v>121</v>
      </c>
      <c r="H1445" s="1669">
        <f t="shared" ref="H1445:H1455" si="224">F1445*D1445</f>
        <v>0</v>
      </c>
      <c r="I1445" s="1669">
        <f t="shared" ref="I1445:I1455" si="225">G1445*D1445</f>
        <v>4525.3999999999996</v>
      </c>
      <c r="J1445" s="1669">
        <f t="shared" ref="J1445:J1450" si="226">SUM(H1445:I1445)</f>
        <v>4525.3999999999996</v>
      </c>
      <c r="K1445" s="1708"/>
      <c r="L1445" s="1721"/>
      <c r="M1445" s="1710" t="s">
        <v>1017</v>
      </c>
      <c r="N1445" s="1711" t="s">
        <v>659</v>
      </c>
    </row>
    <row r="1446" spans="1:14" ht="24" customHeight="1">
      <c r="A1446" s="1712"/>
      <c r="B1446" s="1673" t="s">
        <v>139</v>
      </c>
      <c r="C1446" s="1674" t="s">
        <v>198</v>
      </c>
      <c r="D1446" s="1675">
        <f>D1444*0.5</f>
        <v>18.7</v>
      </c>
      <c r="E1446" s="1676" t="s">
        <v>164</v>
      </c>
      <c r="F1446" s="1669">
        <v>400</v>
      </c>
      <c r="G1446" s="1669"/>
      <c r="H1446" s="1669">
        <f t="shared" si="224"/>
        <v>7480</v>
      </c>
      <c r="I1446" s="1669">
        <f t="shared" si="225"/>
        <v>0</v>
      </c>
      <c r="J1446" s="1669">
        <f t="shared" si="226"/>
        <v>7480</v>
      </c>
      <c r="K1446" s="1708"/>
      <c r="L1446" s="1721"/>
      <c r="M1446" s="1710" t="s">
        <v>1018</v>
      </c>
      <c r="N1446" s="1711"/>
    </row>
    <row r="1447" spans="1:14" ht="24" customHeight="1">
      <c r="A1447" s="1712"/>
      <c r="B1447" s="1673" t="s">
        <v>139</v>
      </c>
      <c r="C1447" s="1674" t="s">
        <v>166</v>
      </c>
      <c r="D1447" s="1675">
        <f>D1446*0.3</f>
        <v>5.6099999999999994</v>
      </c>
      <c r="E1447" s="1676" t="s">
        <v>164</v>
      </c>
      <c r="F1447" s="1669">
        <v>400</v>
      </c>
      <c r="G1447" s="1669">
        <v>0</v>
      </c>
      <c r="H1447" s="1669">
        <f t="shared" si="224"/>
        <v>2244</v>
      </c>
      <c r="I1447" s="1669">
        <f t="shared" si="225"/>
        <v>0</v>
      </c>
      <c r="J1447" s="1669">
        <f t="shared" si="226"/>
        <v>2244</v>
      </c>
      <c r="K1447" s="1708"/>
      <c r="L1447" s="1721"/>
      <c r="M1447" s="1710" t="s">
        <v>1018</v>
      </c>
      <c r="N1447" s="1711"/>
    </row>
    <row r="1448" spans="1:14" ht="24" customHeight="1">
      <c r="A1448" s="1712"/>
      <c r="B1448" s="1673" t="s">
        <v>139</v>
      </c>
      <c r="C1448" s="1674" t="s">
        <v>252</v>
      </c>
      <c r="D1448" s="1675">
        <v>37</v>
      </c>
      <c r="E1448" s="1676" t="s">
        <v>83</v>
      </c>
      <c r="F1448" s="1669">
        <v>28</v>
      </c>
      <c r="G1448" s="1669">
        <v>0</v>
      </c>
      <c r="H1448" s="1669">
        <f t="shared" si="224"/>
        <v>1036</v>
      </c>
      <c r="I1448" s="1669">
        <f t="shared" si="225"/>
        <v>0</v>
      </c>
      <c r="J1448" s="1669">
        <f t="shared" si="226"/>
        <v>1036</v>
      </c>
      <c r="K1448" s="1708"/>
      <c r="L1448" s="1721"/>
      <c r="M1448" s="1710" t="s">
        <v>1018</v>
      </c>
      <c r="N1448" s="1711"/>
    </row>
    <row r="1449" spans="1:14" ht="24" customHeight="1">
      <c r="A1449" s="1712"/>
      <c r="B1449" s="1673" t="s">
        <v>139</v>
      </c>
      <c r="C1449" s="1674" t="s">
        <v>1781</v>
      </c>
      <c r="D1449" s="1675">
        <f>D1444*0.25</f>
        <v>9.35</v>
      </c>
      <c r="E1449" s="1676" t="s">
        <v>87</v>
      </c>
      <c r="F1449" s="1736">
        <v>23.89</v>
      </c>
      <c r="G1449" s="1736">
        <v>0</v>
      </c>
      <c r="H1449" s="1669">
        <f t="shared" si="224"/>
        <v>223.3715</v>
      </c>
      <c r="I1449" s="1669">
        <f t="shared" si="225"/>
        <v>0</v>
      </c>
      <c r="J1449" s="1669">
        <f t="shared" si="226"/>
        <v>223.3715</v>
      </c>
      <c r="K1449" s="1708"/>
      <c r="L1449" s="1721"/>
      <c r="M1449" s="1710" t="s">
        <v>660</v>
      </c>
      <c r="N1449" s="1711"/>
    </row>
    <row r="1450" spans="1:14" ht="24" customHeight="1">
      <c r="A1450" s="1712"/>
      <c r="B1450" s="2368" t="s">
        <v>251</v>
      </c>
      <c r="C1450" s="2370"/>
      <c r="D1450" s="1675"/>
      <c r="E1450" s="1676"/>
      <c r="F1450" s="1669"/>
      <c r="G1450" s="1669"/>
      <c r="H1450" s="1669">
        <f t="shared" si="224"/>
        <v>0</v>
      </c>
      <c r="I1450" s="1669">
        <f t="shared" si="225"/>
        <v>0</v>
      </c>
      <c r="J1450" s="1669">
        <f t="shared" si="226"/>
        <v>0</v>
      </c>
      <c r="K1450" s="1708"/>
      <c r="L1450" s="1721"/>
      <c r="M1450" s="1711"/>
      <c r="N1450" s="1711"/>
    </row>
    <row r="1451" spans="1:14" s="1685" customFormat="1" ht="24" customHeight="1">
      <c r="A1451" s="1712"/>
      <c r="B1451" s="1673" t="s">
        <v>139</v>
      </c>
      <c r="C1451" s="1674" t="s">
        <v>88</v>
      </c>
      <c r="D1451" s="1675">
        <v>144.5</v>
      </c>
      <c r="E1451" s="1676" t="s">
        <v>87</v>
      </c>
      <c r="F1451" s="1677">
        <v>21.4</v>
      </c>
      <c r="G1451" s="1677">
        <v>4.4000000000000004</v>
      </c>
      <c r="H1451" s="1669">
        <f t="shared" si="224"/>
        <v>3092.2999999999997</v>
      </c>
      <c r="I1451" s="1669">
        <f t="shared" si="225"/>
        <v>635.80000000000007</v>
      </c>
      <c r="J1451" s="1669">
        <f>SUM(H1451:I1451)</f>
        <v>3728.1</v>
      </c>
      <c r="K1451" s="1708"/>
      <c r="L1451" s="1721"/>
      <c r="M1451" s="1710" t="s">
        <v>1016</v>
      </c>
      <c r="N1451" s="1711" t="s">
        <v>659</v>
      </c>
    </row>
    <row r="1452" spans="1:14" ht="24" customHeight="1">
      <c r="A1452" s="1712"/>
      <c r="B1452" s="1673" t="s">
        <v>139</v>
      </c>
      <c r="C1452" s="1674" t="s">
        <v>89</v>
      </c>
      <c r="D1452" s="1675">
        <v>43.5</v>
      </c>
      <c r="E1452" s="1676" t="s">
        <v>87</v>
      </c>
      <c r="F1452" s="1677">
        <v>21.4</v>
      </c>
      <c r="G1452" s="1677">
        <v>3.6</v>
      </c>
      <c r="H1452" s="1669">
        <f t="shared" si="224"/>
        <v>930.9</v>
      </c>
      <c r="I1452" s="1669">
        <f t="shared" si="225"/>
        <v>156.6</v>
      </c>
      <c r="J1452" s="1669">
        <f>SUM(H1452:I1452)</f>
        <v>1087.5</v>
      </c>
      <c r="K1452" s="1708"/>
      <c r="L1452" s="1721"/>
      <c r="M1452" s="1710" t="s">
        <v>1016</v>
      </c>
      <c r="N1452" s="1711" t="s">
        <v>659</v>
      </c>
    </row>
    <row r="1453" spans="1:14" ht="24" customHeight="1">
      <c r="A1453" s="1712"/>
      <c r="B1453" s="1673" t="s">
        <v>139</v>
      </c>
      <c r="C1453" s="1674" t="s">
        <v>90</v>
      </c>
      <c r="D1453" s="1675">
        <v>501.8</v>
      </c>
      <c r="E1453" s="1676" t="s">
        <v>87</v>
      </c>
      <c r="F1453" s="1677">
        <v>21.2</v>
      </c>
      <c r="G1453" s="1677">
        <v>3.6</v>
      </c>
      <c r="H1453" s="1669">
        <f t="shared" si="224"/>
        <v>10638.16</v>
      </c>
      <c r="I1453" s="1669">
        <f t="shared" si="225"/>
        <v>1806.48</v>
      </c>
      <c r="J1453" s="1669">
        <f>SUM(H1453:I1453)</f>
        <v>12444.64</v>
      </c>
      <c r="K1453" s="1708"/>
      <c r="L1453" s="1721"/>
      <c r="M1453" s="1710" t="s">
        <v>1016</v>
      </c>
      <c r="N1453" s="1711" t="s">
        <v>659</v>
      </c>
    </row>
    <row r="1454" spans="1:14" ht="24" customHeight="1">
      <c r="A1454" s="1712"/>
      <c r="B1454" s="1673" t="s">
        <v>139</v>
      </c>
      <c r="C1454" s="1674" t="s">
        <v>91</v>
      </c>
      <c r="D1454" s="1675">
        <v>165.3</v>
      </c>
      <c r="E1454" s="1676" t="s">
        <v>87</v>
      </c>
      <c r="F1454" s="1677">
        <v>21.2</v>
      </c>
      <c r="G1454" s="1677">
        <v>3.1</v>
      </c>
      <c r="H1454" s="1669">
        <f t="shared" si="224"/>
        <v>3504.36</v>
      </c>
      <c r="I1454" s="1669">
        <f t="shared" si="225"/>
        <v>512.43000000000006</v>
      </c>
      <c r="J1454" s="1669">
        <f>SUM(H1454:I1454)</f>
        <v>4016.79</v>
      </c>
      <c r="K1454" s="1708"/>
      <c r="L1454" s="1721"/>
      <c r="M1454" s="1710" t="s">
        <v>1016</v>
      </c>
      <c r="N1454" s="1711" t="s">
        <v>659</v>
      </c>
    </row>
    <row r="1455" spans="1:14" ht="24" customHeight="1">
      <c r="A1455" s="1712"/>
      <c r="B1455" s="1673" t="s">
        <v>139</v>
      </c>
      <c r="C1455" s="1674" t="s">
        <v>200</v>
      </c>
      <c r="D1455" s="1675">
        <f>SUM(D1451:D1454)*0.03</f>
        <v>25.652999999999995</v>
      </c>
      <c r="E1455" s="1676" t="s">
        <v>87</v>
      </c>
      <c r="F1455" s="1677">
        <v>25.83</v>
      </c>
      <c r="G1455" s="1677">
        <v>0</v>
      </c>
      <c r="H1455" s="1669">
        <f t="shared" si="224"/>
        <v>662.61698999999987</v>
      </c>
      <c r="I1455" s="1669">
        <f t="shared" si="225"/>
        <v>0</v>
      </c>
      <c r="J1455" s="1669">
        <f>SUM(H1455:I1455)</f>
        <v>662.61698999999987</v>
      </c>
      <c r="K1455" s="1708"/>
      <c r="L1455" s="1721"/>
      <c r="M1455" s="1710" t="s">
        <v>1019</v>
      </c>
      <c r="N1455" s="1711"/>
    </row>
    <row r="1456" spans="1:14" ht="24" customHeight="1">
      <c r="A1456" s="1702"/>
      <c r="B1456" s="2369" t="s">
        <v>249</v>
      </c>
      <c r="C1456" s="2373"/>
      <c r="D1456" s="1705"/>
      <c r="E1456" s="1706"/>
      <c r="F1456" s="1707"/>
      <c r="G1456" s="1707"/>
      <c r="H1456" s="1707"/>
      <c r="I1456" s="1707"/>
      <c r="J1456" s="1707"/>
      <c r="K1456" s="1709"/>
      <c r="L1456" s="1721"/>
      <c r="M1456" s="1711"/>
      <c r="N1456" s="1711"/>
    </row>
    <row r="1457" spans="1:14" ht="24" customHeight="1">
      <c r="A1457" s="1712"/>
      <c r="B1457" s="2368" t="s">
        <v>394</v>
      </c>
      <c r="C1457" s="2370"/>
      <c r="D1457" s="1675"/>
      <c r="E1457" s="1676"/>
      <c r="F1457" s="1669"/>
      <c r="G1457" s="1669"/>
      <c r="H1457" s="1669"/>
      <c r="I1457" s="1669"/>
      <c r="J1457" s="1669"/>
      <c r="K1457" s="1708"/>
      <c r="L1457" s="1721"/>
      <c r="M1457" s="1711"/>
      <c r="N1457" s="1711"/>
    </row>
    <row r="1458" spans="1:14" ht="24" customHeight="1">
      <c r="A1458" s="1712"/>
      <c r="B1458" s="2368" t="s">
        <v>416</v>
      </c>
      <c r="C1458" s="2370"/>
      <c r="D1458" s="1675"/>
      <c r="E1458" s="1676"/>
      <c r="F1458" s="1669"/>
      <c r="G1458" s="1669"/>
      <c r="H1458" s="1669"/>
      <c r="I1458" s="1669"/>
      <c r="J1458" s="1669"/>
      <c r="K1458" s="1708"/>
      <c r="L1458" s="1721"/>
      <c r="M1458" s="1711"/>
      <c r="N1458" s="1711"/>
    </row>
    <row r="1459" spans="1:14" ht="24" customHeight="1">
      <c r="A1459" s="1712"/>
      <c r="B1459" s="1673" t="s">
        <v>139</v>
      </c>
      <c r="C1459" s="1674" t="s">
        <v>228</v>
      </c>
      <c r="D1459" s="1675">
        <v>4.5</v>
      </c>
      <c r="E1459" s="1676" t="s">
        <v>85</v>
      </c>
      <c r="F1459" s="1736">
        <v>2679.9</v>
      </c>
      <c r="G1459" s="1736">
        <v>519</v>
      </c>
      <c r="H1459" s="1669">
        <f t="shared" ref="H1459:H1477" si="227">F1459*D1459</f>
        <v>12059.550000000001</v>
      </c>
      <c r="I1459" s="1669">
        <f t="shared" ref="I1459:I1477" si="228">G1459*D1459</f>
        <v>2335.5</v>
      </c>
      <c r="J1459" s="1669">
        <f t="shared" ref="J1459:J1472" si="229">SUM(H1459:I1459)</f>
        <v>14395.050000000001</v>
      </c>
      <c r="K1459" s="1708"/>
      <c r="L1459" s="1721"/>
      <c r="M1459" s="1710" t="s">
        <v>1016</v>
      </c>
      <c r="N1459" s="1711" t="s">
        <v>664</v>
      </c>
    </row>
    <row r="1460" spans="1:14" ht="24" customHeight="1">
      <c r="A1460" s="1780"/>
      <c r="B1460" s="1780"/>
      <c r="C1460" s="1827" t="s">
        <v>133</v>
      </c>
      <c r="D1460" s="2365"/>
      <c r="E1460" s="2365"/>
      <c r="F1460" s="2365"/>
      <c r="G1460" s="2365"/>
      <c r="H1460" s="2365"/>
      <c r="I1460" s="2365"/>
      <c r="J1460" s="2365"/>
      <c r="K1460" s="2365"/>
      <c r="L1460" s="1721"/>
      <c r="M1460" s="1710"/>
      <c r="N1460" s="1711"/>
    </row>
    <row r="1461" spans="1:14" ht="24" customHeight="1">
      <c r="A1461" s="1780"/>
      <c r="B1461" s="2366" t="s">
        <v>1769</v>
      </c>
      <c r="C1461" s="2366"/>
      <c r="D1461" s="1828"/>
      <c r="E1461" s="1769"/>
      <c r="F1461" s="1828"/>
      <c r="G1461" s="1828" t="s">
        <v>134</v>
      </c>
      <c r="H1461" s="1828"/>
      <c r="I1461" s="1828"/>
      <c r="J1461" s="1828"/>
      <c r="K1461" s="1828"/>
      <c r="L1461" s="1721"/>
      <c r="M1461" s="1710"/>
      <c r="N1461" s="1711"/>
    </row>
    <row r="1462" spans="1:14" ht="24" customHeight="1">
      <c r="A1462" s="1780"/>
      <c r="B1462" s="2367" t="s">
        <v>1970</v>
      </c>
      <c r="C1462" s="2367"/>
      <c r="D1462" s="1831"/>
      <c r="E1462" s="1832"/>
      <c r="F1462" s="1833"/>
      <c r="G1462" s="1833" t="s">
        <v>1971</v>
      </c>
      <c r="H1462" s="1833"/>
      <c r="I1462" s="1833"/>
      <c r="J1462" s="1833"/>
      <c r="K1462" s="1833"/>
      <c r="L1462" s="1721"/>
      <c r="M1462" s="1710"/>
      <c r="N1462" s="1711"/>
    </row>
    <row r="1463" spans="1:14" ht="24" customHeight="1">
      <c r="A1463" s="1830"/>
      <c r="B1463" s="1828" t="s">
        <v>2031</v>
      </c>
      <c r="C1463" s="1830"/>
      <c r="D1463" s="1830"/>
      <c r="E1463" s="1830"/>
      <c r="F1463" s="1830"/>
      <c r="G1463" s="1828" t="s">
        <v>2031</v>
      </c>
      <c r="H1463" s="1830"/>
      <c r="I1463" s="1830"/>
      <c r="J1463" s="1830"/>
      <c r="K1463" s="1830"/>
      <c r="L1463" s="1721"/>
      <c r="M1463" s="1710"/>
      <c r="N1463" s="1711"/>
    </row>
    <row r="1464" spans="1:14" ht="24" customHeight="1">
      <c r="B1464" s="1721" t="s">
        <v>1984</v>
      </c>
      <c r="C1464" s="1830"/>
      <c r="D1464" s="1685"/>
      <c r="E1464" s="1685"/>
      <c r="G1464" s="1721" t="s">
        <v>1985</v>
      </c>
      <c r="H1464" s="1685"/>
      <c r="I1464" s="1685"/>
      <c r="J1464" s="1685"/>
      <c r="K1464" s="1685"/>
      <c r="L1464" s="1721"/>
      <c r="M1464" s="1710"/>
      <c r="N1464" s="1711"/>
    </row>
    <row r="1465" spans="1:14" ht="24" customHeight="1">
      <c r="B1465" s="1828" t="s">
        <v>670</v>
      </c>
      <c r="L1465" s="1721"/>
      <c r="M1465" s="1710"/>
      <c r="N1465" s="1711"/>
    </row>
    <row r="1466" spans="1:14" ht="24" customHeight="1">
      <c r="B1466" s="1721" t="s">
        <v>1972</v>
      </c>
      <c r="L1466" s="1721"/>
      <c r="M1466" s="1710"/>
      <c r="N1466" s="1711"/>
    </row>
    <row r="1467" spans="1:14" ht="24" customHeight="1">
      <c r="A1467" s="1712"/>
      <c r="B1467" s="2368" t="s">
        <v>418</v>
      </c>
      <c r="C1467" s="2370"/>
      <c r="D1467" s="1675">
        <v>22.5</v>
      </c>
      <c r="E1467" s="1676"/>
      <c r="F1467" s="1669"/>
      <c r="G1467" s="1669"/>
      <c r="H1467" s="1669"/>
      <c r="I1467" s="1669"/>
      <c r="J1467" s="1669"/>
      <c r="K1467" s="1708"/>
      <c r="L1467" s="1721"/>
      <c r="M1467" s="1711"/>
      <c r="N1467" s="1711"/>
    </row>
    <row r="1468" spans="1:14" ht="24" customHeight="1">
      <c r="A1468" s="1712"/>
      <c r="B1468" s="1673" t="s">
        <v>139</v>
      </c>
      <c r="C1468" s="1674" t="s">
        <v>165</v>
      </c>
      <c r="D1468" s="1675">
        <f>D1467</f>
        <v>22.5</v>
      </c>
      <c r="E1468" s="1676" t="s">
        <v>86</v>
      </c>
      <c r="F1468" s="1669"/>
      <c r="G1468" s="1669">
        <v>121</v>
      </c>
      <c r="H1468" s="1669">
        <f t="shared" si="227"/>
        <v>0</v>
      </c>
      <c r="I1468" s="1669">
        <f t="shared" si="228"/>
        <v>2722.5</v>
      </c>
      <c r="J1468" s="1669">
        <f t="shared" si="229"/>
        <v>2722.5</v>
      </c>
      <c r="K1468" s="1708"/>
      <c r="L1468" s="1721"/>
      <c r="M1468" s="1710" t="s">
        <v>1017</v>
      </c>
      <c r="N1468" s="1711" t="s">
        <v>664</v>
      </c>
    </row>
    <row r="1469" spans="1:14" ht="24" customHeight="1">
      <c r="A1469" s="1712"/>
      <c r="B1469" s="1673" t="s">
        <v>139</v>
      </c>
      <c r="C1469" s="1674" t="s">
        <v>198</v>
      </c>
      <c r="D1469" s="1675">
        <f>D1467*0.5</f>
        <v>11.25</v>
      </c>
      <c r="E1469" s="1676" t="s">
        <v>164</v>
      </c>
      <c r="F1469" s="1669">
        <v>400</v>
      </c>
      <c r="G1469" s="1669"/>
      <c r="H1469" s="1669">
        <f t="shared" si="227"/>
        <v>4500</v>
      </c>
      <c r="I1469" s="1669">
        <f t="shared" si="228"/>
        <v>0</v>
      </c>
      <c r="J1469" s="1669">
        <f t="shared" si="229"/>
        <v>4500</v>
      </c>
      <c r="K1469" s="1708"/>
      <c r="L1469" s="1721"/>
      <c r="M1469" s="1710" t="s">
        <v>1018</v>
      </c>
      <c r="N1469" s="1711"/>
    </row>
    <row r="1470" spans="1:14" ht="24" customHeight="1">
      <c r="A1470" s="1712"/>
      <c r="B1470" s="1673" t="s">
        <v>139</v>
      </c>
      <c r="C1470" s="1674" t="s">
        <v>166</v>
      </c>
      <c r="D1470" s="1675">
        <f>D1469*0.3</f>
        <v>3.375</v>
      </c>
      <c r="E1470" s="1676" t="s">
        <v>164</v>
      </c>
      <c r="F1470" s="1669">
        <v>400</v>
      </c>
      <c r="G1470" s="1669">
        <v>0</v>
      </c>
      <c r="H1470" s="1669">
        <f t="shared" si="227"/>
        <v>1350</v>
      </c>
      <c r="I1470" s="1669">
        <f t="shared" si="228"/>
        <v>0</v>
      </c>
      <c r="J1470" s="1669">
        <f t="shared" si="229"/>
        <v>1350</v>
      </c>
      <c r="K1470" s="1708"/>
      <c r="L1470" s="1721"/>
      <c r="M1470" s="1710" t="s">
        <v>1018</v>
      </c>
      <c r="N1470" s="1711"/>
    </row>
    <row r="1471" spans="1:14" ht="24" customHeight="1">
      <c r="A1471" s="1712"/>
      <c r="B1471" s="1673" t="s">
        <v>139</v>
      </c>
      <c r="C1471" s="1674" t="s">
        <v>163</v>
      </c>
      <c r="D1471" s="1675">
        <f>D1467</f>
        <v>22.5</v>
      </c>
      <c r="E1471" s="1676" t="s">
        <v>83</v>
      </c>
      <c r="F1471" s="1669">
        <v>28</v>
      </c>
      <c r="G1471" s="1669">
        <v>0</v>
      </c>
      <c r="H1471" s="1669">
        <f t="shared" si="227"/>
        <v>630</v>
      </c>
      <c r="I1471" s="1669">
        <f t="shared" si="228"/>
        <v>0</v>
      </c>
      <c r="J1471" s="1669">
        <f t="shared" si="229"/>
        <v>630</v>
      </c>
      <c r="K1471" s="1708"/>
      <c r="L1471" s="1721"/>
      <c r="M1471" s="1710" t="s">
        <v>1018</v>
      </c>
      <c r="N1471" s="1711"/>
    </row>
    <row r="1472" spans="1:14" ht="24" customHeight="1">
      <c r="A1472" s="1712"/>
      <c r="B1472" s="1673" t="s">
        <v>139</v>
      </c>
      <c r="C1472" s="1674" t="s">
        <v>1781</v>
      </c>
      <c r="D1472" s="1675">
        <f>D1467*0.25</f>
        <v>5.625</v>
      </c>
      <c r="E1472" s="1676" t="s">
        <v>87</v>
      </c>
      <c r="F1472" s="1736">
        <v>23.89</v>
      </c>
      <c r="G1472" s="1736">
        <v>0</v>
      </c>
      <c r="H1472" s="1669">
        <f t="shared" si="227"/>
        <v>134.38124999999999</v>
      </c>
      <c r="I1472" s="1669">
        <f t="shared" si="228"/>
        <v>0</v>
      </c>
      <c r="J1472" s="1669">
        <f t="shared" si="229"/>
        <v>134.38124999999999</v>
      </c>
      <c r="K1472" s="1708"/>
      <c r="L1472" s="1721"/>
      <c r="M1472" s="1710" t="s">
        <v>660</v>
      </c>
      <c r="N1472" s="1711"/>
    </row>
    <row r="1473" spans="1:14" ht="24" customHeight="1">
      <c r="A1473" s="1712"/>
      <c r="B1473" s="2368" t="s">
        <v>417</v>
      </c>
      <c r="C1473" s="2370"/>
      <c r="D1473" s="1675"/>
      <c r="E1473" s="1676"/>
      <c r="F1473" s="1669"/>
      <c r="G1473" s="1669"/>
      <c r="H1473" s="1669"/>
      <c r="I1473" s="1669"/>
      <c r="J1473" s="1669"/>
      <c r="K1473" s="1708"/>
      <c r="L1473" s="1721"/>
      <c r="M1473" s="1711"/>
      <c r="N1473" s="1711"/>
    </row>
    <row r="1474" spans="1:14" ht="24" customHeight="1">
      <c r="A1474" s="1712"/>
      <c r="B1474" s="1673" t="s">
        <v>139</v>
      </c>
      <c r="C1474" s="1674" t="s">
        <v>88</v>
      </c>
      <c r="D1474" s="1675">
        <v>168.6</v>
      </c>
      <c r="E1474" s="1676" t="s">
        <v>87</v>
      </c>
      <c r="F1474" s="1677">
        <v>21.4</v>
      </c>
      <c r="G1474" s="1677">
        <v>4.4000000000000004</v>
      </c>
      <c r="H1474" s="1669">
        <f t="shared" si="227"/>
        <v>3608.0399999999995</v>
      </c>
      <c r="I1474" s="1669">
        <f t="shared" si="228"/>
        <v>741.84</v>
      </c>
      <c r="J1474" s="1669">
        <f>SUM(H1474:I1474)</f>
        <v>4349.8799999999992</v>
      </c>
      <c r="K1474" s="1708"/>
      <c r="L1474" s="1721"/>
      <c r="M1474" s="1710" t="s">
        <v>1016</v>
      </c>
      <c r="N1474" s="1711" t="s">
        <v>659</v>
      </c>
    </row>
    <row r="1475" spans="1:14" ht="24" customHeight="1">
      <c r="A1475" s="1712"/>
      <c r="B1475" s="1673" t="s">
        <v>139</v>
      </c>
      <c r="C1475" s="1674" t="s">
        <v>89</v>
      </c>
      <c r="D1475" s="1675">
        <v>100.4</v>
      </c>
      <c r="E1475" s="1676" t="s">
        <v>87</v>
      </c>
      <c r="F1475" s="1677">
        <v>21.4</v>
      </c>
      <c r="G1475" s="1677">
        <v>3.6</v>
      </c>
      <c r="H1475" s="1669">
        <f t="shared" si="227"/>
        <v>2148.56</v>
      </c>
      <c r="I1475" s="1669">
        <f t="shared" si="228"/>
        <v>361.44000000000005</v>
      </c>
      <c r="J1475" s="1669">
        <f>SUM(H1475:I1475)</f>
        <v>2510</v>
      </c>
      <c r="K1475" s="1708"/>
      <c r="L1475" s="1721"/>
      <c r="M1475" s="1710" t="s">
        <v>1016</v>
      </c>
      <c r="N1475" s="1711" t="s">
        <v>659</v>
      </c>
    </row>
    <row r="1476" spans="1:14" ht="24" customHeight="1">
      <c r="A1476" s="1664"/>
      <c r="B1476" s="1665" t="s">
        <v>139</v>
      </c>
      <c r="C1476" s="1666" t="s">
        <v>90</v>
      </c>
      <c r="D1476" s="1667">
        <v>280</v>
      </c>
      <c r="E1476" s="1668" t="s">
        <v>87</v>
      </c>
      <c r="F1476" s="1744">
        <v>21.2</v>
      </c>
      <c r="G1476" s="1744">
        <v>3.6</v>
      </c>
      <c r="H1476" s="1670">
        <f t="shared" si="227"/>
        <v>5936</v>
      </c>
      <c r="I1476" s="1670">
        <f t="shared" si="228"/>
        <v>1008</v>
      </c>
      <c r="J1476" s="1669">
        <f>SUM(H1476:I1476)</f>
        <v>6944</v>
      </c>
      <c r="K1476" s="1708"/>
      <c r="L1476" s="1721"/>
      <c r="M1476" s="1710" t="s">
        <v>1016</v>
      </c>
      <c r="N1476" s="1711" t="s">
        <v>659</v>
      </c>
    </row>
    <row r="1477" spans="1:14" ht="24" customHeight="1">
      <c r="A1477" s="1712"/>
      <c r="B1477" s="1673" t="s">
        <v>139</v>
      </c>
      <c r="C1477" s="1674" t="s">
        <v>200</v>
      </c>
      <c r="D1477" s="1675">
        <f>SUM(D1474:D1476)*0.03</f>
        <v>16.47</v>
      </c>
      <c r="E1477" s="1676" t="s">
        <v>87</v>
      </c>
      <c r="F1477" s="1677">
        <v>25.83</v>
      </c>
      <c r="G1477" s="1677">
        <v>0</v>
      </c>
      <c r="H1477" s="1669">
        <f t="shared" si="227"/>
        <v>425.42009999999993</v>
      </c>
      <c r="I1477" s="1669">
        <f t="shared" si="228"/>
        <v>0</v>
      </c>
      <c r="J1477" s="1678">
        <f>SUM(H1477:I1477)</f>
        <v>425.42009999999993</v>
      </c>
      <c r="K1477" s="1708"/>
      <c r="L1477" s="1721"/>
      <c r="M1477" s="1710" t="s">
        <v>1019</v>
      </c>
      <c r="N1477" s="1711"/>
    </row>
    <row r="1478" spans="1:14" ht="24" customHeight="1">
      <c r="A1478" s="1712"/>
      <c r="B1478" s="2368" t="s">
        <v>395</v>
      </c>
      <c r="C1478" s="2370"/>
      <c r="D1478" s="1675"/>
      <c r="E1478" s="1676"/>
      <c r="F1478" s="1669"/>
      <c r="G1478" s="1669"/>
      <c r="H1478" s="1669"/>
      <c r="I1478" s="1669"/>
      <c r="J1478" s="1678"/>
      <c r="K1478" s="1708"/>
      <c r="L1478" s="1721"/>
      <c r="M1478" s="1711"/>
      <c r="N1478" s="1711"/>
    </row>
    <row r="1479" spans="1:14" ht="24" customHeight="1">
      <c r="A1479" s="1712"/>
      <c r="B1479" s="2368" t="s">
        <v>420</v>
      </c>
      <c r="C1479" s="2370"/>
      <c r="D1479" s="1675"/>
      <c r="E1479" s="1676"/>
      <c r="F1479" s="1669"/>
      <c r="G1479" s="1669"/>
      <c r="H1479" s="1669"/>
      <c r="I1479" s="1669"/>
      <c r="J1479" s="1678"/>
      <c r="K1479" s="1708"/>
      <c r="L1479" s="1721"/>
      <c r="M1479" s="1711"/>
      <c r="N1479" s="1711"/>
    </row>
    <row r="1480" spans="1:14" ht="24" customHeight="1">
      <c r="A1480" s="1712"/>
      <c r="B1480" s="1673" t="s">
        <v>139</v>
      </c>
      <c r="C1480" s="1674" t="s">
        <v>228</v>
      </c>
      <c r="D1480" s="1675">
        <v>5.5</v>
      </c>
      <c r="E1480" s="1676" t="s">
        <v>85</v>
      </c>
      <c r="F1480" s="1736">
        <v>2679.9</v>
      </c>
      <c r="G1480" s="1736">
        <v>519</v>
      </c>
      <c r="H1480" s="1669">
        <f t="shared" ref="H1480:H1491" si="230">F1480*D1480</f>
        <v>14739.45</v>
      </c>
      <c r="I1480" s="1669">
        <f t="shared" ref="I1480:I1491" si="231">G1480*D1480</f>
        <v>2854.5</v>
      </c>
      <c r="J1480" s="1678">
        <f t="shared" ref="J1480:J1486" si="232">SUM(H1480:I1480)</f>
        <v>17593.95</v>
      </c>
      <c r="K1480" s="1708"/>
      <c r="L1480" s="1721"/>
      <c r="M1480" s="1710" t="s">
        <v>1016</v>
      </c>
      <c r="N1480" s="1711" t="s">
        <v>664</v>
      </c>
    </row>
    <row r="1481" spans="1:14" ht="24" customHeight="1">
      <c r="A1481" s="1712"/>
      <c r="B1481" s="2368" t="s">
        <v>421</v>
      </c>
      <c r="C1481" s="2370"/>
      <c r="D1481" s="1675">
        <v>28.6</v>
      </c>
      <c r="E1481" s="1676"/>
      <c r="F1481" s="1669"/>
      <c r="G1481" s="1669"/>
      <c r="H1481" s="1669"/>
      <c r="I1481" s="1669"/>
      <c r="J1481" s="1678"/>
      <c r="K1481" s="1708"/>
      <c r="L1481" s="1721"/>
      <c r="M1481" s="1711"/>
      <c r="N1481" s="1711"/>
    </row>
    <row r="1482" spans="1:14" ht="24" customHeight="1">
      <c r="A1482" s="1712"/>
      <c r="B1482" s="1673" t="s">
        <v>139</v>
      </c>
      <c r="C1482" s="1674" t="s">
        <v>165</v>
      </c>
      <c r="D1482" s="1675">
        <f>D1481</f>
        <v>28.6</v>
      </c>
      <c r="E1482" s="1676" t="s">
        <v>86</v>
      </c>
      <c r="F1482" s="1669"/>
      <c r="G1482" s="1669">
        <v>121</v>
      </c>
      <c r="H1482" s="1669">
        <f t="shared" si="230"/>
        <v>0</v>
      </c>
      <c r="I1482" s="1669">
        <f t="shared" si="231"/>
        <v>3460.6000000000004</v>
      </c>
      <c r="J1482" s="1678">
        <f t="shared" si="232"/>
        <v>3460.6000000000004</v>
      </c>
      <c r="K1482" s="1708"/>
      <c r="L1482" s="1721"/>
      <c r="M1482" s="1710" t="s">
        <v>1017</v>
      </c>
      <c r="N1482" s="1711" t="s">
        <v>664</v>
      </c>
    </row>
    <row r="1483" spans="1:14" ht="24" customHeight="1">
      <c r="A1483" s="1712"/>
      <c r="B1483" s="1673" t="s">
        <v>139</v>
      </c>
      <c r="C1483" s="1674" t="s">
        <v>198</v>
      </c>
      <c r="D1483" s="1675">
        <f>D1481*0.5</f>
        <v>14.3</v>
      </c>
      <c r="E1483" s="1676" t="s">
        <v>164</v>
      </c>
      <c r="F1483" s="1669">
        <v>400</v>
      </c>
      <c r="G1483" s="1669"/>
      <c r="H1483" s="1669">
        <f t="shared" si="230"/>
        <v>5720</v>
      </c>
      <c r="I1483" s="1669">
        <f t="shared" si="231"/>
        <v>0</v>
      </c>
      <c r="J1483" s="1678">
        <f t="shared" si="232"/>
        <v>5720</v>
      </c>
      <c r="K1483" s="1708"/>
      <c r="L1483" s="1721"/>
      <c r="M1483" s="1710" t="s">
        <v>1018</v>
      </c>
      <c r="N1483" s="1711"/>
    </row>
    <row r="1484" spans="1:14" ht="24" customHeight="1">
      <c r="A1484" s="1712"/>
      <c r="B1484" s="1673" t="s">
        <v>139</v>
      </c>
      <c r="C1484" s="1674" t="s">
        <v>166</v>
      </c>
      <c r="D1484" s="1675">
        <f>D1483*0.3</f>
        <v>4.29</v>
      </c>
      <c r="E1484" s="1676" t="s">
        <v>164</v>
      </c>
      <c r="F1484" s="1669">
        <v>400</v>
      </c>
      <c r="G1484" s="1669">
        <v>0</v>
      </c>
      <c r="H1484" s="1669">
        <f t="shared" si="230"/>
        <v>1716</v>
      </c>
      <c r="I1484" s="1669">
        <f t="shared" si="231"/>
        <v>0</v>
      </c>
      <c r="J1484" s="1678">
        <f t="shared" si="232"/>
        <v>1716</v>
      </c>
      <c r="K1484" s="1708"/>
      <c r="L1484" s="1721"/>
      <c r="M1484" s="1710" t="s">
        <v>1018</v>
      </c>
      <c r="N1484" s="1711"/>
    </row>
    <row r="1485" spans="1:14" ht="24" customHeight="1">
      <c r="A1485" s="1712"/>
      <c r="B1485" s="1673" t="s">
        <v>139</v>
      </c>
      <c r="C1485" s="1674" t="s">
        <v>163</v>
      </c>
      <c r="D1485" s="1675">
        <f>D1481</f>
        <v>28.6</v>
      </c>
      <c r="E1485" s="1676" t="s">
        <v>83</v>
      </c>
      <c r="F1485" s="1669">
        <v>28</v>
      </c>
      <c r="G1485" s="1669">
        <v>0</v>
      </c>
      <c r="H1485" s="1669">
        <f t="shared" si="230"/>
        <v>800.80000000000007</v>
      </c>
      <c r="I1485" s="1669">
        <f t="shared" si="231"/>
        <v>0</v>
      </c>
      <c r="J1485" s="1678">
        <f t="shared" si="232"/>
        <v>800.80000000000007</v>
      </c>
      <c r="K1485" s="1708"/>
      <c r="L1485" s="1721"/>
      <c r="M1485" s="1710" t="s">
        <v>1018</v>
      </c>
      <c r="N1485" s="1711"/>
    </row>
    <row r="1486" spans="1:14" ht="24" customHeight="1">
      <c r="A1486" s="1712"/>
      <c r="B1486" s="1673" t="s">
        <v>139</v>
      </c>
      <c r="C1486" s="1674" t="s">
        <v>1781</v>
      </c>
      <c r="D1486" s="1675">
        <f>D1481*0.25</f>
        <v>7.15</v>
      </c>
      <c r="E1486" s="1676" t="s">
        <v>87</v>
      </c>
      <c r="F1486" s="1669">
        <v>23.89</v>
      </c>
      <c r="G1486" s="1669">
        <v>0</v>
      </c>
      <c r="H1486" s="1669">
        <f t="shared" si="230"/>
        <v>170.8135</v>
      </c>
      <c r="I1486" s="1669">
        <f t="shared" si="231"/>
        <v>0</v>
      </c>
      <c r="J1486" s="1678">
        <f t="shared" si="232"/>
        <v>170.8135</v>
      </c>
      <c r="K1486" s="1708"/>
      <c r="L1486" s="1721"/>
      <c r="M1486" s="1710" t="s">
        <v>660</v>
      </c>
      <c r="N1486" s="1711"/>
    </row>
    <row r="1487" spans="1:14" ht="24" customHeight="1">
      <c r="A1487" s="1712"/>
      <c r="B1487" s="2368" t="s">
        <v>419</v>
      </c>
      <c r="C1487" s="2370"/>
      <c r="D1487" s="1675"/>
      <c r="E1487" s="1676"/>
      <c r="F1487" s="1669"/>
      <c r="G1487" s="1669"/>
      <c r="H1487" s="1669"/>
      <c r="I1487" s="1669"/>
      <c r="J1487" s="1678"/>
      <c r="K1487" s="1708"/>
      <c r="L1487" s="1721"/>
      <c r="M1487" s="1711"/>
      <c r="N1487" s="1711"/>
    </row>
    <row r="1488" spans="1:14" s="1685" customFormat="1" ht="24" customHeight="1">
      <c r="A1488" s="1712"/>
      <c r="B1488" s="1673" t="s">
        <v>139</v>
      </c>
      <c r="C1488" s="1674" t="s">
        <v>88</v>
      </c>
      <c r="D1488" s="1675">
        <v>252.5</v>
      </c>
      <c r="E1488" s="1676" t="s">
        <v>87</v>
      </c>
      <c r="F1488" s="1677">
        <v>21.4</v>
      </c>
      <c r="G1488" s="1677">
        <v>4.4000000000000004</v>
      </c>
      <c r="H1488" s="1669">
        <f t="shared" si="230"/>
        <v>5403.5</v>
      </c>
      <c r="I1488" s="1669">
        <f t="shared" si="231"/>
        <v>1111</v>
      </c>
      <c r="J1488" s="1790">
        <f>SUM(H1488:I1488)</f>
        <v>6514.5</v>
      </c>
      <c r="K1488" s="1789"/>
      <c r="L1488" s="1721"/>
      <c r="M1488" s="1710" t="s">
        <v>1016</v>
      </c>
      <c r="N1488" s="1711" t="s">
        <v>659</v>
      </c>
    </row>
    <row r="1489" spans="1:14" s="1685" customFormat="1" ht="24" customHeight="1">
      <c r="A1489" s="1712"/>
      <c r="B1489" s="1673" t="s">
        <v>139</v>
      </c>
      <c r="C1489" s="1674" t="s">
        <v>89</v>
      </c>
      <c r="D1489" s="1675">
        <v>117.7</v>
      </c>
      <c r="E1489" s="1676" t="s">
        <v>87</v>
      </c>
      <c r="F1489" s="1677">
        <v>21.4</v>
      </c>
      <c r="G1489" s="1677">
        <v>3.6</v>
      </c>
      <c r="H1489" s="1669">
        <f t="shared" si="230"/>
        <v>2518.7799999999997</v>
      </c>
      <c r="I1489" s="1669">
        <f t="shared" si="231"/>
        <v>423.72</v>
      </c>
      <c r="J1489" s="1754">
        <f>SUM(H1489:I1489)</f>
        <v>2942.5</v>
      </c>
      <c r="K1489" s="1709"/>
      <c r="L1489" s="1721"/>
      <c r="M1489" s="1710" t="s">
        <v>1016</v>
      </c>
      <c r="N1489" s="1711" t="s">
        <v>659</v>
      </c>
    </row>
    <row r="1490" spans="1:14" s="1685" customFormat="1" ht="24" customHeight="1">
      <c r="A1490" s="1712"/>
      <c r="B1490" s="1673" t="s">
        <v>139</v>
      </c>
      <c r="C1490" s="1674" t="s">
        <v>90</v>
      </c>
      <c r="D1490" s="1675">
        <v>446.8</v>
      </c>
      <c r="E1490" s="1676" t="s">
        <v>87</v>
      </c>
      <c r="F1490" s="1677">
        <v>21.2</v>
      </c>
      <c r="G1490" s="1677">
        <v>3.6</v>
      </c>
      <c r="H1490" s="1669">
        <f t="shared" si="230"/>
        <v>9472.16</v>
      </c>
      <c r="I1490" s="1669">
        <f t="shared" si="231"/>
        <v>1608.48</v>
      </c>
      <c r="J1490" s="1678">
        <f>SUM(H1490:I1490)</f>
        <v>11080.64</v>
      </c>
      <c r="K1490" s="1708"/>
      <c r="L1490" s="1721"/>
      <c r="M1490" s="1710" t="s">
        <v>1016</v>
      </c>
      <c r="N1490" s="1711" t="s">
        <v>659</v>
      </c>
    </row>
    <row r="1491" spans="1:14" ht="24" customHeight="1">
      <c r="A1491" s="1712"/>
      <c r="B1491" s="1673" t="s">
        <v>139</v>
      </c>
      <c r="C1491" s="1674" t="s">
        <v>200</v>
      </c>
      <c r="D1491" s="1675">
        <f>SUM(D1488:D1490)*0.03</f>
        <v>24.509999999999998</v>
      </c>
      <c r="E1491" s="1676" t="s">
        <v>87</v>
      </c>
      <c r="F1491" s="1677">
        <v>25.83</v>
      </c>
      <c r="G1491" s="1677">
        <v>0</v>
      </c>
      <c r="H1491" s="1669">
        <f t="shared" si="230"/>
        <v>633.09329999999989</v>
      </c>
      <c r="I1491" s="1669">
        <f t="shared" si="231"/>
        <v>0</v>
      </c>
      <c r="J1491" s="1678">
        <f>SUM(H1491:I1491)</f>
        <v>633.09329999999989</v>
      </c>
      <c r="K1491" s="1708"/>
      <c r="L1491" s="1721"/>
      <c r="M1491" s="1710" t="s">
        <v>1019</v>
      </c>
      <c r="N1491" s="1711"/>
    </row>
    <row r="1492" spans="1:14" ht="24" customHeight="1">
      <c r="A1492" s="1780"/>
      <c r="B1492" s="1780"/>
      <c r="C1492" s="1827" t="s">
        <v>133</v>
      </c>
      <c r="D1492" s="2365"/>
      <c r="E1492" s="2365"/>
      <c r="F1492" s="2365"/>
      <c r="G1492" s="2365"/>
      <c r="H1492" s="2365"/>
      <c r="I1492" s="2365"/>
      <c r="J1492" s="2365"/>
      <c r="K1492" s="2365"/>
      <c r="L1492" s="1721"/>
      <c r="M1492" s="1710"/>
      <c r="N1492" s="1711"/>
    </row>
    <row r="1493" spans="1:14" ht="24" customHeight="1">
      <c r="A1493" s="1780"/>
      <c r="B1493" s="2366" t="s">
        <v>1769</v>
      </c>
      <c r="C1493" s="2366"/>
      <c r="D1493" s="1828"/>
      <c r="E1493" s="1769"/>
      <c r="F1493" s="1828"/>
      <c r="G1493" s="1828" t="s">
        <v>134</v>
      </c>
      <c r="H1493" s="1828"/>
      <c r="I1493" s="1828"/>
      <c r="J1493" s="1828"/>
      <c r="K1493" s="1828"/>
      <c r="L1493" s="1721"/>
      <c r="M1493" s="1710"/>
      <c r="N1493" s="1711"/>
    </row>
    <row r="1494" spans="1:14" ht="24" customHeight="1">
      <c r="A1494" s="1780"/>
      <c r="B1494" s="2367" t="s">
        <v>1970</v>
      </c>
      <c r="C1494" s="2367"/>
      <c r="D1494" s="1831"/>
      <c r="E1494" s="1832"/>
      <c r="F1494" s="1833"/>
      <c r="G1494" s="1833" t="s">
        <v>1971</v>
      </c>
      <c r="H1494" s="1833"/>
      <c r="I1494" s="1833"/>
      <c r="J1494" s="1833"/>
      <c r="K1494" s="1833"/>
      <c r="L1494" s="1721"/>
      <c r="M1494" s="1710"/>
      <c r="N1494" s="1711"/>
    </row>
    <row r="1495" spans="1:14" ht="24" customHeight="1">
      <c r="A1495" s="1830"/>
      <c r="B1495" s="1828" t="s">
        <v>2031</v>
      </c>
      <c r="C1495" s="1830"/>
      <c r="D1495" s="1830"/>
      <c r="E1495" s="1830"/>
      <c r="F1495" s="1830"/>
      <c r="G1495" s="1828" t="s">
        <v>2031</v>
      </c>
      <c r="H1495" s="1830"/>
      <c r="I1495" s="1830"/>
      <c r="J1495" s="1830"/>
      <c r="K1495" s="1830"/>
      <c r="L1495" s="1721"/>
      <c r="M1495" s="1710"/>
      <c r="N1495" s="1711"/>
    </row>
    <row r="1496" spans="1:14" ht="24" customHeight="1">
      <c r="B1496" s="1721" t="s">
        <v>1984</v>
      </c>
      <c r="C1496" s="1830"/>
      <c r="D1496" s="1685"/>
      <c r="E1496" s="1685"/>
      <c r="G1496" s="1721" t="s">
        <v>1985</v>
      </c>
      <c r="H1496" s="1685"/>
      <c r="I1496" s="1685"/>
      <c r="J1496" s="1685"/>
      <c r="K1496" s="1685"/>
      <c r="L1496" s="1721"/>
      <c r="M1496" s="1710"/>
      <c r="N1496" s="1711"/>
    </row>
    <row r="1497" spans="1:14" ht="24" customHeight="1">
      <c r="B1497" s="1828" t="s">
        <v>670</v>
      </c>
      <c r="L1497" s="1721"/>
      <c r="M1497" s="1710"/>
      <c r="N1497" s="1711"/>
    </row>
    <row r="1498" spans="1:14" ht="24" customHeight="1">
      <c r="B1498" s="1721" t="s">
        <v>1972</v>
      </c>
      <c r="L1498" s="1721"/>
      <c r="M1498" s="1710"/>
      <c r="N1498" s="1711"/>
    </row>
    <row r="1499" spans="1:14" ht="24" customHeight="1">
      <c r="A1499" s="1712"/>
      <c r="B1499" s="2368" t="s">
        <v>1051</v>
      </c>
      <c r="C1499" s="2370"/>
      <c r="D1499" s="1675"/>
      <c r="E1499" s="1676"/>
      <c r="F1499" s="1669"/>
      <c r="G1499" s="1669"/>
      <c r="H1499" s="1669"/>
      <c r="I1499" s="1669"/>
      <c r="J1499" s="1678"/>
      <c r="K1499" s="1708"/>
      <c r="L1499" s="1721"/>
      <c r="M1499" s="1711"/>
      <c r="N1499" s="1711"/>
    </row>
    <row r="1500" spans="1:14" ht="24" customHeight="1">
      <c r="A1500" s="1712"/>
      <c r="B1500" s="2368" t="s">
        <v>1052</v>
      </c>
      <c r="C1500" s="2370"/>
      <c r="D1500" s="1675"/>
      <c r="E1500" s="1676"/>
      <c r="F1500" s="1669"/>
      <c r="G1500" s="1669"/>
      <c r="H1500" s="1669"/>
      <c r="I1500" s="1669"/>
      <c r="J1500" s="1678"/>
      <c r="K1500" s="1708"/>
      <c r="L1500" s="1721"/>
      <c r="M1500" s="1711"/>
      <c r="N1500" s="1711"/>
    </row>
    <row r="1501" spans="1:14" ht="24" customHeight="1">
      <c r="A1501" s="1702"/>
      <c r="B1501" s="1703" t="s">
        <v>139</v>
      </c>
      <c r="C1501" s="1743" t="s">
        <v>228</v>
      </c>
      <c r="D1501" s="1705">
        <v>4.5</v>
      </c>
      <c r="E1501" s="1706" t="s">
        <v>85</v>
      </c>
      <c r="F1501" s="1742">
        <v>2679.9</v>
      </c>
      <c r="G1501" s="1742">
        <v>519</v>
      </c>
      <c r="H1501" s="1707">
        <f t="shared" ref="H1501:H1512" si="233">F1501*D1501</f>
        <v>12059.550000000001</v>
      </c>
      <c r="I1501" s="1707">
        <f t="shared" ref="I1501:I1512" si="234">G1501*D1501</f>
        <v>2335.5</v>
      </c>
      <c r="J1501" s="1669">
        <f t="shared" ref="J1501:J1507" si="235">SUM(H1501:I1501)</f>
        <v>14395.050000000001</v>
      </c>
      <c r="K1501" s="1708"/>
      <c r="L1501" s="1721"/>
      <c r="M1501" s="1710" t="s">
        <v>1016</v>
      </c>
      <c r="N1501" s="1711" t="s">
        <v>664</v>
      </c>
    </row>
    <row r="1502" spans="1:14" ht="24" customHeight="1">
      <c r="A1502" s="1712"/>
      <c r="B1502" s="2368" t="s">
        <v>1053</v>
      </c>
      <c r="C1502" s="2370"/>
      <c r="D1502" s="1675">
        <v>20.8</v>
      </c>
      <c r="E1502" s="1676"/>
      <c r="F1502" s="1669"/>
      <c r="G1502" s="1669"/>
      <c r="H1502" s="1669"/>
      <c r="I1502" s="1669"/>
      <c r="J1502" s="1669"/>
      <c r="K1502" s="1708"/>
      <c r="L1502" s="1721"/>
      <c r="M1502" s="1711"/>
      <c r="N1502" s="1711"/>
    </row>
    <row r="1503" spans="1:14" ht="24" customHeight="1">
      <c r="A1503" s="1712"/>
      <c r="B1503" s="1673" t="s">
        <v>139</v>
      </c>
      <c r="C1503" s="1674" t="s">
        <v>165</v>
      </c>
      <c r="D1503" s="1675">
        <f>D1502</f>
        <v>20.8</v>
      </c>
      <c r="E1503" s="1676" t="s">
        <v>86</v>
      </c>
      <c r="F1503" s="1669"/>
      <c r="G1503" s="1669">
        <v>121</v>
      </c>
      <c r="H1503" s="1669">
        <f t="shared" si="233"/>
        <v>0</v>
      </c>
      <c r="I1503" s="1669">
        <f t="shared" si="234"/>
        <v>2516.8000000000002</v>
      </c>
      <c r="J1503" s="1669">
        <f t="shared" si="235"/>
        <v>2516.8000000000002</v>
      </c>
      <c r="K1503" s="1708"/>
      <c r="L1503" s="1721"/>
      <c r="M1503" s="1710" t="s">
        <v>1017</v>
      </c>
      <c r="N1503" s="1711" t="s">
        <v>664</v>
      </c>
    </row>
    <row r="1504" spans="1:14" ht="24" customHeight="1">
      <c r="A1504" s="1712"/>
      <c r="B1504" s="1673" t="s">
        <v>139</v>
      </c>
      <c r="C1504" s="1674" t="s">
        <v>198</v>
      </c>
      <c r="D1504" s="1675">
        <f>D1502*0.5</f>
        <v>10.4</v>
      </c>
      <c r="E1504" s="1676" t="s">
        <v>164</v>
      </c>
      <c r="F1504" s="1669">
        <v>400</v>
      </c>
      <c r="G1504" s="1669"/>
      <c r="H1504" s="1669">
        <f t="shared" si="233"/>
        <v>4160</v>
      </c>
      <c r="I1504" s="1669">
        <f t="shared" si="234"/>
        <v>0</v>
      </c>
      <c r="J1504" s="1669">
        <f t="shared" si="235"/>
        <v>4160</v>
      </c>
      <c r="K1504" s="1708"/>
      <c r="L1504" s="1721"/>
      <c r="M1504" s="1710" t="s">
        <v>1018</v>
      </c>
      <c r="N1504" s="1711"/>
    </row>
    <row r="1505" spans="1:14" ht="24" customHeight="1">
      <c r="A1505" s="1712"/>
      <c r="B1505" s="1673" t="s">
        <v>139</v>
      </c>
      <c r="C1505" s="1674" t="s">
        <v>166</v>
      </c>
      <c r="D1505" s="1675">
        <f>D1504*0.3</f>
        <v>3.12</v>
      </c>
      <c r="E1505" s="1676" t="s">
        <v>164</v>
      </c>
      <c r="F1505" s="1669">
        <v>400</v>
      </c>
      <c r="G1505" s="1669">
        <v>0</v>
      </c>
      <c r="H1505" s="1669">
        <f t="shared" si="233"/>
        <v>1248</v>
      </c>
      <c r="I1505" s="1669">
        <f t="shared" si="234"/>
        <v>0</v>
      </c>
      <c r="J1505" s="1669">
        <f t="shared" si="235"/>
        <v>1248</v>
      </c>
      <c r="K1505" s="1708"/>
      <c r="L1505" s="1721"/>
      <c r="M1505" s="1710" t="s">
        <v>1018</v>
      </c>
      <c r="N1505" s="1711"/>
    </row>
    <row r="1506" spans="1:14" ht="24" customHeight="1">
      <c r="A1506" s="1712"/>
      <c r="B1506" s="1673" t="s">
        <v>139</v>
      </c>
      <c r="C1506" s="1674" t="s">
        <v>163</v>
      </c>
      <c r="D1506" s="1675">
        <f>D1502</f>
        <v>20.8</v>
      </c>
      <c r="E1506" s="1676" t="s">
        <v>83</v>
      </c>
      <c r="F1506" s="1669">
        <v>28</v>
      </c>
      <c r="G1506" s="1669">
        <v>0</v>
      </c>
      <c r="H1506" s="1669">
        <f t="shared" si="233"/>
        <v>582.4</v>
      </c>
      <c r="I1506" s="1669">
        <f t="shared" si="234"/>
        <v>0</v>
      </c>
      <c r="J1506" s="1669">
        <f t="shared" si="235"/>
        <v>582.4</v>
      </c>
      <c r="K1506" s="1708"/>
      <c r="L1506" s="1721"/>
      <c r="M1506" s="1710" t="s">
        <v>1018</v>
      </c>
      <c r="N1506" s="1711"/>
    </row>
    <row r="1507" spans="1:14" ht="24" customHeight="1">
      <c r="A1507" s="1712"/>
      <c r="B1507" s="1673" t="s">
        <v>139</v>
      </c>
      <c r="C1507" s="1674" t="s">
        <v>1781</v>
      </c>
      <c r="D1507" s="1675">
        <f>D1502*0.25</f>
        <v>5.2</v>
      </c>
      <c r="E1507" s="1676" t="s">
        <v>87</v>
      </c>
      <c r="F1507" s="1736">
        <v>23.89</v>
      </c>
      <c r="G1507" s="1736">
        <v>0</v>
      </c>
      <c r="H1507" s="1669">
        <f t="shared" si="233"/>
        <v>124.22800000000001</v>
      </c>
      <c r="I1507" s="1669">
        <f t="shared" si="234"/>
        <v>0</v>
      </c>
      <c r="J1507" s="1669">
        <f t="shared" si="235"/>
        <v>124.22800000000001</v>
      </c>
      <c r="K1507" s="1708"/>
      <c r="L1507" s="1721"/>
      <c r="M1507" s="1710" t="s">
        <v>660</v>
      </c>
      <c r="N1507" s="1711"/>
    </row>
    <row r="1508" spans="1:14" s="1685" customFormat="1" ht="24" customHeight="1">
      <c r="A1508" s="1712"/>
      <c r="B1508" s="2368" t="s">
        <v>1054</v>
      </c>
      <c r="C1508" s="2370"/>
      <c r="D1508" s="1675"/>
      <c r="E1508" s="1676"/>
      <c r="F1508" s="1669"/>
      <c r="G1508" s="1669"/>
      <c r="H1508" s="1669"/>
      <c r="I1508" s="1669"/>
      <c r="J1508" s="1669"/>
      <c r="K1508" s="1708"/>
      <c r="L1508" s="1721"/>
      <c r="M1508" s="1711"/>
      <c r="N1508" s="1711"/>
    </row>
    <row r="1509" spans="1:14" s="1685" customFormat="1" ht="24" customHeight="1">
      <c r="A1509" s="1712"/>
      <c r="B1509" s="1673" t="s">
        <v>139</v>
      </c>
      <c r="C1509" s="1674" t="s">
        <v>88</v>
      </c>
      <c r="D1509" s="1675">
        <v>168</v>
      </c>
      <c r="E1509" s="1676" t="s">
        <v>87</v>
      </c>
      <c r="F1509" s="1677">
        <v>21.4</v>
      </c>
      <c r="G1509" s="1677">
        <v>4.4000000000000004</v>
      </c>
      <c r="H1509" s="1669">
        <f t="shared" si="233"/>
        <v>3595.2</v>
      </c>
      <c r="I1509" s="1669">
        <f t="shared" si="234"/>
        <v>739.2</v>
      </c>
      <c r="J1509" s="1669">
        <f>SUM(H1509:I1509)</f>
        <v>4334.3999999999996</v>
      </c>
      <c r="K1509" s="1708"/>
      <c r="L1509" s="1721"/>
      <c r="M1509" s="1710" t="s">
        <v>1016</v>
      </c>
      <c r="N1509" s="1711" t="s">
        <v>659</v>
      </c>
    </row>
    <row r="1510" spans="1:14" s="1685" customFormat="1" ht="24" customHeight="1">
      <c r="A1510" s="1712"/>
      <c r="B1510" s="1673" t="s">
        <v>139</v>
      </c>
      <c r="C1510" s="1674" t="s">
        <v>89</v>
      </c>
      <c r="D1510" s="1675">
        <v>72.900000000000006</v>
      </c>
      <c r="E1510" s="1676" t="s">
        <v>87</v>
      </c>
      <c r="F1510" s="1677">
        <v>21.4</v>
      </c>
      <c r="G1510" s="1677">
        <v>3.6</v>
      </c>
      <c r="H1510" s="1669">
        <f t="shared" si="233"/>
        <v>1560.06</v>
      </c>
      <c r="I1510" s="1669">
        <f t="shared" si="234"/>
        <v>262.44000000000005</v>
      </c>
      <c r="J1510" s="1669">
        <f>SUM(H1510:I1510)</f>
        <v>1822.5</v>
      </c>
      <c r="K1510" s="1708"/>
      <c r="L1510" s="1721"/>
      <c r="M1510" s="1710" t="s">
        <v>1016</v>
      </c>
      <c r="N1510" s="1711" t="s">
        <v>659</v>
      </c>
    </row>
    <row r="1511" spans="1:14" ht="24" customHeight="1">
      <c r="A1511" s="1712"/>
      <c r="B1511" s="1673" t="s">
        <v>139</v>
      </c>
      <c r="C1511" s="1674" t="s">
        <v>90</v>
      </c>
      <c r="D1511" s="1675">
        <v>221.2</v>
      </c>
      <c r="E1511" s="1676" t="s">
        <v>87</v>
      </c>
      <c r="F1511" s="1677">
        <v>21.2</v>
      </c>
      <c r="G1511" s="1677">
        <v>3.6</v>
      </c>
      <c r="H1511" s="1669">
        <f t="shared" si="233"/>
        <v>4689.4399999999996</v>
      </c>
      <c r="I1511" s="1669">
        <f t="shared" si="234"/>
        <v>796.31999999999994</v>
      </c>
      <c r="J1511" s="1669">
        <f>SUM(H1511:I1511)</f>
        <v>5485.7599999999993</v>
      </c>
      <c r="K1511" s="1708"/>
      <c r="L1511" s="1721"/>
      <c r="M1511" s="1710" t="s">
        <v>1016</v>
      </c>
      <c r="N1511" s="1711" t="s">
        <v>659</v>
      </c>
    </row>
    <row r="1512" spans="1:14" ht="24" customHeight="1">
      <c r="A1512" s="1712"/>
      <c r="B1512" s="1673" t="s">
        <v>139</v>
      </c>
      <c r="C1512" s="1674" t="s">
        <v>200</v>
      </c>
      <c r="D1512" s="1675">
        <f>SUM(D1509:D1511)*0.03</f>
        <v>13.863</v>
      </c>
      <c r="E1512" s="1676" t="s">
        <v>87</v>
      </c>
      <c r="F1512" s="1677">
        <v>25.83</v>
      </c>
      <c r="G1512" s="1677">
        <v>0</v>
      </c>
      <c r="H1512" s="1669">
        <f t="shared" si="233"/>
        <v>358.08128999999997</v>
      </c>
      <c r="I1512" s="1669">
        <f t="shared" si="234"/>
        <v>0</v>
      </c>
      <c r="J1512" s="1669">
        <f>SUM(H1512:I1512)</f>
        <v>358.08128999999997</v>
      </c>
      <c r="K1512" s="1708"/>
      <c r="L1512" s="1721"/>
      <c r="M1512" s="1710" t="s">
        <v>1019</v>
      </c>
      <c r="N1512" s="1711"/>
    </row>
    <row r="1513" spans="1:14" s="1685" customFormat="1" ht="24" customHeight="1">
      <c r="A1513" s="1712"/>
      <c r="B1513" s="2368" t="s">
        <v>1055</v>
      </c>
      <c r="C1513" s="2370"/>
      <c r="D1513" s="1675"/>
      <c r="E1513" s="1676"/>
      <c r="F1513" s="1669"/>
      <c r="G1513" s="1669"/>
      <c r="H1513" s="1669"/>
      <c r="I1513" s="1669"/>
      <c r="J1513" s="1669"/>
      <c r="K1513" s="1708"/>
      <c r="L1513" s="1721"/>
      <c r="M1513" s="1711"/>
      <c r="N1513" s="1711"/>
    </row>
    <row r="1514" spans="1:14" s="1685" customFormat="1" ht="24" customHeight="1">
      <c r="A1514" s="1712"/>
      <c r="B1514" s="2368" t="s">
        <v>1056</v>
      </c>
      <c r="C1514" s="2370"/>
      <c r="D1514" s="1675"/>
      <c r="E1514" s="1676"/>
      <c r="F1514" s="1669"/>
      <c r="G1514" s="1669"/>
      <c r="H1514" s="1669"/>
      <c r="I1514" s="1669"/>
      <c r="J1514" s="1669"/>
      <c r="K1514" s="1708"/>
      <c r="L1514" s="1721"/>
      <c r="M1514" s="1711"/>
      <c r="N1514" s="1711"/>
    </row>
    <row r="1515" spans="1:14" ht="24" customHeight="1">
      <c r="A1515" s="1712"/>
      <c r="B1515" s="1673" t="s">
        <v>139</v>
      </c>
      <c r="C1515" s="1674" t="s">
        <v>228</v>
      </c>
      <c r="D1515" s="1675">
        <v>4.5</v>
      </c>
      <c r="E1515" s="1676" t="s">
        <v>85</v>
      </c>
      <c r="F1515" s="1677">
        <v>2679.9</v>
      </c>
      <c r="G1515" s="1677">
        <v>519</v>
      </c>
      <c r="H1515" s="1669">
        <f t="shared" ref="H1515:H1533" si="236">F1515*D1515</f>
        <v>12059.550000000001</v>
      </c>
      <c r="I1515" s="1669">
        <f t="shared" ref="I1515:I1533" si="237">G1515*D1515</f>
        <v>2335.5</v>
      </c>
      <c r="J1515" s="1669">
        <f t="shared" ref="J1515:J1521" si="238">SUM(H1515:I1515)</f>
        <v>14395.050000000001</v>
      </c>
      <c r="K1515" s="1708"/>
      <c r="L1515" s="1721"/>
      <c r="M1515" s="1710" t="s">
        <v>1016</v>
      </c>
      <c r="N1515" s="1711" t="s">
        <v>664</v>
      </c>
    </row>
    <row r="1516" spans="1:14" ht="24" customHeight="1">
      <c r="A1516" s="1712"/>
      <c r="B1516" s="1748" t="s">
        <v>1057</v>
      </c>
      <c r="C1516" s="1674"/>
      <c r="D1516" s="1675">
        <v>22.9</v>
      </c>
      <c r="E1516" s="1676"/>
      <c r="F1516" s="1677"/>
      <c r="G1516" s="1677"/>
      <c r="H1516" s="1669"/>
      <c r="I1516" s="1669"/>
      <c r="J1516" s="1669"/>
      <c r="K1516" s="1708"/>
      <c r="L1516" s="1721"/>
      <c r="M1516" s="1710"/>
      <c r="N1516" s="1711"/>
    </row>
    <row r="1517" spans="1:14" ht="24" customHeight="1">
      <c r="A1517" s="1712"/>
      <c r="B1517" s="1673" t="s">
        <v>139</v>
      </c>
      <c r="C1517" s="1674" t="s">
        <v>165</v>
      </c>
      <c r="D1517" s="1675">
        <f>D1516</f>
        <v>22.9</v>
      </c>
      <c r="E1517" s="1676" t="s">
        <v>86</v>
      </c>
      <c r="F1517" s="1669"/>
      <c r="G1517" s="1669">
        <v>121</v>
      </c>
      <c r="H1517" s="1669">
        <f t="shared" si="236"/>
        <v>0</v>
      </c>
      <c r="I1517" s="1669">
        <f t="shared" si="237"/>
        <v>2770.8999999999996</v>
      </c>
      <c r="J1517" s="1669">
        <f t="shared" si="238"/>
        <v>2770.8999999999996</v>
      </c>
      <c r="K1517" s="1708"/>
      <c r="L1517" s="1721"/>
      <c r="M1517" s="1710" t="s">
        <v>1017</v>
      </c>
      <c r="N1517" s="1711" t="s">
        <v>664</v>
      </c>
    </row>
    <row r="1518" spans="1:14" ht="24" customHeight="1">
      <c r="A1518" s="1712"/>
      <c r="B1518" s="1673" t="s">
        <v>139</v>
      </c>
      <c r="C1518" s="1674" t="s">
        <v>198</v>
      </c>
      <c r="D1518" s="1675">
        <f>D1516*0.5</f>
        <v>11.45</v>
      </c>
      <c r="E1518" s="1676" t="s">
        <v>164</v>
      </c>
      <c r="F1518" s="1669">
        <v>400</v>
      </c>
      <c r="G1518" s="1669"/>
      <c r="H1518" s="1669">
        <f t="shared" si="236"/>
        <v>4580</v>
      </c>
      <c r="I1518" s="1669">
        <f t="shared" si="237"/>
        <v>0</v>
      </c>
      <c r="J1518" s="1669">
        <f t="shared" si="238"/>
        <v>4580</v>
      </c>
      <c r="K1518" s="1708"/>
      <c r="L1518" s="1721"/>
      <c r="M1518" s="1710" t="s">
        <v>1018</v>
      </c>
      <c r="N1518" s="1711"/>
    </row>
    <row r="1519" spans="1:14" ht="24" customHeight="1">
      <c r="A1519" s="1712"/>
      <c r="B1519" s="1673" t="s">
        <v>139</v>
      </c>
      <c r="C1519" s="1674" t="s">
        <v>166</v>
      </c>
      <c r="D1519" s="1675">
        <f>D1518*0.3</f>
        <v>3.4349999999999996</v>
      </c>
      <c r="E1519" s="1676" t="s">
        <v>164</v>
      </c>
      <c r="F1519" s="1669">
        <v>400</v>
      </c>
      <c r="G1519" s="1669">
        <v>0</v>
      </c>
      <c r="H1519" s="1669">
        <f t="shared" si="236"/>
        <v>1373.9999999999998</v>
      </c>
      <c r="I1519" s="1669">
        <f t="shared" si="237"/>
        <v>0</v>
      </c>
      <c r="J1519" s="1669">
        <f t="shared" si="238"/>
        <v>1373.9999999999998</v>
      </c>
      <c r="K1519" s="1708"/>
      <c r="L1519" s="1721"/>
      <c r="M1519" s="1710" t="s">
        <v>1018</v>
      </c>
      <c r="N1519" s="1711"/>
    </row>
    <row r="1520" spans="1:14" ht="24" customHeight="1">
      <c r="A1520" s="1712"/>
      <c r="B1520" s="1673" t="s">
        <v>139</v>
      </c>
      <c r="C1520" s="1674" t="s">
        <v>163</v>
      </c>
      <c r="D1520" s="1675">
        <f>D1516</f>
        <v>22.9</v>
      </c>
      <c r="E1520" s="1676" t="s">
        <v>83</v>
      </c>
      <c r="F1520" s="1669">
        <v>28</v>
      </c>
      <c r="G1520" s="1669">
        <v>0</v>
      </c>
      <c r="H1520" s="1669">
        <f t="shared" si="236"/>
        <v>641.19999999999993</v>
      </c>
      <c r="I1520" s="1669">
        <f t="shared" si="237"/>
        <v>0</v>
      </c>
      <c r="J1520" s="1669">
        <f t="shared" si="238"/>
        <v>641.19999999999993</v>
      </c>
      <c r="K1520" s="1708"/>
      <c r="L1520" s="1721"/>
      <c r="M1520" s="1710" t="s">
        <v>1018</v>
      </c>
      <c r="N1520" s="1711"/>
    </row>
    <row r="1521" spans="1:14" ht="24" customHeight="1">
      <c r="A1521" s="1712"/>
      <c r="B1521" s="1673" t="s">
        <v>139</v>
      </c>
      <c r="C1521" s="1674" t="s">
        <v>1781</v>
      </c>
      <c r="D1521" s="1675">
        <f>D1516*0.25</f>
        <v>5.7249999999999996</v>
      </c>
      <c r="E1521" s="1676" t="s">
        <v>87</v>
      </c>
      <c r="F1521" s="1736">
        <v>23.89</v>
      </c>
      <c r="G1521" s="1736">
        <v>0</v>
      </c>
      <c r="H1521" s="1669">
        <f t="shared" si="236"/>
        <v>136.77025</v>
      </c>
      <c r="I1521" s="1669">
        <f t="shared" si="237"/>
        <v>0</v>
      </c>
      <c r="J1521" s="1788">
        <f t="shared" si="238"/>
        <v>136.77025</v>
      </c>
      <c r="K1521" s="1789"/>
      <c r="L1521" s="1721"/>
      <c r="M1521" s="1710" t="s">
        <v>660</v>
      </c>
      <c r="N1521" s="1711"/>
    </row>
    <row r="1522" spans="1:14" ht="24" customHeight="1">
      <c r="A1522" s="1780"/>
      <c r="B1522" s="1780"/>
      <c r="C1522" s="1827" t="s">
        <v>133</v>
      </c>
      <c r="D1522" s="2365"/>
      <c r="E1522" s="2365"/>
      <c r="F1522" s="2365"/>
      <c r="G1522" s="2365"/>
      <c r="H1522" s="2365"/>
      <c r="I1522" s="2365"/>
      <c r="J1522" s="2365"/>
      <c r="K1522" s="2365"/>
      <c r="L1522" s="1721"/>
      <c r="M1522" s="1710"/>
      <c r="N1522" s="1711"/>
    </row>
    <row r="1523" spans="1:14" ht="24" customHeight="1">
      <c r="A1523" s="1780"/>
      <c r="B1523" s="2366" t="s">
        <v>1769</v>
      </c>
      <c r="C1523" s="2366"/>
      <c r="D1523" s="1828"/>
      <c r="E1523" s="1769"/>
      <c r="F1523" s="1828"/>
      <c r="G1523" s="1828" t="s">
        <v>134</v>
      </c>
      <c r="H1523" s="1828"/>
      <c r="I1523" s="1828"/>
      <c r="J1523" s="1828"/>
      <c r="K1523" s="1828"/>
      <c r="L1523" s="1721"/>
      <c r="M1523" s="1710"/>
      <c r="N1523" s="1711"/>
    </row>
    <row r="1524" spans="1:14" ht="24" customHeight="1">
      <c r="A1524" s="1780"/>
      <c r="B1524" s="2367" t="s">
        <v>1970</v>
      </c>
      <c r="C1524" s="2367"/>
      <c r="D1524" s="1831"/>
      <c r="E1524" s="1832"/>
      <c r="F1524" s="1833"/>
      <c r="G1524" s="1833" t="s">
        <v>1971</v>
      </c>
      <c r="H1524" s="1833"/>
      <c r="I1524" s="1833"/>
      <c r="J1524" s="1833"/>
      <c r="K1524" s="1833"/>
      <c r="L1524" s="1721"/>
      <c r="M1524" s="1710"/>
      <c r="N1524" s="1711"/>
    </row>
    <row r="1525" spans="1:14" ht="24" customHeight="1">
      <c r="A1525" s="1830"/>
      <c r="B1525" s="1828" t="s">
        <v>2031</v>
      </c>
      <c r="C1525" s="1830"/>
      <c r="D1525" s="1830"/>
      <c r="E1525" s="1830"/>
      <c r="F1525" s="1830"/>
      <c r="G1525" s="1828" t="s">
        <v>2031</v>
      </c>
      <c r="H1525" s="1830"/>
      <c r="I1525" s="1830"/>
      <c r="J1525" s="1830"/>
      <c r="K1525" s="1830"/>
      <c r="L1525" s="1721"/>
      <c r="M1525" s="1710"/>
      <c r="N1525" s="1711"/>
    </row>
    <row r="1526" spans="1:14" ht="24" customHeight="1">
      <c r="B1526" s="1721" t="s">
        <v>1984</v>
      </c>
      <c r="C1526" s="1830"/>
      <c r="D1526" s="1685"/>
      <c r="E1526" s="1685"/>
      <c r="G1526" s="1721" t="s">
        <v>1985</v>
      </c>
      <c r="H1526" s="1685"/>
      <c r="I1526" s="1685"/>
      <c r="J1526" s="1685"/>
      <c r="K1526" s="1685"/>
      <c r="L1526" s="1721"/>
      <c r="M1526" s="1710"/>
      <c r="N1526" s="1711"/>
    </row>
    <row r="1527" spans="1:14" ht="24" customHeight="1">
      <c r="B1527" s="1828" t="s">
        <v>670</v>
      </c>
      <c r="L1527" s="1721"/>
      <c r="M1527" s="1710"/>
      <c r="N1527" s="1711"/>
    </row>
    <row r="1528" spans="1:14" ht="24" customHeight="1">
      <c r="B1528" s="1721" t="s">
        <v>1972</v>
      </c>
      <c r="L1528" s="1721"/>
      <c r="M1528" s="1710"/>
      <c r="N1528" s="1711"/>
    </row>
    <row r="1529" spans="1:14" ht="24" customHeight="1">
      <c r="A1529" s="1712"/>
      <c r="B1529" s="2368" t="s">
        <v>1058</v>
      </c>
      <c r="C1529" s="2370"/>
      <c r="D1529" s="1675"/>
      <c r="E1529" s="1676"/>
      <c r="F1529" s="1669"/>
      <c r="G1529" s="1669"/>
      <c r="H1529" s="1669"/>
      <c r="I1529" s="1669"/>
      <c r="J1529" s="1707"/>
      <c r="K1529" s="1709"/>
      <c r="L1529" s="1721"/>
      <c r="M1529" s="1711"/>
      <c r="N1529" s="1711"/>
    </row>
    <row r="1530" spans="1:14" ht="24" customHeight="1">
      <c r="A1530" s="1712"/>
      <c r="B1530" s="1673" t="s">
        <v>139</v>
      </c>
      <c r="C1530" s="1674" t="s">
        <v>88</v>
      </c>
      <c r="D1530" s="1675">
        <v>182.4</v>
      </c>
      <c r="E1530" s="1676" t="s">
        <v>87</v>
      </c>
      <c r="F1530" s="1677">
        <v>21.4</v>
      </c>
      <c r="G1530" s="1677">
        <v>4.4000000000000004</v>
      </c>
      <c r="H1530" s="1669">
        <f t="shared" si="236"/>
        <v>3903.3599999999997</v>
      </c>
      <c r="I1530" s="1669">
        <f t="shared" si="237"/>
        <v>802.56000000000006</v>
      </c>
      <c r="J1530" s="1669">
        <f>SUM(H1530:I1530)</f>
        <v>4705.92</v>
      </c>
      <c r="K1530" s="1708"/>
      <c r="L1530" s="1721"/>
      <c r="M1530" s="1710" t="s">
        <v>1016</v>
      </c>
      <c r="N1530" s="1711" t="s">
        <v>659</v>
      </c>
    </row>
    <row r="1531" spans="1:14" ht="24" customHeight="1">
      <c r="A1531" s="1712"/>
      <c r="B1531" s="1673" t="s">
        <v>139</v>
      </c>
      <c r="C1531" s="1674" t="s">
        <v>89</v>
      </c>
      <c r="D1531" s="1675">
        <v>94.8</v>
      </c>
      <c r="E1531" s="1676" t="s">
        <v>87</v>
      </c>
      <c r="F1531" s="1677">
        <v>21.4</v>
      </c>
      <c r="G1531" s="1677">
        <v>3.6</v>
      </c>
      <c r="H1531" s="1669">
        <f t="shared" si="236"/>
        <v>2028.7199999999998</v>
      </c>
      <c r="I1531" s="1669">
        <f t="shared" si="237"/>
        <v>341.28</v>
      </c>
      <c r="J1531" s="1669">
        <f>SUM(H1531:I1531)</f>
        <v>2370</v>
      </c>
      <c r="K1531" s="1708"/>
      <c r="L1531" s="1721"/>
      <c r="M1531" s="1710" t="s">
        <v>1016</v>
      </c>
      <c r="N1531" s="1711" t="s">
        <v>659</v>
      </c>
    </row>
    <row r="1532" spans="1:14" ht="24" customHeight="1">
      <c r="A1532" s="1712"/>
      <c r="B1532" s="1673" t="s">
        <v>139</v>
      </c>
      <c r="C1532" s="1674" t="s">
        <v>90</v>
      </c>
      <c r="D1532" s="1675">
        <v>245.7</v>
      </c>
      <c r="E1532" s="1676" t="s">
        <v>87</v>
      </c>
      <c r="F1532" s="1677">
        <v>21.2</v>
      </c>
      <c r="G1532" s="1677">
        <v>3.6</v>
      </c>
      <c r="H1532" s="1669">
        <f t="shared" si="236"/>
        <v>5208.8399999999992</v>
      </c>
      <c r="I1532" s="1669">
        <f t="shared" si="237"/>
        <v>884.52</v>
      </c>
      <c r="J1532" s="1669">
        <f>SUM(H1532:I1532)</f>
        <v>6093.3599999999988</v>
      </c>
      <c r="K1532" s="1708"/>
      <c r="L1532" s="1721"/>
      <c r="M1532" s="1710" t="s">
        <v>1016</v>
      </c>
      <c r="N1532" s="1711" t="s">
        <v>659</v>
      </c>
    </row>
    <row r="1533" spans="1:14" ht="24" customHeight="1">
      <c r="A1533" s="1712"/>
      <c r="B1533" s="1673" t="s">
        <v>139</v>
      </c>
      <c r="C1533" s="1674" t="s">
        <v>200</v>
      </c>
      <c r="D1533" s="1675">
        <f>SUM(D1530:D1532)*0.03</f>
        <v>15.686999999999999</v>
      </c>
      <c r="E1533" s="1676" t="s">
        <v>87</v>
      </c>
      <c r="F1533" s="1677">
        <v>25.83</v>
      </c>
      <c r="G1533" s="1677">
        <v>0</v>
      </c>
      <c r="H1533" s="1669">
        <f t="shared" si="236"/>
        <v>405.19520999999997</v>
      </c>
      <c r="I1533" s="1669">
        <f t="shared" si="237"/>
        <v>0</v>
      </c>
      <c r="J1533" s="1669">
        <f>SUM(H1533:I1533)</f>
        <v>405.19520999999997</v>
      </c>
      <c r="K1533" s="1708"/>
      <c r="L1533" s="1721"/>
      <c r="M1533" s="1710" t="s">
        <v>1019</v>
      </c>
      <c r="N1533" s="1711"/>
    </row>
    <row r="1534" spans="1:14" ht="24" customHeight="1">
      <c r="A1534" s="1712"/>
      <c r="B1534" s="2368" t="s">
        <v>1030</v>
      </c>
      <c r="C1534" s="2370"/>
      <c r="D1534" s="1675"/>
      <c r="E1534" s="1676"/>
      <c r="F1534" s="1669"/>
      <c r="G1534" s="1669"/>
      <c r="H1534" s="1669"/>
      <c r="I1534" s="1669"/>
      <c r="J1534" s="1669"/>
      <c r="K1534" s="1708"/>
      <c r="L1534" s="1721"/>
      <c r="M1534" s="1711"/>
      <c r="N1534" s="1711"/>
    </row>
    <row r="1535" spans="1:14" ht="24" customHeight="1">
      <c r="A1535" s="1712"/>
      <c r="B1535" s="2368" t="s">
        <v>1031</v>
      </c>
      <c r="C1535" s="2370"/>
      <c r="D1535" s="1675"/>
      <c r="E1535" s="1676"/>
      <c r="F1535" s="1669"/>
      <c r="G1535" s="1669"/>
      <c r="H1535" s="1669"/>
      <c r="I1535" s="1669"/>
      <c r="J1535" s="1669"/>
      <c r="K1535" s="1708"/>
      <c r="L1535" s="1721"/>
      <c r="M1535" s="1711"/>
      <c r="N1535" s="1711"/>
    </row>
    <row r="1536" spans="1:14" ht="24" customHeight="1">
      <c r="A1536" s="1712"/>
      <c r="B1536" s="1673" t="s">
        <v>139</v>
      </c>
      <c r="C1536" s="1674" t="s">
        <v>228</v>
      </c>
      <c r="D1536" s="1675">
        <v>15.9</v>
      </c>
      <c r="E1536" s="1676" t="s">
        <v>85</v>
      </c>
      <c r="F1536" s="1736">
        <v>2679.9</v>
      </c>
      <c r="G1536" s="1736">
        <v>519</v>
      </c>
      <c r="H1536" s="1669">
        <f t="shared" ref="H1536:H1551" si="239">F1536*D1536</f>
        <v>42610.41</v>
      </c>
      <c r="I1536" s="1669">
        <f t="shared" ref="I1536:I1551" si="240">G1536*D1536</f>
        <v>8252.1</v>
      </c>
      <c r="J1536" s="1669">
        <f t="shared" ref="J1536:J1542" si="241">SUM(H1536:I1536)</f>
        <v>50862.51</v>
      </c>
      <c r="K1536" s="1708"/>
      <c r="L1536" s="1721"/>
      <c r="M1536" s="1710" t="s">
        <v>1016</v>
      </c>
      <c r="N1536" s="1711" t="s">
        <v>659</v>
      </c>
    </row>
    <row r="1537" spans="1:14" ht="24" customHeight="1">
      <c r="A1537" s="1712"/>
      <c r="B1537" s="2368" t="s">
        <v>1033</v>
      </c>
      <c r="C1537" s="2370"/>
      <c r="D1537" s="1675">
        <v>65.400000000000006</v>
      </c>
      <c r="E1537" s="1676"/>
      <c r="F1537" s="1669"/>
      <c r="G1537" s="1669"/>
      <c r="H1537" s="1669"/>
      <c r="I1537" s="1669"/>
      <c r="J1537" s="1669"/>
      <c r="K1537" s="1708"/>
      <c r="L1537" s="1721"/>
      <c r="M1537" s="1711"/>
      <c r="N1537" s="1711"/>
    </row>
    <row r="1538" spans="1:14" ht="24" customHeight="1">
      <c r="A1538" s="1712"/>
      <c r="B1538" s="1673" t="s">
        <v>139</v>
      </c>
      <c r="C1538" s="1674" t="s">
        <v>165</v>
      </c>
      <c r="D1538" s="1675">
        <f>D1537</f>
        <v>65.400000000000006</v>
      </c>
      <c r="E1538" s="1676" t="s">
        <v>86</v>
      </c>
      <c r="F1538" s="1736">
        <v>0</v>
      </c>
      <c r="G1538" s="1669">
        <v>121</v>
      </c>
      <c r="H1538" s="1669">
        <f t="shared" si="239"/>
        <v>0</v>
      </c>
      <c r="I1538" s="1669">
        <f t="shared" si="240"/>
        <v>7913.4000000000005</v>
      </c>
      <c r="J1538" s="1669">
        <f t="shared" si="241"/>
        <v>7913.4000000000005</v>
      </c>
      <c r="K1538" s="1708"/>
      <c r="L1538" s="1721"/>
      <c r="M1538" s="1710" t="s">
        <v>1017</v>
      </c>
      <c r="N1538" s="1711" t="s">
        <v>659</v>
      </c>
    </row>
    <row r="1539" spans="1:14" ht="24" customHeight="1">
      <c r="A1539" s="1712"/>
      <c r="B1539" s="1673" t="s">
        <v>139</v>
      </c>
      <c r="C1539" s="1674" t="s">
        <v>198</v>
      </c>
      <c r="D1539" s="1675">
        <f>D1537*0.5</f>
        <v>32.700000000000003</v>
      </c>
      <c r="E1539" s="1676" t="s">
        <v>164</v>
      </c>
      <c r="F1539" s="1736">
        <v>400</v>
      </c>
      <c r="G1539" s="1736">
        <v>0</v>
      </c>
      <c r="H1539" s="1669">
        <f t="shared" si="239"/>
        <v>13080.000000000002</v>
      </c>
      <c r="I1539" s="1669">
        <f t="shared" si="240"/>
        <v>0</v>
      </c>
      <c r="J1539" s="1669">
        <f t="shared" si="241"/>
        <v>13080.000000000002</v>
      </c>
      <c r="K1539" s="1708"/>
      <c r="L1539" s="1721"/>
      <c r="M1539" s="1710" t="s">
        <v>1018</v>
      </c>
      <c r="N1539" s="1711"/>
    </row>
    <row r="1540" spans="1:14" ht="24" customHeight="1">
      <c r="A1540" s="1712"/>
      <c r="B1540" s="1673" t="s">
        <v>139</v>
      </c>
      <c r="C1540" s="1674" t="s">
        <v>166</v>
      </c>
      <c r="D1540" s="1675">
        <f>D1539*0.3</f>
        <v>9.81</v>
      </c>
      <c r="E1540" s="1676" t="s">
        <v>164</v>
      </c>
      <c r="F1540" s="1736">
        <v>400</v>
      </c>
      <c r="G1540" s="1736">
        <v>0</v>
      </c>
      <c r="H1540" s="1669">
        <f t="shared" si="239"/>
        <v>3924</v>
      </c>
      <c r="I1540" s="1669">
        <f t="shared" si="240"/>
        <v>0</v>
      </c>
      <c r="J1540" s="1669">
        <f t="shared" si="241"/>
        <v>3924</v>
      </c>
      <c r="K1540" s="1708"/>
      <c r="L1540" s="1721"/>
      <c r="M1540" s="1710" t="s">
        <v>1018</v>
      </c>
      <c r="N1540" s="1685"/>
    </row>
    <row r="1541" spans="1:14" ht="24" customHeight="1">
      <c r="A1541" s="1712"/>
      <c r="B1541" s="1673" t="s">
        <v>139</v>
      </c>
      <c r="C1541" s="1674" t="s">
        <v>163</v>
      </c>
      <c r="D1541" s="1675">
        <f>D1537</f>
        <v>65.400000000000006</v>
      </c>
      <c r="E1541" s="1676" t="s">
        <v>83</v>
      </c>
      <c r="F1541" s="1736">
        <v>28</v>
      </c>
      <c r="G1541" s="1736">
        <v>0</v>
      </c>
      <c r="H1541" s="1669">
        <f t="shared" si="239"/>
        <v>1831.2000000000003</v>
      </c>
      <c r="I1541" s="1669">
        <f t="shared" si="240"/>
        <v>0</v>
      </c>
      <c r="J1541" s="1669">
        <f t="shared" si="241"/>
        <v>1831.2000000000003</v>
      </c>
      <c r="K1541" s="1708"/>
      <c r="L1541" s="1721"/>
      <c r="M1541" s="1710" t="s">
        <v>1018</v>
      </c>
      <c r="N1541" s="1685"/>
    </row>
    <row r="1542" spans="1:14" ht="24" customHeight="1">
      <c r="A1542" s="1712"/>
      <c r="B1542" s="1673" t="s">
        <v>139</v>
      </c>
      <c r="C1542" s="1674" t="s">
        <v>1781</v>
      </c>
      <c r="D1542" s="1675">
        <f>D1537*0.25</f>
        <v>16.350000000000001</v>
      </c>
      <c r="E1542" s="1676" t="s">
        <v>87</v>
      </c>
      <c r="F1542" s="1736">
        <v>23.89</v>
      </c>
      <c r="G1542" s="1736">
        <v>0</v>
      </c>
      <c r="H1542" s="1669">
        <f t="shared" si="239"/>
        <v>390.60150000000004</v>
      </c>
      <c r="I1542" s="1669">
        <f t="shared" si="240"/>
        <v>0</v>
      </c>
      <c r="J1542" s="1669">
        <f t="shared" si="241"/>
        <v>390.60150000000004</v>
      </c>
      <c r="K1542" s="1708"/>
      <c r="L1542" s="1721"/>
      <c r="M1542" s="1710" t="s">
        <v>660</v>
      </c>
      <c r="N1542" s="1685"/>
    </row>
    <row r="1543" spans="1:14" ht="24" customHeight="1">
      <c r="A1543" s="1712"/>
      <c r="B1543" s="2368" t="s">
        <v>1032</v>
      </c>
      <c r="C1543" s="2370"/>
      <c r="D1543" s="1675"/>
      <c r="E1543" s="1676"/>
      <c r="F1543" s="1669"/>
      <c r="G1543" s="1669"/>
      <c r="H1543" s="1669"/>
      <c r="I1543" s="1669"/>
      <c r="J1543" s="1669"/>
      <c r="K1543" s="1708"/>
      <c r="L1543" s="1721"/>
      <c r="M1543" s="1711"/>
      <c r="N1543" s="1711"/>
    </row>
    <row r="1544" spans="1:14" ht="24" customHeight="1">
      <c r="A1544" s="1712"/>
      <c r="B1544" s="1673" t="s">
        <v>139</v>
      </c>
      <c r="C1544" s="1674" t="s">
        <v>88</v>
      </c>
      <c r="D1544" s="1675">
        <v>326.3</v>
      </c>
      <c r="E1544" s="1676" t="s">
        <v>87</v>
      </c>
      <c r="F1544" s="1677">
        <v>21.4</v>
      </c>
      <c r="G1544" s="1677">
        <v>4.4000000000000004</v>
      </c>
      <c r="H1544" s="1669">
        <f t="shared" si="239"/>
        <v>6982.82</v>
      </c>
      <c r="I1544" s="1669">
        <f t="shared" si="240"/>
        <v>1435.7200000000003</v>
      </c>
      <c r="J1544" s="1669">
        <f t="shared" ref="J1544:J1551" si="242">SUM(H1544:I1544)</f>
        <v>8418.5400000000009</v>
      </c>
      <c r="K1544" s="1708"/>
      <c r="L1544" s="1721"/>
      <c r="M1544" s="1710" t="s">
        <v>1016</v>
      </c>
      <c r="N1544" s="1711" t="s">
        <v>659</v>
      </c>
    </row>
    <row r="1545" spans="1:14" ht="24" customHeight="1">
      <c r="A1545" s="1712"/>
      <c r="B1545" s="1673" t="s">
        <v>139</v>
      </c>
      <c r="C1545" s="1674" t="s">
        <v>89</v>
      </c>
      <c r="D1545" s="1675">
        <v>833.5</v>
      </c>
      <c r="E1545" s="1676" t="s">
        <v>87</v>
      </c>
      <c r="F1545" s="1677">
        <v>21.4</v>
      </c>
      <c r="G1545" s="1677">
        <v>3.6</v>
      </c>
      <c r="H1545" s="1669">
        <f t="shared" si="239"/>
        <v>17836.899999999998</v>
      </c>
      <c r="I1545" s="1669">
        <f t="shared" si="240"/>
        <v>3000.6</v>
      </c>
      <c r="J1545" s="1669">
        <f t="shared" si="242"/>
        <v>20837.499999999996</v>
      </c>
      <c r="K1545" s="1708"/>
      <c r="L1545" s="1721"/>
      <c r="M1545" s="1710" t="s">
        <v>1016</v>
      </c>
      <c r="N1545" s="1711" t="s">
        <v>659</v>
      </c>
    </row>
    <row r="1546" spans="1:14" ht="24" customHeight="1">
      <c r="A1546" s="1712"/>
      <c r="B1546" s="1673" t="s">
        <v>139</v>
      </c>
      <c r="C1546" s="1674" t="s">
        <v>91</v>
      </c>
      <c r="D1546" s="1675">
        <v>757.6</v>
      </c>
      <c r="E1546" s="1676" t="s">
        <v>87</v>
      </c>
      <c r="F1546" s="1677">
        <v>21.2</v>
      </c>
      <c r="G1546" s="1677">
        <v>3.1</v>
      </c>
      <c r="H1546" s="1669">
        <f t="shared" si="239"/>
        <v>16061.12</v>
      </c>
      <c r="I1546" s="1669">
        <f t="shared" si="240"/>
        <v>2348.56</v>
      </c>
      <c r="J1546" s="1669">
        <f t="shared" si="242"/>
        <v>18409.68</v>
      </c>
      <c r="K1546" s="1708"/>
      <c r="L1546" s="1721"/>
      <c r="M1546" s="1710" t="s">
        <v>1016</v>
      </c>
      <c r="N1546" s="1711" t="s">
        <v>659</v>
      </c>
    </row>
    <row r="1547" spans="1:14" ht="24" customHeight="1">
      <c r="A1547" s="1712"/>
      <c r="B1547" s="1673" t="s">
        <v>139</v>
      </c>
      <c r="C1547" s="1674" t="s">
        <v>200</v>
      </c>
      <c r="D1547" s="1675">
        <f>SUM(D1544:D1546)*0.03</f>
        <v>57.521999999999998</v>
      </c>
      <c r="E1547" s="1676" t="s">
        <v>87</v>
      </c>
      <c r="F1547" s="1677">
        <v>25.83</v>
      </c>
      <c r="G1547" s="1677">
        <v>0</v>
      </c>
      <c r="H1547" s="1669">
        <f t="shared" si="239"/>
        <v>1485.7932599999999</v>
      </c>
      <c r="I1547" s="1669">
        <f t="shared" si="240"/>
        <v>0</v>
      </c>
      <c r="J1547" s="1669">
        <f t="shared" si="242"/>
        <v>1485.7932599999999</v>
      </c>
      <c r="K1547" s="1708"/>
      <c r="L1547" s="1721"/>
      <c r="M1547" s="1710" t="s">
        <v>1019</v>
      </c>
      <c r="N1547" s="1711"/>
    </row>
    <row r="1548" spans="1:14" ht="24" customHeight="1">
      <c r="A1548" s="1672"/>
      <c r="B1548" s="1673" t="s">
        <v>139</v>
      </c>
      <c r="C1548" s="1713" t="s">
        <v>1104</v>
      </c>
      <c r="D1548" s="1675">
        <v>4140</v>
      </c>
      <c r="E1548" s="1676" t="s">
        <v>87</v>
      </c>
      <c r="F1548" s="1669">
        <v>38.799999999999997</v>
      </c>
      <c r="G1548" s="1669">
        <v>12</v>
      </c>
      <c r="H1548" s="1669">
        <f t="shared" si="239"/>
        <v>160632</v>
      </c>
      <c r="I1548" s="1678">
        <f t="shared" si="240"/>
        <v>49680</v>
      </c>
      <c r="J1548" s="1669">
        <f t="shared" si="242"/>
        <v>210312</v>
      </c>
      <c r="K1548" s="1708"/>
      <c r="L1548" s="1721"/>
      <c r="M1548" s="1710" t="s">
        <v>1020</v>
      </c>
      <c r="N1548" s="1711" t="s">
        <v>664</v>
      </c>
    </row>
    <row r="1549" spans="1:14" ht="24" customHeight="1">
      <c r="A1549" s="1712"/>
      <c r="B1549" s="1703" t="s">
        <v>139</v>
      </c>
      <c r="C1549" s="1704" t="s">
        <v>1105</v>
      </c>
      <c r="D1549" s="1705">
        <v>410.4</v>
      </c>
      <c r="E1549" s="1706" t="s">
        <v>87</v>
      </c>
      <c r="F1549" s="1742">
        <v>36.4</v>
      </c>
      <c r="G1549" s="1707">
        <v>12</v>
      </c>
      <c r="H1549" s="1707">
        <f t="shared" si="239"/>
        <v>14938.56</v>
      </c>
      <c r="I1549" s="1669">
        <f t="shared" si="240"/>
        <v>4924.7999999999993</v>
      </c>
      <c r="J1549" s="1669">
        <f t="shared" si="242"/>
        <v>19863.36</v>
      </c>
      <c r="K1549" s="1708"/>
      <c r="L1549" s="1721"/>
      <c r="M1549" s="1710" t="s">
        <v>1020</v>
      </c>
      <c r="N1549" s="1711" t="s">
        <v>664</v>
      </c>
    </row>
    <row r="1550" spans="1:14" ht="24" customHeight="1">
      <c r="A1550" s="1712"/>
      <c r="B1550" s="1673" t="s">
        <v>139</v>
      </c>
      <c r="C1550" s="1713" t="s">
        <v>1207</v>
      </c>
      <c r="D1550" s="1675">
        <v>155.69999999999999</v>
      </c>
      <c r="E1550" s="1676" t="s">
        <v>87</v>
      </c>
      <c r="F1550" s="1669">
        <v>30.1</v>
      </c>
      <c r="G1550" s="1669">
        <v>12</v>
      </c>
      <c r="H1550" s="1669">
        <f t="shared" si="239"/>
        <v>4686.57</v>
      </c>
      <c r="I1550" s="1669">
        <f t="shared" si="240"/>
        <v>1868.3999999999999</v>
      </c>
      <c r="J1550" s="1669">
        <f t="shared" si="242"/>
        <v>6554.9699999999993</v>
      </c>
      <c r="K1550" s="1708"/>
      <c r="L1550" s="1721"/>
      <c r="M1550" s="1710" t="s">
        <v>1020</v>
      </c>
      <c r="N1550" s="1711" t="s">
        <v>664</v>
      </c>
    </row>
    <row r="1551" spans="1:14" ht="24" customHeight="1">
      <c r="A1551" s="1712"/>
      <c r="B1551" s="1673" t="s">
        <v>139</v>
      </c>
      <c r="C1551" s="1674" t="s">
        <v>90</v>
      </c>
      <c r="D1551" s="1675">
        <v>22.8</v>
      </c>
      <c r="E1551" s="1676" t="s">
        <v>87</v>
      </c>
      <c r="F1551" s="1677">
        <v>21.2</v>
      </c>
      <c r="G1551" s="1677">
        <v>3.6</v>
      </c>
      <c r="H1551" s="1669">
        <f t="shared" si="239"/>
        <v>483.36</v>
      </c>
      <c r="I1551" s="1669">
        <f t="shared" si="240"/>
        <v>82.08</v>
      </c>
      <c r="J1551" s="1669">
        <f t="shared" si="242"/>
        <v>565.44000000000005</v>
      </c>
      <c r="K1551" s="1708"/>
      <c r="L1551" s="1721"/>
      <c r="M1551" s="1710" t="s">
        <v>1016</v>
      </c>
      <c r="N1551" s="1711" t="s">
        <v>659</v>
      </c>
    </row>
    <row r="1552" spans="1:14" ht="24" customHeight="1">
      <c r="A1552" s="1780"/>
      <c r="B1552" s="1780"/>
      <c r="C1552" s="1827" t="s">
        <v>133</v>
      </c>
      <c r="D1552" s="2365"/>
      <c r="E1552" s="2365"/>
      <c r="F1552" s="2365"/>
      <c r="G1552" s="2365"/>
      <c r="H1552" s="2365"/>
      <c r="I1552" s="2365"/>
      <c r="J1552" s="2365"/>
      <c r="K1552" s="2365"/>
      <c r="L1552" s="1721"/>
      <c r="M1552" s="1710"/>
      <c r="N1552" s="1711"/>
    </row>
    <row r="1553" spans="1:14" ht="24" customHeight="1">
      <c r="A1553" s="1780"/>
      <c r="B1553" s="2366" t="s">
        <v>1769</v>
      </c>
      <c r="C1553" s="2366"/>
      <c r="D1553" s="1828"/>
      <c r="E1553" s="1769"/>
      <c r="F1553" s="1828"/>
      <c r="G1553" s="1828" t="s">
        <v>134</v>
      </c>
      <c r="H1553" s="1828"/>
      <c r="I1553" s="1828"/>
      <c r="J1553" s="1828"/>
      <c r="K1553" s="1828"/>
      <c r="L1553" s="1721"/>
      <c r="M1553" s="1710"/>
      <c r="N1553" s="1711"/>
    </row>
    <row r="1554" spans="1:14" ht="24" customHeight="1">
      <c r="A1554" s="1780"/>
      <c r="B1554" s="2367" t="s">
        <v>1970</v>
      </c>
      <c r="C1554" s="2367"/>
      <c r="D1554" s="1831"/>
      <c r="E1554" s="1832"/>
      <c r="F1554" s="1833"/>
      <c r="G1554" s="1833" t="s">
        <v>1971</v>
      </c>
      <c r="H1554" s="1833"/>
      <c r="I1554" s="1833"/>
      <c r="J1554" s="1833"/>
      <c r="K1554" s="1833"/>
      <c r="L1554" s="1721"/>
      <c r="M1554" s="1710"/>
      <c r="N1554" s="1711"/>
    </row>
    <row r="1555" spans="1:14" ht="24" customHeight="1">
      <c r="A1555" s="1830"/>
      <c r="B1555" s="1828" t="s">
        <v>2031</v>
      </c>
      <c r="C1555" s="1830"/>
      <c r="D1555" s="1830"/>
      <c r="E1555" s="1830"/>
      <c r="F1555" s="1830"/>
      <c r="G1555" s="1828" t="s">
        <v>2031</v>
      </c>
      <c r="H1555" s="1830"/>
      <c r="I1555" s="1830"/>
      <c r="J1555" s="1830"/>
      <c r="K1555" s="1830"/>
      <c r="L1555" s="1721"/>
      <c r="M1555" s="1710"/>
      <c r="N1555" s="1711"/>
    </row>
    <row r="1556" spans="1:14" ht="24" customHeight="1">
      <c r="B1556" s="1721" t="s">
        <v>1984</v>
      </c>
      <c r="C1556" s="1830"/>
      <c r="D1556" s="1685"/>
      <c r="E1556" s="1685"/>
      <c r="G1556" s="1721" t="s">
        <v>1985</v>
      </c>
      <c r="H1556" s="1685"/>
      <c r="I1556" s="1685"/>
      <c r="J1556" s="1685"/>
      <c r="K1556" s="1685"/>
      <c r="L1556" s="1721"/>
      <c r="M1556" s="1710"/>
      <c r="N1556" s="1711"/>
    </row>
    <row r="1557" spans="1:14" ht="24" customHeight="1">
      <c r="B1557" s="1828" t="s">
        <v>670</v>
      </c>
      <c r="L1557" s="1721"/>
      <c r="M1557" s="1710"/>
      <c r="N1557" s="1711"/>
    </row>
    <row r="1558" spans="1:14" ht="24" customHeight="1">
      <c r="B1558" s="1721" t="s">
        <v>1972</v>
      </c>
      <c r="L1558" s="1721"/>
      <c r="M1558" s="1710"/>
      <c r="N1558" s="1711"/>
    </row>
    <row r="1559" spans="1:14" s="1685" customFormat="1" ht="24" customHeight="1">
      <c r="A1559" s="1664"/>
      <c r="B1559" s="2371" t="s">
        <v>1035</v>
      </c>
      <c r="C1559" s="2372"/>
      <c r="D1559" s="1667"/>
      <c r="E1559" s="1668"/>
      <c r="F1559" s="1670"/>
      <c r="G1559" s="1670"/>
      <c r="H1559" s="1670"/>
      <c r="I1559" s="1670"/>
      <c r="J1559" s="1670"/>
      <c r="K1559" s="1746"/>
      <c r="L1559" s="1721"/>
      <c r="M1559" s="1711"/>
      <c r="N1559" s="1711"/>
    </row>
    <row r="1560" spans="1:14" s="1685" customFormat="1" ht="24" customHeight="1">
      <c r="A1560" s="1712"/>
      <c r="B1560" s="2368" t="s">
        <v>1034</v>
      </c>
      <c r="C1560" s="2370"/>
      <c r="D1560" s="1675"/>
      <c r="E1560" s="1676"/>
      <c r="F1560" s="1669"/>
      <c r="G1560" s="1669"/>
      <c r="H1560" s="1669"/>
      <c r="I1560" s="1669"/>
      <c r="J1560" s="1669"/>
      <c r="K1560" s="1708"/>
      <c r="L1560" s="1721"/>
      <c r="M1560" s="1711"/>
      <c r="N1560" s="1711"/>
    </row>
    <row r="1561" spans="1:14" ht="24" customHeight="1">
      <c r="A1561" s="1712"/>
      <c r="B1561" s="1673" t="s">
        <v>139</v>
      </c>
      <c r="C1561" s="1674" t="s">
        <v>228</v>
      </c>
      <c r="D1561" s="1675">
        <v>17</v>
      </c>
      <c r="E1561" s="1676" t="s">
        <v>85</v>
      </c>
      <c r="F1561" s="1736">
        <v>2679.9</v>
      </c>
      <c r="G1561" s="1736">
        <v>519</v>
      </c>
      <c r="H1561" s="1669">
        <f t="shared" ref="H1561:H1572" si="243">F1561*D1561</f>
        <v>45558.3</v>
      </c>
      <c r="I1561" s="1669">
        <f t="shared" ref="I1561:I1572" si="244">G1561*D1561</f>
        <v>8823</v>
      </c>
      <c r="J1561" s="1669">
        <f t="shared" ref="J1561:J1567" si="245">SUM(H1561:I1561)</f>
        <v>54381.3</v>
      </c>
      <c r="K1561" s="1708"/>
      <c r="L1561" s="1721"/>
      <c r="M1561" s="1710" t="s">
        <v>1016</v>
      </c>
      <c r="N1561" s="1711" t="s">
        <v>659</v>
      </c>
    </row>
    <row r="1562" spans="1:14" ht="24" customHeight="1">
      <c r="A1562" s="1712"/>
      <c r="B1562" s="2368" t="s">
        <v>1036</v>
      </c>
      <c r="C1562" s="2370"/>
      <c r="D1562" s="1675">
        <v>93.9</v>
      </c>
      <c r="E1562" s="1676"/>
      <c r="F1562" s="1669"/>
      <c r="G1562" s="1669"/>
      <c r="H1562" s="1669"/>
      <c r="I1562" s="1669"/>
      <c r="J1562" s="1669"/>
      <c r="K1562" s="1708"/>
      <c r="L1562" s="1721"/>
      <c r="M1562" s="1711"/>
      <c r="N1562" s="1711"/>
    </row>
    <row r="1563" spans="1:14" ht="24" customHeight="1">
      <c r="A1563" s="1712"/>
      <c r="B1563" s="1673" t="s">
        <v>139</v>
      </c>
      <c r="C1563" s="1674" t="s">
        <v>165</v>
      </c>
      <c r="D1563" s="1675">
        <f>D1562</f>
        <v>93.9</v>
      </c>
      <c r="E1563" s="1676" t="s">
        <v>86</v>
      </c>
      <c r="F1563" s="1736">
        <v>0</v>
      </c>
      <c r="G1563" s="1669">
        <v>121</v>
      </c>
      <c r="H1563" s="1669">
        <f t="shared" si="243"/>
        <v>0</v>
      </c>
      <c r="I1563" s="1669">
        <f t="shared" si="244"/>
        <v>11361.900000000001</v>
      </c>
      <c r="J1563" s="1669">
        <f t="shared" si="245"/>
        <v>11361.900000000001</v>
      </c>
      <c r="K1563" s="1708"/>
      <c r="L1563" s="1721"/>
      <c r="M1563" s="1710" t="s">
        <v>1017</v>
      </c>
      <c r="N1563" s="1711" t="s">
        <v>659</v>
      </c>
    </row>
    <row r="1564" spans="1:14" ht="24" customHeight="1">
      <c r="A1564" s="1712"/>
      <c r="B1564" s="1673" t="s">
        <v>139</v>
      </c>
      <c r="C1564" s="1674" t="s">
        <v>198</v>
      </c>
      <c r="D1564" s="1675">
        <f>D1562*0.5</f>
        <v>46.95</v>
      </c>
      <c r="E1564" s="1676" t="s">
        <v>164</v>
      </c>
      <c r="F1564" s="1736">
        <v>400</v>
      </c>
      <c r="G1564" s="1736">
        <v>0</v>
      </c>
      <c r="H1564" s="1669">
        <f t="shared" si="243"/>
        <v>18780</v>
      </c>
      <c r="I1564" s="1669">
        <f t="shared" si="244"/>
        <v>0</v>
      </c>
      <c r="J1564" s="1669">
        <f t="shared" si="245"/>
        <v>18780</v>
      </c>
      <c r="K1564" s="1708"/>
      <c r="L1564" s="1721"/>
      <c r="M1564" s="1710" t="s">
        <v>1018</v>
      </c>
      <c r="N1564" s="1711"/>
    </row>
    <row r="1565" spans="1:14" ht="24" customHeight="1">
      <c r="A1565" s="1702"/>
      <c r="B1565" s="1703" t="s">
        <v>139</v>
      </c>
      <c r="C1565" s="1743" t="s">
        <v>166</v>
      </c>
      <c r="D1565" s="1705">
        <f>D1564*0.3</f>
        <v>14.085000000000001</v>
      </c>
      <c r="E1565" s="1706" t="s">
        <v>164</v>
      </c>
      <c r="F1565" s="1742">
        <v>400</v>
      </c>
      <c r="G1565" s="1742">
        <v>0</v>
      </c>
      <c r="H1565" s="1707">
        <f t="shared" si="243"/>
        <v>5634</v>
      </c>
      <c r="I1565" s="1707">
        <f t="shared" si="244"/>
        <v>0</v>
      </c>
      <c r="J1565" s="1707">
        <f t="shared" si="245"/>
        <v>5634</v>
      </c>
      <c r="K1565" s="1709"/>
      <c r="L1565" s="1721"/>
      <c r="M1565" s="1710" t="s">
        <v>1018</v>
      </c>
      <c r="N1565" s="1685"/>
    </row>
    <row r="1566" spans="1:14" ht="24" customHeight="1">
      <c r="A1566" s="1712"/>
      <c r="B1566" s="1673" t="s">
        <v>139</v>
      </c>
      <c r="C1566" s="1674" t="s">
        <v>163</v>
      </c>
      <c r="D1566" s="1675">
        <f>D1562</f>
        <v>93.9</v>
      </c>
      <c r="E1566" s="1676" t="s">
        <v>83</v>
      </c>
      <c r="F1566" s="1736">
        <v>28</v>
      </c>
      <c r="G1566" s="1736">
        <v>0</v>
      </c>
      <c r="H1566" s="1669">
        <f t="shared" si="243"/>
        <v>2629.2000000000003</v>
      </c>
      <c r="I1566" s="1669">
        <f t="shared" si="244"/>
        <v>0</v>
      </c>
      <c r="J1566" s="1669">
        <f t="shared" si="245"/>
        <v>2629.2000000000003</v>
      </c>
      <c r="K1566" s="1708"/>
      <c r="L1566" s="1721"/>
      <c r="M1566" s="1710" t="s">
        <v>1018</v>
      </c>
      <c r="N1566" s="1685"/>
    </row>
    <row r="1567" spans="1:14" ht="24" customHeight="1">
      <c r="A1567" s="1712"/>
      <c r="B1567" s="1673" t="s">
        <v>139</v>
      </c>
      <c r="C1567" s="1674" t="s">
        <v>1781</v>
      </c>
      <c r="D1567" s="1675">
        <f>D1562*0.25</f>
        <v>23.475000000000001</v>
      </c>
      <c r="E1567" s="1676" t="s">
        <v>87</v>
      </c>
      <c r="F1567" s="1736">
        <v>23.89</v>
      </c>
      <c r="G1567" s="1736">
        <v>0</v>
      </c>
      <c r="H1567" s="1669">
        <f t="shared" si="243"/>
        <v>560.81775000000005</v>
      </c>
      <c r="I1567" s="1669">
        <f t="shared" si="244"/>
        <v>0</v>
      </c>
      <c r="J1567" s="1669">
        <f t="shared" si="245"/>
        <v>560.81775000000005</v>
      </c>
      <c r="K1567" s="1708"/>
      <c r="L1567" s="1721"/>
      <c r="M1567" s="1710" t="s">
        <v>660</v>
      </c>
      <c r="N1567" s="1685"/>
    </row>
    <row r="1568" spans="1:14" ht="24" customHeight="1">
      <c r="A1568" s="1664"/>
      <c r="B1568" s="2371" t="s">
        <v>1037</v>
      </c>
      <c r="C1568" s="2372"/>
      <c r="D1568" s="1667"/>
      <c r="E1568" s="1668"/>
      <c r="F1568" s="1670"/>
      <c r="G1568" s="1670"/>
      <c r="H1568" s="1670"/>
      <c r="I1568" s="1670"/>
      <c r="J1568" s="1669"/>
      <c r="K1568" s="1708"/>
      <c r="L1568" s="1721"/>
      <c r="M1568" s="1711"/>
      <c r="N1568" s="1711"/>
    </row>
    <row r="1569" spans="1:14" ht="24" customHeight="1">
      <c r="A1569" s="1712"/>
      <c r="B1569" s="1673" t="s">
        <v>139</v>
      </c>
      <c r="C1569" s="1674" t="s">
        <v>88</v>
      </c>
      <c r="D1569" s="1675">
        <v>345.2</v>
      </c>
      <c r="E1569" s="1676" t="s">
        <v>87</v>
      </c>
      <c r="F1569" s="1677">
        <v>21.4</v>
      </c>
      <c r="G1569" s="1677">
        <v>4.4000000000000004</v>
      </c>
      <c r="H1569" s="1669">
        <f t="shared" si="243"/>
        <v>7387.2799999999988</v>
      </c>
      <c r="I1569" s="1669">
        <f t="shared" si="244"/>
        <v>1518.88</v>
      </c>
      <c r="J1569" s="1678">
        <f>SUM(H1569:I1569)</f>
        <v>8906.16</v>
      </c>
      <c r="K1569" s="1708"/>
      <c r="L1569" s="1721"/>
      <c r="M1569" s="1710" t="s">
        <v>1016</v>
      </c>
      <c r="N1569" s="1711" t="s">
        <v>659</v>
      </c>
    </row>
    <row r="1570" spans="1:14" ht="24" customHeight="1">
      <c r="A1570" s="1712"/>
      <c r="B1570" s="1673" t="s">
        <v>139</v>
      </c>
      <c r="C1570" s="1674" t="s">
        <v>89</v>
      </c>
      <c r="D1570" s="1718">
        <v>1167.2</v>
      </c>
      <c r="E1570" s="1676" t="s">
        <v>87</v>
      </c>
      <c r="F1570" s="1677">
        <v>21.4</v>
      </c>
      <c r="G1570" s="1677">
        <v>3.6</v>
      </c>
      <c r="H1570" s="1669">
        <f t="shared" si="243"/>
        <v>24978.079999999998</v>
      </c>
      <c r="I1570" s="1669">
        <f t="shared" si="244"/>
        <v>4201.92</v>
      </c>
      <c r="J1570" s="1678">
        <f>SUM(H1570:I1570)</f>
        <v>29180</v>
      </c>
      <c r="K1570" s="1708"/>
      <c r="L1570" s="1721"/>
      <c r="M1570" s="1710" t="s">
        <v>1016</v>
      </c>
      <c r="N1570" s="1711" t="s">
        <v>659</v>
      </c>
    </row>
    <row r="1571" spans="1:14" ht="24" customHeight="1">
      <c r="A1571" s="1712"/>
      <c r="B1571" s="1673" t="s">
        <v>139</v>
      </c>
      <c r="C1571" s="1674" t="s">
        <v>91</v>
      </c>
      <c r="D1571" s="1675">
        <v>628.1</v>
      </c>
      <c r="E1571" s="1676" t="s">
        <v>87</v>
      </c>
      <c r="F1571" s="1677">
        <v>21.2</v>
      </c>
      <c r="G1571" s="1677">
        <v>3.1</v>
      </c>
      <c r="H1571" s="1669">
        <f t="shared" si="243"/>
        <v>13315.72</v>
      </c>
      <c r="I1571" s="1669">
        <f t="shared" si="244"/>
        <v>1947.1100000000001</v>
      </c>
      <c r="J1571" s="1678">
        <f>SUM(H1571:I1571)</f>
        <v>15262.83</v>
      </c>
      <c r="K1571" s="1708"/>
      <c r="L1571" s="1721"/>
      <c r="M1571" s="1710" t="s">
        <v>1016</v>
      </c>
      <c r="N1571" s="1711" t="s">
        <v>659</v>
      </c>
    </row>
    <row r="1572" spans="1:14" ht="24" customHeight="1">
      <c r="A1572" s="1712"/>
      <c r="B1572" s="1673" t="s">
        <v>139</v>
      </c>
      <c r="C1572" s="1674" t="s">
        <v>200</v>
      </c>
      <c r="D1572" s="1675">
        <f>SUM(D1569:D1571)*0.03</f>
        <v>64.215000000000003</v>
      </c>
      <c r="E1572" s="1676" t="s">
        <v>87</v>
      </c>
      <c r="F1572" s="1677">
        <v>25.83</v>
      </c>
      <c r="G1572" s="1677">
        <v>0</v>
      </c>
      <c r="H1572" s="1669">
        <f t="shared" si="243"/>
        <v>1658.67345</v>
      </c>
      <c r="I1572" s="1669">
        <f t="shared" si="244"/>
        <v>0</v>
      </c>
      <c r="J1572" s="1678">
        <f>SUM(H1572:I1572)</f>
        <v>1658.67345</v>
      </c>
      <c r="K1572" s="1708"/>
      <c r="L1572" s="1721"/>
      <c r="M1572" s="1710" t="s">
        <v>1019</v>
      </c>
      <c r="N1572" s="1711"/>
    </row>
    <row r="1573" spans="1:14" ht="24" customHeight="1">
      <c r="A1573" s="1712"/>
      <c r="B1573" s="2368" t="s">
        <v>1038</v>
      </c>
      <c r="C1573" s="2370"/>
      <c r="D1573" s="1675"/>
      <c r="E1573" s="1676"/>
      <c r="F1573" s="1669"/>
      <c r="G1573" s="1669"/>
      <c r="H1573" s="1669"/>
      <c r="I1573" s="1669"/>
      <c r="J1573" s="1678"/>
      <c r="K1573" s="1708"/>
      <c r="L1573" s="1721"/>
      <c r="M1573" s="1711"/>
      <c r="N1573" s="1711"/>
    </row>
    <row r="1574" spans="1:14" ht="24" customHeight="1">
      <c r="A1574" s="1712"/>
      <c r="B1574" s="2368" t="s">
        <v>1039</v>
      </c>
      <c r="C1574" s="2370"/>
      <c r="D1574" s="1675"/>
      <c r="E1574" s="1676"/>
      <c r="F1574" s="1669"/>
      <c r="G1574" s="1669"/>
      <c r="H1574" s="1669"/>
      <c r="I1574" s="1669"/>
      <c r="J1574" s="1678"/>
      <c r="K1574" s="1708"/>
      <c r="L1574" s="1721"/>
      <c r="M1574" s="1711"/>
      <c r="N1574" s="1711"/>
    </row>
    <row r="1575" spans="1:14" s="1685" customFormat="1" ht="24" customHeight="1">
      <c r="A1575" s="1712"/>
      <c r="B1575" s="1673" t="s">
        <v>139</v>
      </c>
      <c r="C1575" s="1674" t="s">
        <v>228</v>
      </c>
      <c r="D1575" s="1675">
        <v>14.2</v>
      </c>
      <c r="E1575" s="1676" t="s">
        <v>85</v>
      </c>
      <c r="F1575" s="1736">
        <v>2679.9</v>
      </c>
      <c r="G1575" s="1736">
        <v>519</v>
      </c>
      <c r="H1575" s="1669">
        <f t="shared" ref="H1575:H1586" si="246">F1575*D1575</f>
        <v>38054.58</v>
      </c>
      <c r="I1575" s="1669">
        <f t="shared" ref="I1575:I1586" si="247">G1575*D1575</f>
        <v>7369.7999999999993</v>
      </c>
      <c r="J1575" s="1678">
        <f t="shared" ref="J1575:J1581" si="248">SUM(H1575:I1575)</f>
        <v>45424.380000000005</v>
      </c>
      <c r="K1575" s="1708"/>
      <c r="L1575" s="1721"/>
      <c r="M1575" s="1710" t="s">
        <v>1016</v>
      </c>
      <c r="N1575" s="1711" t="s">
        <v>659</v>
      </c>
    </row>
    <row r="1576" spans="1:14" s="1685" customFormat="1" ht="24" customHeight="1">
      <c r="A1576" s="1712"/>
      <c r="B1576" s="2368" t="s">
        <v>1040</v>
      </c>
      <c r="C1576" s="2370"/>
      <c r="D1576" s="1675">
        <v>95</v>
      </c>
      <c r="E1576" s="1676"/>
      <c r="F1576" s="1669"/>
      <c r="G1576" s="1669"/>
      <c r="H1576" s="1669"/>
      <c r="I1576" s="1669"/>
      <c r="J1576" s="1678"/>
      <c r="K1576" s="1708"/>
      <c r="L1576" s="1721"/>
      <c r="M1576" s="1711"/>
      <c r="N1576" s="1711"/>
    </row>
    <row r="1577" spans="1:14" ht="24" customHeight="1">
      <c r="A1577" s="1712"/>
      <c r="B1577" s="1673" t="s">
        <v>139</v>
      </c>
      <c r="C1577" s="1674" t="s">
        <v>165</v>
      </c>
      <c r="D1577" s="1718">
        <f>D1576</f>
        <v>95</v>
      </c>
      <c r="E1577" s="1676" t="s">
        <v>86</v>
      </c>
      <c r="F1577" s="1677">
        <v>0</v>
      </c>
      <c r="G1577" s="1677">
        <v>121</v>
      </c>
      <c r="H1577" s="1669">
        <f t="shared" si="246"/>
        <v>0</v>
      </c>
      <c r="I1577" s="1669">
        <f t="shared" si="247"/>
        <v>11495</v>
      </c>
      <c r="J1577" s="1678">
        <f t="shared" si="248"/>
        <v>11495</v>
      </c>
      <c r="K1577" s="1708"/>
      <c r="L1577" s="1721"/>
      <c r="M1577" s="1710" t="s">
        <v>1017</v>
      </c>
      <c r="N1577" s="1711" t="s">
        <v>659</v>
      </c>
    </row>
    <row r="1578" spans="1:14" ht="24" customHeight="1">
      <c r="A1578" s="1712"/>
      <c r="B1578" s="1673" t="s">
        <v>139</v>
      </c>
      <c r="C1578" s="1674" t="s">
        <v>198</v>
      </c>
      <c r="D1578" s="1718">
        <f>D1576*0.5</f>
        <v>47.5</v>
      </c>
      <c r="E1578" s="1676" t="s">
        <v>164</v>
      </c>
      <c r="F1578" s="1677">
        <v>400</v>
      </c>
      <c r="G1578" s="1677">
        <v>0</v>
      </c>
      <c r="H1578" s="1669">
        <f t="shared" si="246"/>
        <v>19000</v>
      </c>
      <c r="I1578" s="1669">
        <f t="shared" si="247"/>
        <v>0</v>
      </c>
      <c r="J1578" s="1678">
        <f t="shared" si="248"/>
        <v>19000</v>
      </c>
      <c r="K1578" s="1708"/>
      <c r="L1578" s="1721"/>
      <c r="M1578" s="1710" t="s">
        <v>1018</v>
      </c>
      <c r="N1578" s="1711"/>
    </row>
    <row r="1579" spans="1:14" ht="24" customHeight="1">
      <c r="A1579" s="1712"/>
      <c r="B1579" s="1673" t="s">
        <v>139</v>
      </c>
      <c r="C1579" s="1674" t="s">
        <v>166</v>
      </c>
      <c r="D1579" s="1675">
        <f>D1578*0.3</f>
        <v>14.25</v>
      </c>
      <c r="E1579" s="1676" t="s">
        <v>164</v>
      </c>
      <c r="F1579" s="1736">
        <v>400</v>
      </c>
      <c r="G1579" s="1736">
        <v>0</v>
      </c>
      <c r="H1579" s="1669">
        <f t="shared" si="246"/>
        <v>5700</v>
      </c>
      <c r="I1579" s="1669">
        <f t="shared" si="247"/>
        <v>0</v>
      </c>
      <c r="J1579" s="1669">
        <f t="shared" si="248"/>
        <v>5700</v>
      </c>
      <c r="K1579" s="1708"/>
      <c r="L1579" s="1721"/>
      <c r="M1579" s="1710" t="s">
        <v>1018</v>
      </c>
      <c r="N1579" s="1685"/>
    </row>
    <row r="1580" spans="1:14" ht="24" customHeight="1">
      <c r="A1580" s="1712"/>
      <c r="B1580" s="1673" t="s">
        <v>139</v>
      </c>
      <c r="C1580" s="1674" t="s">
        <v>163</v>
      </c>
      <c r="D1580" s="1675">
        <f>D1576</f>
        <v>95</v>
      </c>
      <c r="E1580" s="1676" t="s">
        <v>83</v>
      </c>
      <c r="F1580" s="1736">
        <v>28</v>
      </c>
      <c r="G1580" s="1736">
        <v>0</v>
      </c>
      <c r="H1580" s="1669">
        <f t="shared" si="246"/>
        <v>2660</v>
      </c>
      <c r="I1580" s="1669">
        <f t="shared" si="247"/>
        <v>0</v>
      </c>
      <c r="J1580" s="1669">
        <f t="shared" si="248"/>
        <v>2660</v>
      </c>
      <c r="K1580" s="1708"/>
      <c r="L1580" s="1721"/>
      <c r="M1580" s="1710" t="s">
        <v>1018</v>
      </c>
      <c r="N1580" s="1685"/>
    </row>
    <row r="1581" spans="1:14" ht="24" customHeight="1">
      <c r="A1581" s="1712"/>
      <c r="B1581" s="1673" t="s">
        <v>139</v>
      </c>
      <c r="C1581" s="1674" t="s">
        <v>1781</v>
      </c>
      <c r="D1581" s="1675">
        <f>D1576*0.25</f>
        <v>23.75</v>
      </c>
      <c r="E1581" s="1676" t="s">
        <v>87</v>
      </c>
      <c r="F1581" s="1736">
        <v>23.89</v>
      </c>
      <c r="G1581" s="1736">
        <v>0</v>
      </c>
      <c r="H1581" s="1669">
        <f t="shared" si="246"/>
        <v>567.38750000000005</v>
      </c>
      <c r="I1581" s="1669">
        <f t="shared" si="247"/>
        <v>0</v>
      </c>
      <c r="J1581" s="1669">
        <f t="shared" si="248"/>
        <v>567.38750000000005</v>
      </c>
      <c r="K1581" s="1708"/>
      <c r="L1581" s="1721"/>
      <c r="M1581" s="1710" t="s">
        <v>660</v>
      </c>
      <c r="N1581" s="1685"/>
    </row>
    <row r="1582" spans="1:14" ht="24" customHeight="1">
      <c r="A1582" s="1712"/>
      <c r="B1582" s="2368" t="s">
        <v>1041</v>
      </c>
      <c r="C1582" s="2370"/>
      <c r="D1582" s="1675"/>
      <c r="E1582" s="1676"/>
      <c r="F1582" s="1669"/>
      <c r="G1582" s="1669"/>
      <c r="H1582" s="1669"/>
      <c r="I1582" s="1669"/>
      <c r="J1582" s="1669"/>
      <c r="K1582" s="1708"/>
      <c r="L1582" s="1721"/>
      <c r="M1582" s="1711"/>
      <c r="N1582" s="1711"/>
    </row>
    <row r="1583" spans="1:14" ht="24" customHeight="1">
      <c r="A1583" s="1712"/>
      <c r="B1583" s="1673" t="s">
        <v>139</v>
      </c>
      <c r="C1583" s="1674" t="s">
        <v>88</v>
      </c>
      <c r="D1583" s="1675">
        <v>288.60000000000002</v>
      </c>
      <c r="E1583" s="1676" t="s">
        <v>87</v>
      </c>
      <c r="F1583" s="1677">
        <v>21.4</v>
      </c>
      <c r="G1583" s="1677">
        <v>4.4000000000000004</v>
      </c>
      <c r="H1583" s="1669">
        <f t="shared" si="246"/>
        <v>6176.04</v>
      </c>
      <c r="I1583" s="1669">
        <f t="shared" si="247"/>
        <v>1269.8400000000001</v>
      </c>
      <c r="J1583" s="1669">
        <f>SUM(H1583:I1583)</f>
        <v>7445.88</v>
      </c>
      <c r="K1583" s="1708"/>
      <c r="L1583" s="1721"/>
      <c r="M1583" s="1710" t="s">
        <v>1016</v>
      </c>
      <c r="N1583" s="1711" t="s">
        <v>659</v>
      </c>
    </row>
    <row r="1584" spans="1:14" ht="24" customHeight="1">
      <c r="A1584" s="1712"/>
      <c r="B1584" s="1673" t="s">
        <v>139</v>
      </c>
      <c r="C1584" s="1674" t="s">
        <v>89</v>
      </c>
      <c r="D1584" s="1675">
        <v>1118.7</v>
      </c>
      <c r="E1584" s="1676" t="s">
        <v>87</v>
      </c>
      <c r="F1584" s="1677">
        <v>21.4</v>
      </c>
      <c r="G1584" s="1677">
        <v>3.6</v>
      </c>
      <c r="H1584" s="1669">
        <f t="shared" si="246"/>
        <v>23940.18</v>
      </c>
      <c r="I1584" s="1669">
        <f t="shared" si="247"/>
        <v>4027.32</v>
      </c>
      <c r="J1584" s="1669">
        <f>SUM(H1584:I1584)</f>
        <v>27967.5</v>
      </c>
      <c r="K1584" s="1708"/>
      <c r="L1584" s="1721"/>
      <c r="M1584" s="1710" t="s">
        <v>1016</v>
      </c>
      <c r="N1584" s="1711" t="s">
        <v>659</v>
      </c>
    </row>
    <row r="1585" spans="1:14" ht="24" customHeight="1">
      <c r="A1585" s="1664"/>
      <c r="B1585" s="1665" t="s">
        <v>139</v>
      </c>
      <c r="C1585" s="1666" t="s">
        <v>1014</v>
      </c>
      <c r="D1585" s="1675">
        <v>841.5</v>
      </c>
      <c r="E1585" s="1668" t="s">
        <v>87</v>
      </c>
      <c r="F1585" s="1744">
        <v>21.2</v>
      </c>
      <c r="G1585" s="1744">
        <v>3.1</v>
      </c>
      <c r="H1585" s="1670">
        <f t="shared" si="246"/>
        <v>17839.8</v>
      </c>
      <c r="I1585" s="1670">
        <f t="shared" si="247"/>
        <v>2608.65</v>
      </c>
      <c r="J1585" s="1670">
        <f>SUM(H1585:I1585)</f>
        <v>20448.45</v>
      </c>
      <c r="K1585" s="1746"/>
      <c r="L1585" s="1721"/>
      <c r="M1585" s="1710" t="s">
        <v>1016</v>
      </c>
      <c r="N1585" s="1711" t="s">
        <v>659</v>
      </c>
    </row>
    <row r="1586" spans="1:14" ht="24" customHeight="1">
      <c r="A1586" s="1712"/>
      <c r="B1586" s="1673" t="s">
        <v>139</v>
      </c>
      <c r="C1586" s="1674" t="s">
        <v>200</v>
      </c>
      <c r="D1586" s="1675">
        <f>SUM(D1583:D1585)*0.03</f>
        <v>67.463999999999999</v>
      </c>
      <c r="E1586" s="1676" t="s">
        <v>87</v>
      </c>
      <c r="F1586" s="1677">
        <v>25.83</v>
      </c>
      <c r="G1586" s="1677">
        <v>0</v>
      </c>
      <c r="H1586" s="1669">
        <f t="shared" si="246"/>
        <v>1742.59512</v>
      </c>
      <c r="I1586" s="1669">
        <f t="shared" si="247"/>
        <v>0</v>
      </c>
      <c r="J1586" s="1669">
        <f>SUM(H1586:I1586)</f>
        <v>1742.59512</v>
      </c>
      <c r="K1586" s="1708"/>
      <c r="L1586" s="1721"/>
      <c r="M1586" s="1710" t="s">
        <v>1019</v>
      </c>
      <c r="N1586" s="1711"/>
    </row>
    <row r="1587" spans="1:14" ht="24" customHeight="1">
      <c r="A1587" s="1715"/>
      <c r="B1587" s="1716"/>
      <c r="C1587" s="1717"/>
      <c r="D1587" s="1718"/>
      <c r="E1587" s="1719"/>
      <c r="F1587" s="1751"/>
      <c r="G1587" s="1751"/>
      <c r="H1587" s="1720"/>
      <c r="I1587" s="1720"/>
      <c r="J1587" s="1720"/>
      <c r="K1587" s="1752"/>
      <c r="L1587" s="1721"/>
      <c r="M1587" s="1710"/>
      <c r="N1587" s="1711"/>
    </row>
    <row r="1588" spans="1:14" ht="24" customHeight="1" thickBot="1">
      <c r="A1588" s="1722"/>
      <c r="B1588" s="1753"/>
      <c r="C1588" s="1724" t="str">
        <f>"รวมราคา "&amp;B1396</f>
        <v>รวมราคา งานโครงสร้างชั้น 7</v>
      </c>
      <c r="D1588" s="1725"/>
      <c r="E1588" s="1726"/>
      <c r="F1588" s="1727"/>
      <c r="G1588" s="1727"/>
      <c r="H1588" s="1727">
        <f>SUM(H1397:H1586)</f>
        <v>3444010.9721000013</v>
      </c>
      <c r="I1588" s="1727">
        <f>SUM(I1397:I1586)</f>
        <v>680896.9</v>
      </c>
      <c r="J1588" s="1727">
        <f>SUM(J1397:J1586)</f>
        <v>4124907.8720999998</v>
      </c>
      <c r="K1588" s="1728"/>
      <c r="L1588" s="1729"/>
      <c r="M1588" s="1701"/>
      <c r="N1588" s="1701"/>
    </row>
    <row r="1589" spans="1:14" ht="24" customHeight="1" thickTop="1">
      <c r="A1589" s="1780"/>
      <c r="B1589" s="1780"/>
      <c r="C1589" s="1827" t="s">
        <v>133</v>
      </c>
      <c r="D1589" s="2365"/>
      <c r="E1589" s="2365"/>
      <c r="F1589" s="2365"/>
      <c r="G1589" s="2365"/>
      <c r="H1589" s="2365"/>
      <c r="I1589" s="2365"/>
      <c r="J1589" s="2365"/>
      <c r="K1589" s="2365"/>
      <c r="L1589" s="1729"/>
      <c r="M1589" s="1701"/>
      <c r="N1589" s="1701"/>
    </row>
    <row r="1590" spans="1:14" ht="24" customHeight="1">
      <c r="A1590" s="1780"/>
      <c r="B1590" s="2366" t="s">
        <v>1769</v>
      </c>
      <c r="C1590" s="2366"/>
      <c r="D1590" s="1828"/>
      <c r="E1590" s="1769"/>
      <c r="F1590" s="1828"/>
      <c r="G1590" s="1828" t="s">
        <v>134</v>
      </c>
      <c r="H1590" s="1828"/>
      <c r="I1590" s="1828"/>
      <c r="J1590" s="1828"/>
      <c r="K1590" s="1828"/>
      <c r="L1590" s="1729"/>
      <c r="M1590" s="1701"/>
      <c r="N1590" s="1701"/>
    </row>
    <row r="1591" spans="1:14" ht="24" customHeight="1">
      <c r="A1591" s="1780"/>
      <c r="B1591" s="2367" t="s">
        <v>1970</v>
      </c>
      <c r="C1591" s="2367"/>
      <c r="D1591" s="1831"/>
      <c r="E1591" s="1832"/>
      <c r="F1591" s="1833"/>
      <c r="G1591" s="1833" t="s">
        <v>1971</v>
      </c>
      <c r="H1591" s="1833"/>
      <c r="I1591" s="1833"/>
      <c r="J1591" s="1833"/>
      <c r="K1591" s="1833"/>
      <c r="L1591" s="1729"/>
      <c r="M1591" s="1701"/>
      <c r="N1591" s="1701"/>
    </row>
    <row r="1592" spans="1:14" ht="24" customHeight="1">
      <c r="A1592" s="1830"/>
      <c r="B1592" s="1828" t="s">
        <v>2031</v>
      </c>
      <c r="C1592" s="1830"/>
      <c r="D1592" s="1830"/>
      <c r="E1592" s="1830"/>
      <c r="F1592" s="1830"/>
      <c r="G1592" s="1828" t="s">
        <v>2031</v>
      </c>
      <c r="H1592" s="1830"/>
      <c r="I1592" s="1830"/>
      <c r="J1592" s="1830"/>
      <c r="K1592" s="1830"/>
      <c r="L1592" s="1729"/>
      <c r="M1592" s="1701"/>
      <c r="N1592" s="1701"/>
    </row>
    <row r="1593" spans="1:14" ht="24" customHeight="1">
      <c r="B1593" s="1721" t="s">
        <v>1984</v>
      </c>
      <c r="C1593" s="1830"/>
      <c r="D1593" s="1685"/>
      <c r="E1593" s="1685"/>
      <c r="G1593" s="1721" t="s">
        <v>1985</v>
      </c>
      <c r="H1593" s="1685"/>
      <c r="I1593" s="1685"/>
      <c r="J1593" s="1685"/>
      <c r="K1593" s="1685"/>
      <c r="L1593" s="1729"/>
      <c r="M1593" s="1701"/>
      <c r="N1593" s="1701"/>
    </row>
    <row r="1594" spans="1:14" ht="24" customHeight="1">
      <c r="B1594" s="1828" t="s">
        <v>670</v>
      </c>
      <c r="L1594" s="1729"/>
      <c r="M1594" s="1701"/>
      <c r="N1594" s="1701"/>
    </row>
    <row r="1595" spans="1:14" ht="24" customHeight="1">
      <c r="B1595" s="1721" t="s">
        <v>1972</v>
      </c>
      <c r="L1595" s="1729"/>
      <c r="M1595" s="1701"/>
      <c r="N1595" s="1701"/>
    </row>
    <row r="1596" spans="1:14" ht="24" customHeight="1">
      <c r="A1596" s="1791">
        <v>1.1000000000000001</v>
      </c>
      <c r="B1596" s="2374" t="s">
        <v>1028</v>
      </c>
      <c r="C1596" s="2375"/>
      <c r="D1596" s="1731"/>
      <c r="E1596" s="1732"/>
      <c r="F1596" s="1733"/>
      <c r="G1596" s="1733"/>
      <c r="H1596" s="1733"/>
      <c r="I1596" s="1733"/>
      <c r="J1596" s="1733"/>
      <c r="K1596" s="1734"/>
      <c r="L1596" s="1729"/>
      <c r="M1596" s="1701"/>
      <c r="N1596" s="1701"/>
    </row>
    <row r="1597" spans="1:14" s="1685" customFormat="1" ht="24" customHeight="1">
      <c r="A1597" s="1702"/>
      <c r="B1597" s="2369" t="s">
        <v>245</v>
      </c>
      <c r="C1597" s="2373"/>
      <c r="D1597" s="1705"/>
      <c r="E1597" s="1706"/>
      <c r="F1597" s="1707"/>
      <c r="G1597" s="1707"/>
      <c r="H1597" s="1707"/>
      <c r="I1597" s="1707"/>
      <c r="J1597" s="1707"/>
      <c r="K1597" s="1709"/>
      <c r="L1597" s="1721"/>
      <c r="M1597" s="1711"/>
      <c r="N1597" s="1711"/>
    </row>
    <row r="1598" spans="1:14" s="1685" customFormat="1" ht="24" customHeight="1">
      <c r="A1598" s="1712"/>
      <c r="B1598" s="1673" t="s">
        <v>139</v>
      </c>
      <c r="C1598" s="1674" t="s">
        <v>97</v>
      </c>
      <c r="D1598" s="1675">
        <v>981.1</v>
      </c>
      <c r="E1598" s="1676" t="s">
        <v>86</v>
      </c>
      <c r="F1598" s="1669">
        <v>430</v>
      </c>
      <c r="G1598" s="1669">
        <v>0</v>
      </c>
      <c r="H1598" s="1669">
        <f t="shared" ref="H1598:H1613" si="249">F1598*D1598</f>
        <v>421873</v>
      </c>
      <c r="I1598" s="1669">
        <f t="shared" ref="I1598:I1613" si="250">G1598*D1598</f>
        <v>0</v>
      </c>
      <c r="J1598" s="1669">
        <f t="shared" ref="J1598:J1606" si="251">SUM(H1598:I1598)</f>
        <v>421873</v>
      </c>
      <c r="K1598" s="1792"/>
      <c r="L1598" s="1708" t="s">
        <v>1893</v>
      </c>
      <c r="M1598" s="1710" t="s">
        <v>1871</v>
      </c>
      <c r="N1598" s="1711" t="s">
        <v>663</v>
      </c>
    </row>
    <row r="1599" spans="1:14" ht="24" customHeight="1">
      <c r="A1599" s="1712"/>
      <c r="B1599" s="2368" t="s">
        <v>423</v>
      </c>
      <c r="C1599" s="2370"/>
      <c r="D1599" s="1675"/>
      <c r="E1599" s="1676"/>
      <c r="F1599" s="1669"/>
      <c r="G1599" s="1669"/>
      <c r="H1599" s="1669">
        <f t="shared" si="249"/>
        <v>0</v>
      </c>
      <c r="I1599" s="1669">
        <f t="shared" si="250"/>
        <v>0</v>
      </c>
      <c r="J1599" s="1669">
        <f t="shared" si="251"/>
        <v>0</v>
      </c>
      <c r="K1599" s="1708"/>
      <c r="L1599" s="1721"/>
      <c r="M1599" s="1711"/>
      <c r="N1599" s="1711"/>
    </row>
    <row r="1600" spans="1:14" ht="24" customHeight="1">
      <c r="A1600" s="1712"/>
      <c r="B1600" s="1673" t="s">
        <v>139</v>
      </c>
      <c r="C1600" s="1674" t="s">
        <v>228</v>
      </c>
      <c r="D1600" s="1675">
        <v>249.6</v>
      </c>
      <c r="E1600" s="1676" t="s">
        <v>85</v>
      </c>
      <c r="F1600" s="1736">
        <v>2679.9</v>
      </c>
      <c r="G1600" s="1736">
        <v>519</v>
      </c>
      <c r="H1600" s="1669">
        <f t="shared" si="249"/>
        <v>668903.04</v>
      </c>
      <c r="I1600" s="1669">
        <f t="shared" si="250"/>
        <v>129542.39999999999</v>
      </c>
      <c r="J1600" s="1669">
        <f t="shared" si="251"/>
        <v>798445.44000000006</v>
      </c>
      <c r="K1600" s="1708"/>
      <c r="L1600" s="1721"/>
      <c r="M1600" s="1710" t="s">
        <v>1016</v>
      </c>
      <c r="N1600" s="1711" t="s">
        <v>659</v>
      </c>
    </row>
    <row r="1601" spans="1:14" ht="24" customHeight="1">
      <c r="A1601" s="1712"/>
      <c r="B1601" s="2368" t="s">
        <v>225</v>
      </c>
      <c r="C1601" s="2370"/>
      <c r="D1601" s="1675">
        <v>1040.7</v>
      </c>
      <c r="E1601" s="1676"/>
      <c r="F1601" s="1669"/>
      <c r="G1601" s="1669"/>
      <c r="H1601" s="1669"/>
      <c r="I1601" s="1669"/>
      <c r="J1601" s="1669"/>
      <c r="K1601" s="1708"/>
      <c r="L1601" s="1721"/>
      <c r="M1601" s="1711"/>
      <c r="N1601" s="1711"/>
    </row>
    <row r="1602" spans="1:14" ht="24" customHeight="1">
      <c r="A1602" s="1712"/>
      <c r="B1602" s="1673" t="s">
        <v>139</v>
      </c>
      <c r="C1602" s="1674" t="s">
        <v>165</v>
      </c>
      <c r="D1602" s="1675">
        <f>D1601</f>
        <v>1040.7</v>
      </c>
      <c r="E1602" s="1676" t="s">
        <v>86</v>
      </c>
      <c r="F1602" s="1669"/>
      <c r="G1602" s="1669">
        <v>121</v>
      </c>
      <c r="H1602" s="1669">
        <f t="shared" si="249"/>
        <v>0</v>
      </c>
      <c r="I1602" s="1669">
        <f t="shared" si="250"/>
        <v>125924.70000000001</v>
      </c>
      <c r="J1602" s="1669">
        <f t="shared" si="251"/>
        <v>125924.70000000001</v>
      </c>
      <c r="K1602" s="1708"/>
      <c r="L1602" s="1721"/>
      <c r="M1602" s="1710" t="s">
        <v>1017</v>
      </c>
      <c r="N1602" s="1711" t="s">
        <v>659</v>
      </c>
    </row>
    <row r="1603" spans="1:14" ht="24" customHeight="1">
      <c r="A1603" s="1712"/>
      <c r="B1603" s="1673" t="s">
        <v>139</v>
      </c>
      <c r="C1603" s="1674" t="s">
        <v>198</v>
      </c>
      <c r="D1603" s="1675">
        <f>D1601*0.5</f>
        <v>520.35</v>
      </c>
      <c r="E1603" s="1676" t="s">
        <v>164</v>
      </c>
      <c r="F1603" s="1669">
        <v>400</v>
      </c>
      <c r="G1603" s="1669"/>
      <c r="H1603" s="1669">
        <f t="shared" si="249"/>
        <v>208140</v>
      </c>
      <c r="I1603" s="1669">
        <f t="shared" si="250"/>
        <v>0</v>
      </c>
      <c r="J1603" s="1669">
        <f t="shared" si="251"/>
        <v>208140</v>
      </c>
      <c r="K1603" s="1708"/>
      <c r="L1603" s="1721"/>
      <c r="M1603" s="1710" t="s">
        <v>1018</v>
      </c>
      <c r="N1603" s="1711"/>
    </row>
    <row r="1604" spans="1:14" ht="24" customHeight="1">
      <c r="A1604" s="1712"/>
      <c r="B1604" s="1673" t="s">
        <v>139</v>
      </c>
      <c r="C1604" s="1674" t="s">
        <v>166</v>
      </c>
      <c r="D1604" s="1675">
        <f>D1603*0.3</f>
        <v>156.10499999999999</v>
      </c>
      <c r="E1604" s="1676" t="s">
        <v>164</v>
      </c>
      <c r="F1604" s="1669">
        <v>400</v>
      </c>
      <c r="G1604" s="1669">
        <v>0</v>
      </c>
      <c r="H1604" s="1669">
        <f t="shared" si="249"/>
        <v>62441.999999999993</v>
      </c>
      <c r="I1604" s="1669">
        <f t="shared" si="250"/>
        <v>0</v>
      </c>
      <c r="J1604" s="1669">
        <f t="shared" si="251"/>
        <v>62441.999999999993</v>
      </c>
      <c r="K1604" s="1708"/>
      <c r="L1604" s="1721"/>
      <c r="M1604" s="1710" t="s">
        <v>1018</v>
      </c>
      <c r="N1604" s="1711"/>
    </row>
    <row r="1605" spans="1:14" ht="24" customHeight="1">
      <c r="A1605" s="1712"/>
      <c r="B1605" s="1673" t="s">
        <v>139</v>
      </c>
      <c r="C1605" s="1674" t="s">
        <v>163</v>
      </c>
      <c r="D1605" s="1675">
        <f>D1601</f>
        <v>1040.7</v>
      </c>
      <c r="E1605" s="1676" t="s">
        <v>83</v>
      </c>
      <c r="F1605" s="1669">
        <v>28</v>
      </c>
      <c r="G1605" s="1669">
        <v>0</v>
      </c>
      <c r="H1605" s="1669">
        <f t="shared" si="249"/>
        <v>29139.600000000002</v>
      </c>
      <c r="I1605" s="1669">
        <f t="shared" si="250"/>
        <v>0</v>
      </c>
      <c r="J1605" s="1669">
        <f t="shared" si="251"/>
        <v>29139.600000000002</v>
      </c>
      <c r="K1605" s="1708"/>
      <c r="L1605" s="1721"/>
      <c r="M1605" s="1710" t="s">
        <v>1018</v>
      </c>
      <c r="N1605" s="1711"/>
    </row>
    <row r="1606" spans="1:14" ht="24" customHeight="1">
      <c r="A1606" s="1712"/>
      <c r="B1606" s="1673" t="s">
        <v>139</v>
      </c>
      <c r="C1606" s="1674" t="s">
        <v>1781</v>
      </c>
      <c r="D1606" s="1675">
        <f>D1601*0.25</f>
        <v>260.17500000000001</v>
      </c>
      <c r="E1606" s="1676" t="s">
        <v>87</v>
      </c>
      <c r="F1606" s="1669">
        <v>23.89</v>
      </c>
      <c r="G1606" s="1669">
        <v>0</v>
      </c>
      <c r="H1606" s="1669">
        <f t="shared" si="249"/>
        <v>6215.5807500000001</v>
      </c>
      <c r="I1606" s="1669">
        <f t="shared" si="250"/>
        <v>0</v>
      </c>
      <c r="J1606" s="1669">
        <f t="shared" si="251"/>
        <v>6215.5807500000001</v>
      </c>
      <c r="K1606" s="1708"/>
      <c r="L1606" s="1721"/>
      <c r="M1606" s="1710" t="s">
        <v>660</v>
      </c>
      <c r="N1606" s="1711"/>
    </row>
    <row r="1607" spans="1:14" ht="24" customHeight="1">
      <c r="A1607" s="1702"/>
      <c r="B1607" s="2369" t="s">
        <v>246</v>
      </c>
      <c r="C1607" s="2373"/>
      <c r="D1607" s="1705"/>
      <c r="E1607" s="1706"/>
      <c r="F1607" s="1707"/>
      <c r="G1607" s="1707"/>
      <c r="H1607" s="1707"/>
      <c r="I1607" s="1707"/>
      <c r="J1607" s="1707"/>
      <c r="K1607" s="1709"/>
      <c r="L1607" s="1721"/>
      <c r="M1607" s="1711"/>
      <c r="N1607" s="1711"/>
    </row>
    <row r="1608" spans="1:14" ht="24" customHeight="1">
      <c r="A1608" s="1712"/>
      <c r="B1608" s="1673" t="s">
        <v>139</v>
      </c>
      <c r="C1608" s="1674" t="s">
        <v>88</v>
      </c>
      <c r="D1608" s="1675">
        <v>1652.2</v>
      </c>
      <c r="E1608" s="1676" t="s">
        <v>87</v>
      </c>
      <c r="F1608" s="1669">
        <v>21.4</v>
      </c>
      <c r="G1608" s="1669">
        <v>4.4000000000000004</v>
      </c>
      <c r="H1608" s="1669">
        <f t="shared" si="249"/>
        <v>35357.08</v>
      </c>
      <c r="I1608" s="1669">
        <f t="shared" si="250"/>
        <v>7269.6800000000012</v>
      </c>
      <c r="J1608" s="1669">
        <f t="shared" ref="J1608:J1613" si="252">SUM(H1608:I1608)</f>
        <v>42626.76</v>
      </c>
      <c r="K1608" s="1708"/>
      <c r="L1608" s="1721"/>
      <c r="M1608" s="1710" t="s">
        <v>1016</v>
      </c>
      <c r="N1608" s="1711" t="s">
        <v>659</v>
      </c>
    </row>
    <row r="1609" spans="1:14" ht="24" customHeight="1">
      <c r="A1609" s="1712"/>
      <c r="B1609" s="1673" t="s">
        <v>139</v>
      </c>
      <c r="C1609" s="1674" t="s">
        <v>89</v>
      </c>
      <c r="D1609" s="1675">
        <v>29009.5</v>
      </c>
      <c r="E1609" s="1676" t="s">
        <v>87</v>
      </c>
      <c r="F1609" s="1669">
        <v>21.4</v>
      </c>
      <c r="G1609" s="1669">
        <v>3.6</v>
      </c>
      <c r="H1609" s="1669">
        <f t="shared" si="249"/>
        <v>620803.29999999993</v>
      </c>
      <c r="I1609" s="1669">
        <f t="shared" si="250"/>
        <v>104434.2</v>
      </c>
      <c r="J1609" s="1669">
        <f t="shared" si="252"/>
        <v>725237.49999999988</v>
      </c>
      <c r="K1609" s="1708"/>
      <c r="L1609" s="1721"/>
      <c r="M1609" s="1710" t="s">
        <v>1016</v>
      </c>
      <c r="N1609" s="1711" t="s">
        <v>659</v>
      </c>
    </row>
    <row r="1610" spans="1:14" ht="24" customHeight="1">
      <c r="A1610" s="1712"/>
      <c r="B1610" s="1673" t="s">
        <v>139</v>
      </c>
      <c r="C1610" s="1674" t="s">
        <v>90</v>
      </c>
      <c r="D1610" s="1675">
        <v>7399.6</v>
      </c>
      <c r="E1610" s="1676" t="s">
        <v>87</v>
      </c>
      <c r="F1610" s="1677">
        <v>21.2</v>
      </c>
      <c r="G1610" s="1677">
        <v>3.6</v>
      </c>
      <c r="H1610" s="1669">
        <f t="shared" si="249"/>
        <v>156871.51999999999</v>
      </c>
      <c r="I1610" s="1669">
        <f t="shared" si="250"/>
        <v>26638.560000000001</v>
      </c>
      <c r="J1610" s="1669">
        <f t="shared" si="252"/>
        <v>183510.08</v>
      </c>
      <c r="K1610" s="1708"/>
      <c r="L1610" s="1721"/>
      <c r="M1610" s="1710" t="s">
        <v>1016</v>
      </c>
      <c r="N1610" s="1711" t="s">
        <v>659</v>
      </c>
    </row>
    <row r="1611" spans="1:14" ht="24" customHeight="1">
      <c r="A1611" s="1712"/>
      <c r="B1611" s="1673" t="s">
        <v>139</v>
      </c>
      <c r="C1611" s="1674" t="s">
        <v>91</v>
      </c>
      <c r="D1611" s="1675">
        <v>2360.6</v>
      </c>
      <c r="E1611" s="1676" t="s">
        <v>87</v>
      </c>
      <c r="F1611" s="1677">
        <v>21.2</v>
      </c>
      <c r="G1611" s="1677">
        <v>3.1</v>
      </c>
      <c r="H1611" s="1669">
        <f t="shared" si="249"/>
        <v>50044.719999999994</v>
      </c>
      <c r="I1611" s="1669">
        <f t="shared" si="250"/>
        <v>7317.86</v>
      </c>
      <c r="J1611" s="1669">
        <f t="shared" si="252"/>
        <v>57362.579999999994</v>
      </c>
      <c r="K1611" s="1708"/>
      <c r="L1611" s="1721"/>
      <c r="M1611" s="1710" t="s">
        <v>1016</v>
      </c>
      <c r="N1611" s="1711" t="s">
        <v>659</v>
      </c>
    </row>
    <row r="1612" spans="1:14" ht="24" customHeight="1">
      <c r="A1612" s="1664"/>
      <c r="B1612" s="1665" t="s">
        <v>139</v>
      </c>
      <c r="C1612" s="1666" t="s">
        <v>1014</v>
      </c>
      <c r="D1612" s="1667">
        <v>1779.7</v>
      </c>
      <c r="E1612" s="1668" t="s">
        <v>87</v>
      </c>
      <c r="F1612" s="1744">
        <v>21.2</v>
      </c>
      <c r="G1612" s="1744">
        <v>3.1</v>
      </c>
      <c r="H1612" s="1670">
        <f t="shared" si="249"/>
        <v>37729.64</v>
      </c>
      <c r="I1612" s="1670">
        <f t="shared" si="250"/>
        <v>5517.0700000000006</v>
      </c>
      <c r="J1612" s="1669">
        <f t="shared" si="252"/>
        <v>43246.71</v>
      </c>
      <c r="K1612" s="1708"/>
      <c r="L1612" s="1721"/>
      <c r="M1612" s="1710" t="s">
        <v>1016</v>
      </c>
      <c r="N1612" s="1711" t="s">
        <v>659</v>
      </c>
    </row>
    <row r="1613" spans="1:14" s="1685" customFormat="1" ht="24" customHeight="1">
      <c r="A1613" s="1712"/>
      <c r="B1613" s="1673" t="s">
        <v>139</v>
      </c>
      <c r="C1613" s="1674" t="s">
        <v>200</v>
      </c>
      <c r="D1613" s="1675">
        <f>SUM(D1608:D1612)*0.03</f>
        <v>1266.048</v>
      </c>
      <c r="E1613" s="1676" t="s">
        <v>87</v>
      </c>
      <c r="F1613" s="1677">
        <v>25.83</v>
      </c>
      <c r="G1613" s="1677">
        <v>0</v>
      </c>
      <c r="H1613" s="1669">
        <f t="shared" si="249"/>
        <v>32702.019839999997</v>
      </c>
      <c r="I1613" s="1669">
        <f t="shared" si="250"/>
        <v>0</v>
      </c>
      <c r="J1613" s="1678">
        <f t="shared" si="252"/>
        <v>32702.019839999997</v>
      </c>
      <c r="K1613" s="1708"/>
      <c r="L1613" s="1721"/>
      <c r="M1613" s="1710" t="s">
        <v>1019</v>
      </c>
      <c r="N1613" s="1711"/>
    </row>
    <row r="1614" spans="1:14" s="1685" customFormat="1" ht="24" customHeight="1">
      <c r="A1614" s="1712"/>
      <c r="B1614" s="2368" t="s">
        <v>247</v>
      </c>
      <c r="C1614" s="2370"/>
      <c r="D1614" s="1675"/>
      <c r="E1614" s="1676"/>
      <c r="F1614" s="1669"/>
      <c r="G1614" s="1669"/>
      <c r="H1614" s="1669"/>
      <c r="I1614" s="1669"/>
      <c r="J1614" s="1678"/>
      <c r="K1614" s="1708"/>
      <c r="L1614" s="1721"/>
      <c r="M1614" s="1711"/>
      <c r="N1614" s="1711"/>
    </row>
    <row r="1615" spans="1:14" ht="24" customHeight="1">
      <c r="A1615" s="1712"/>
      <c r="B1615" s="2368" t="s">
        <v>415</v>
      </c>
      <c r="C1615" s="2370"/>
      <c r="D1615" s="1675"/>
      <c r="E1615" s="1676"/>
      <c r="F1615" s="1669"/>
      <c r="G1615" s="1669"/>
      <c r="H1615" s="1669"/>
      <c r="I1615" s="1669"/>
      <c r="J1615" s="1678"/>
      <c r="K1615" s="1708"/>
      <c r="L1615" s="1721"/>
      <c r="M1615" s="1711"/>
      <c r="N1615" s="1711"/>
    </row>
    <row r="1616" spans="1:14" ht="24" customHeight="1">
      <c r="A1616" s="1702"/>
      <c r="B1616" s="1703" t="s">
        <v>139</v>
      </c>
      <c r="C1616" s="1743" t="s">
        <v>228</v>
      </c>
      <c r="D1616" s="1705">
        <v>66.2</v>
      </c>
      <c r="E1616" s="1706" t="s">
        <v>85</v>
      </c>
      <c r="F1616" s="1742">
        <v>2679.9</v>
      </c>
      <c r="G1616" s="1742">
        <v>519</v>
      </c>
      <c r="H1616" s="1707">
        <f t="shared" ref="H1616:H1629" si="253">F1616*D1616</f>
        <v>177409.38</v>
      </c>
      <c r="I1616" s="1707">
        <f t="shared" ref="I1616:I1629" si="254">G1616*D1616</f>
        <v>34357.800000000003</v>
      </c>
      <c r="J1616" s="1669">
        <f t="shared" ref="J1616:J1629" si="255">SUM(H1616:I1616)</f>
        <v>211767.18</v>
      </c>
      <c r="K1616" s="1708"/>
      <c r="L1616" s="1721"/>
      <c r="M1616" s="1710" t="s">
        <v>1016</v>
      </c>
      <c r="N1616" s="1711" t="s">
        <v>659</v>
      </c>
    </row>
    <row r="1617" spans="1:14" ht="24" customHeight="1">
      <c r="A1617" s="1780"/>
      <c r="B1617" s="1780"/>
      <c r="C1617" s="1827" t="s">
        <v>133</v>
      </c>
      <c r="D1617" s="2365"/>
      <c r="E1617" s="2365"/>
      <c r="F1617" s="2365"/>
      <c r="G1617" s="2365"/>
      <c r="H1617" s="2365"/>
      <c r="I1617" s="2365"/>
      <c r="J1617" s="2365"/>
      <c r="K1617" s="2365"/>
      <c r="L1617" s="1721"/>
      <c r="M1617" s="1710"/>
      <c r="N1617" s="1711"/>
    </row>
    <row r="1618" spans="1:14" ht="24" customHeight="1">
      <c r="A1618" s="1780"/>
      <c r="B1618" s="2366" t="s">
        <v>1769</v>
      </c>
      <c r="C1618" s="2366"/>
      <c r="D1618" s="1828"/>
      <c r="E1618" s="1769"/>
      <c r="F1618" s="1828"/>
      <c r="G1618" s="1828" t="s">
        <v>134</v>
      </c>
      <c r="H1618" s="1828"/>
      <c r="I1618" s="1828"/>
      <c r="J1618" s="1828"/>
      <c r="K1618" s="1828"/>
      <c r="L1618" s="1721"/>
      <c r="M1618" s="1710"/>
      <c r="N1618" s="1711"/>
    </row>
    <row r="1619" spans="1:14" ht="24" customHeight="1">
      <c r="A1619" s="1780"/>
      <c r="B1619" s="2367" t="s">
        <v>1970</v>
      </c>
      <c r="C1619" s="2367"/>
      <c r="D1619" s="1831"/>
      <c r="E1619" s="1832"/>
      <c r="F1619" s="1833"/>
      <c r="G1619" s="1833" t="s">
        <v>1971</v>
      </c>
      <c r="H1619" s="1833"/>
      <c r="I1619" s="1833"/>
      <c r="J1619" s="1833"/>
      <c r="K1619" s="1833"/>
      <c r="L1619" s="1721"/>
      <c r="M1619" s="1710"/>
      <c r="N1619" s="1711"/>
    </row>
    <row r="1620" spans="1:14" ht="24" customHeight="1">
      <c r="A1620" s="1830"/>
      <c r="B1620" s="1828" t="s">
        <v>2031</v>
      </c>
      <c r="C1620" s="1830"/>
      <c r="D1620" s="1830"/>
      <c r="E1620" s="1830"/>
      <c r="F1620" s="1830"/>
      <c r="G1620" s="1828" t="s">
        <v>2031</v>
      </c>
      <c r="H1620" s="1830"/>
      <c r="I1620" s="1830"/>
      <c r="J1620" s="1830"/>
      <c r="K1620" s="1830"/>
      <c r="L1620" s="1721"/>
      <c r="M1620" s="1710"/>
      <c r="N1620" s="1711"/>
    </row>
    <row r="1621" spans="1:14" ht="24" customHeight="1">
      <c r="B1621" s="1721" t="s">
        <v>1984</v>
      </c>
      <c r="C1621" s="1830"/>
      <c r="D1621" s="1685"/>
      <c r="E1621" s="1685"/>
      <c r="G1621" s="1721" t="s">
        <v>1985</v>
      </c>
      <c r="H1621" s="1685"/>
      <c r="I1621" s="1685"/>
      <c r="J1621" s="1685"/>
      <c r="K1621" s="1685"/>
      <c r="L1621" s="1721"/>
      <c r="M1621" s="1710"/>
      <c r="N1621" s="1711"/>
    </row>
    <row r="1622" spans="1:14" ht="24" customHeight="1">
      <c r="B1622" s="1828" t="s">
        <v>670</v>
      </c>
      <c r="L1622" s="1721"/>
      <c r="M1622" s="1710"/>
      <c r="N1622" s="1711"/>
    </row>
    <row r="1623" spans="1:14" ht="24" customHeight="1">
      <c r="B1623" s="1721" t="s">
        <v>1972</v>
      </c>
      <c r="L1623" s="1721"/>
      <c r="M1623" s="1710"/>
      <c r="N1623" s="1711"/>
    </row>
    <row r="1624" spans="1:14" ht="24" customHeight="1">
      <c r="A1624" s="1712"/>
      <c r="B1624" s="2368" t="s">
        <v>226</v>
      </c>
      <c r="C1624" s="2370"/>
      <c r="D1624" s="1675">
        <v>361.9</v>
      </c>
      <c r="E1624" s="1676"/>
      <c r="F1624" s="1736"/>
      <c r="G1624" s="1736"/>
      <c r="H1624" s="1669"/>
      <c r="I1624" s="1669"/>
      <c r="J1624" s="1669"/>
      <c r="K1624" s="1708"/>
      <c r="L1624" s="1721"/>
      <c r="M1624" s="1711"/>
      <c r="N1624" s="1711"/>
    </row>
    <row r="1625" spans="1:14" ht="24" customHeight="1">
      <c r="A1625" s="1712"/>
      <c r="B1625" s="1673" t="s">
        <v>139</v>
      </c>
      <c r="C1625" s="1674" t="s">
        <v>165</v>
      </c>
      <c r="D1625" s="1675">
        <f>D1624</f>
        <v>361.9</v>
      </c>
      <c r="E1625" s="1676" t="s">
        <v>86</v>
      </c>
      <c r="F1625" s="1736">
        <v>0</v>
      </c>
      <c r="G1625" s="1669">
        <v>121</v>
      </c>
      <c r="H1625" s="1669">
        <f t="shared" si="253"/>
        <v>0</v>
      </c>
      <c r="I1625" s="1669">
        <f t="shared" si="254"/>
        <v>43789.899999999994</v>
      </c>
      <c r="J1625" s="1669">
        <f t="shared" si="255"/>
        <v>43789.899999999994</v>
      </c>
      <c r="K1625" s="1708"/>
      <c r="L1625" s="1721"/>
      <c r="M1625" s="1710" t="s">
        <v>1017</v>
      </c>
      <c r="N1625" s="1711" t="s">
        <v>659</v>
      </c>
    </row>
    <row r="1626" spans="1:14" ht="24" customHeight="1">
      <c r="A1626" s="1712"/>
      <c r="B1626" s="1673" t="s">
        <v>139</v>
      </c>
      <c r="C1626" s="1674" t="s">
        <v>198</v>
      </c>
      <c r="D1626" s="1675">
        <f>D1624*0.5</f>
        <v>180.95</v>
      </c>
      <c r="E1626" s="1676" t="s">
        <v>164</v>
      </c>
      <c r="F1626" s="1736">
        <v>400</v>
      </c>
      <c r="G1626" s="1736">
        <v>0</v>
      </c>
      <c r="H1626" s="1669">
        <f t="shared" si="253"/>
        <v>72380</v>
      </c>
      <c r="I1626" s="1669">
        <f t="shared" si="254"/>
        <v>0</v>
      </c>
      <c r="J1626" s="1669">
        <f t="shared" si="255"/>
        <v>72380</v>
      </c>
      <c r="K1626" s="1708"/>
      <c r="L1626" s="1721"/>
      <c r="M1626" s="1710" t="s">
        <v>1018</v>
      </c>
      <c r="N1626" s="1711"/>
    </row>
    <row r="1627" spans="1:14" ht="24" customHeight="1">
      <c r="A1627" s="1712"/>
      <c r="B1627" s="1673" t="s">
        <v>139</v>
      </c>
      <c r="C1627" s="1674" t="s">
        <v>166</v>
      </c>
      <c r="D1627" s="1675">
        <f>D1626*0.3</f>
        <v>54.284999999999997</v>
      </c>
      <c r="E1627" s="1676" t="s">
        <v>164</v>
      </c>
      <c r="F1627" s="1736">
        <v>400</v>
      </c>
      <c r="G1627" s="1736">
        <v>0</v>
      </c>
      <c r="H1627" s="1669">
        <f t="shared" si="253"/>
        <v>21714</v>
      </c>
      <c r="I1627" s="1669">
        <f t="shared" si="254"/>
        <v>0</v>
      </c>
      <c r="J1627" s="1669">
        <f t="shared" si="255"/>
        <v>21714</v>
      </c>
      <c r="K1627" s="1708"/>
      <c r="L1627" s="1721"/>
      <c r="M1627" s="1710" t="s">
        <v>1018</v>
      </c>
      <c r="N1627" s="1685"/>
    </row>
    <row r="1628" spans="1:14" ht="24" customHeight="1">
      <c r="A1628" s="1712"/>
      <c r="B1628" s="1673" t="s">
        <v>139</v>
      </c>
      <c r="C1628" s="1674" t="s">
        <v>163</v>
      </c>
      <c r="D1628" s="1675">
        <f>D1624</f>
        <v>361.9</v>
      </c>
      <c r="E1628" s="1676" t="s">
        <v>83</v>
      </c>
      <c r="F1628" s="1736">
        <v>28</v>
      </c>
      <c r="G1628" s="1736">
        <v>0</v>
      </c>
      <c r="H1628" s="1669">
        <f t="shared" si="253"/>
        <v>10133.199999999999</v>
      </c>
      <c r="I1628" s="1669">
        <f t="shared" si="254"/>
        <v>0</v>
      </c>
      <c r="J1628" s="1669">
        <f t="shared" si="255"/>
        <v>10133.199999999999</v>
      </c>
      <c r="K1628" s="1708"/>
      <c r="L1628" s="1721"/>
      <c r="M1628" s="1710" t="s">
        <v>1018</v>
      </c>
      <c r="N1628" s="1685"/>
    </row>
    <row r="1629" spans="1:14" ht="24" customHeight="1">
      <c r="A1629" s="1712"/>
      <c r="B1629" s="1673" t="s">
        <v>139</v>
      </c>
      <c r="C1629" s="1674" t="s">
        <v>1781</v>
      </c>
      <c r="D1629" s="1675">
        <f>D1624*0.25</f>
        <v>90.474999999999994</v>
      </c>
      <c r="E1629" s="1676" t="s">
        <v>87</v>
      </c>
      <c r="F1629" s="1736">
        <v>23.89</v>
      </c>
      <c r="G1629" s="1736">
        <v>0</v>
      </c>
      <c r="H1629" s="1669">
        <f t="shared" si="253"/>
        <v>2161.4477499999998</v>
      </c>
      <c r="I1629" s="1669">
        <f t="shared" si="254"/>
        <v>0</v>
      </c>
      <c r="J1629" s="1669">
        <f t="shared" si="255"/>
        <v>2161.4477499999998</v>
      </c>
      <c r="K1629" s="1708"/>
      <c r="L1629" s="1721"/>
      <c r="M1629" s="1710" t="s">
        <v>660</v>
      </c>
      <c r="N1629" s="1685"/>
    </row>
    <row r="1630" spans="1:14" ht="24" customHeight="1">
      <c r="A1630" s="1712"/>
      <c r="B1630" s="2368" t="s">
        <v>248</v>
      </c>
      <c r="C1630" s="2370"/>
      <c r="D1630" s="1675"/>
      <c r="E1630" s="1676"/>
      <c r="F1630" s="1669"/>
      <c r="G1630" s="1669"/>
      <c r="H1630" s="1669"/>
      <c r="I1630" s="1669"/>
      <c r="J1630" s="1669"/>
      <c r="K1630" s="1708"/>
      <c r="L1630" s="1721"/>
      <c r="M1630" s="1711"/>
      <c r="N1630" s="1711"/>
    </row>
    <row r="1631" spans="1:14" ht="24" customHeight="1">
      <c r="A1631" s="1664"/>
      <c r="B1631" s="1665" t="s">
        <v>139</v>
      </c>
      <c r="C1631" s="1666" t="s">
        <v>88</v>
      </c>
      <c r="D1631" s="1667">
        <v>1868.1</v>
      </c>
      <c r="E1631" s="1668" t="s">
        <v>87</v>
      </c>
      <c r="F1631" s="1744">
        <v>21.4</v>
      </c>
      <c r="G1631" s="1744">
        <v>4.4000000000000004</v>
      </c>
      <c r="H1631" s="1670">
        <f>F1631*D1631</f>
        <v>39977.339999999997</v>
      </c>
      <c r="I1631" s="1670">
        <f>G1631*D1631</f>
        <v>8219.64</v>
      </c>
      <c r="J1631" s="1670">
        <f>SUM(H1631:I1631)</f>
        <v>48196.979999999996</v>
      </c>
      <c r="K1631" s="1746"/>
      <c r="L1631" s="1721"/>
      <c r="M1631" s="1710" t="s">
        <v>1016</v>
      </c>
      <c r="N1631" s="1711" t="s">
        <v>659</v>
      </c>
    </row>
    <row r="1632" spans="1:14" ht="24" customHeight="1">
      <c r="A1632" s="1712"/>
      <c r="B1632" s="1673" t="s">
        <v>139</v>
      </c>
      <c r="C1632" s="1674" t="s">
        <v>1014</v>
      </c>
      <c r="D1632" s="1675">
        <v>8946.4</v>
      </c>
      <c r="E1632" s="1676" t="s">
        <v>87</v>
      </c>
      <c r="F1632" s="1677">
        <v>21.2</v>
      </c>
      <c r="G1632" s="1677">
        <v>3.1</v>
      </c>
      <c r="H1632" s="1669">
        <f>F1632*D1632</f>
        <v>189663.68</v>
      </c>
      <c r="I1632" s="1669">
        <f>G1632*D1632</f>
        <v>27733.84</v>
      </c>
      <c r="J1632" s="1669">
        <f>SUM(H1632:I1632)</f>
        <v>217397.52</v>
      </c>
      <c r="K1632" s="1708"/>
      <c r="L1632" s="1721"/>
      <c r="M1632" s="1710" t="s">
        <v>1016</v>
      </c>
      <c r="N1632" s="1711" t="s">
        <v>659</v>
      </c>
    </row>
    <row r="1633" spans="1:14" ht="24" customHeight="1">
      <c r="A1633" s="1712"/>
      <c r="B1633" s="1673" t="s">
        <v>139</v>
      </c>
      <c r="C1633" s="1674" t="s">
        <v>200</v>
      </c>
      <c r="D1633" s="1675">
        <f>SUM(D1631:D1632)*0.03</f>
        <v>324.435</v>
      </c>
      <c r="E1633" s="1676" t="s">
        <v>87</v>
      </c>
      <c r="F1633" s="1677">
        <v>25.83</v>
      </c>
      <c r="G1633" s="1677">
        <v>0</v>
      </c>
      <c r="H1633" s="1669">
        <f>F1633*D1633</f>
        <v>8380.1560499999996</v>
      </c>
      <c r="I1633" s="1669">
        <f>G1633*D1633</f>
        <v>0</v>
      </c>
      <c r="J1633" s="1669">
        <f>SUM(H1633:I1633)</f>
        <v>8380.1560499999996</v>
      </c>
      <c r="K1633" s="1708"/>
      <c r="L1633" s="1721"/>
      <c r="M1633" s="1710" t="s">
        <v>1019</v>
      </c>
      <c r="N1633" s="1711"/>
    </row>
    <row r="1634" spans="1:14" ht="24" customHeight="1">
      <c r="A1634" s="1712"/>
      <c r="B1634" s="2368" t="s">
        <v>250</v>
      </c>
      <c r="C1634" s="2370"/>
      <c r="D1634" s="1675"/>
      <c r="E1634" s="1676"/>
      <c r="F1634" s="1669"/>
      <c r="G1634" s="1669"/>
      <c r="H1634" s="1669"/>
      <c r="I1634" s="1669"/>
      <c r="J1634" s="1669"/>
      <c r="K1634" s="1708"/>
      <c r="L1634" s="1721"/>
      <c r="M1634" s="1711"/>
      <c r="N1634" s="1711"/>
    </row>
    <row r="1635" spans="1:14" ht="24" customHeight="1">
      <c r="A1635" s="1712"/>
      <c r="B1635" s="2368" t="s">
        <v>422</v>
      </c>
      <c r="C1635" s="2370"/>
      <c r="D1635" s="1675"/>
      <c r="E1635" s="1676"/>
      <c r="F1635" s="1669"/>
      <c r="G1635" s="1669"/>
      <c r="H1635" s="1669"/>
      <c r="I1635" s="1669"/>
      <c r="J1635" s="1669"/>
      <c r="K1635" s="1708"/>
      <c r="L1635" s="1721"/>
      <c r="M1635" s="1711"/>
      <c r="N1635" s="1711"/>
    </row>
    <row r="1636" spans="1:14" ht="24" customHeight="1">
      <c r="A1636" s="1712"/>
      <c r="B1636" s="1673" t="s">
        <v>139</v>
      </c>
      <c r="C1636" s="1674" t="s">
        <v>228</v>
      </c>
      <c r="D1636" s="1675">
        <v>2.6</v>
      </c>
      <c r="E1636" s="1676" t="s">
        <v>85</v>
      </c>
      <c r="F1636" s="1736">
        <v>2679.9</v>
      </c>
      <c r="G1636" s="1736">
        <v>519</v>
      </c>
      <c r="H1636" s="1669">
        <f>F1636*D1636</f>
        <v>6967.7400000000007</v>
      </c>
      <c r="I1636" s="1669">
        <f>G1636*D1636</f>
        <v>1349.4</v>
      </c>
      <c r="J1636" s="1669">
        <f>SUM(H1636:I1636)</f>
        <v>8317.1400000000012</v>
      </c>
      <c r="K1636" s="1708"/>
      <c r="L1636" s="1721"/>
      <c r="M1636" s="1710" t="s">
        <v>1016</v>
      </c>
      <c r="N1636" s="1711" t="s">
        <v>659</v>
      </c>
    </row>
    <row r="1637" spans="1:14" ht="24" customHeight="1">
      <c r="A1637" s="1712"/>
      <c r="B1637" s="2368" t="s">
        <v>227</v>
      </c>
      <c r="C1637" s="2370"/>
      <c r="D1637" s="1675">
        <v>28.2</v>
      </c>
      <c r="E1637" s="1676"/>
      <c r="F1637" s="1669"/>
      <c r="G1637" s="1669"/>
      <c r="H1637" s="1669"/>
      <c r="I1637" s="1669"/>
      <c r="J1637" s="1669"/>
      <c r="K1637" s="1708"/>
      <c r="L1637" s="1721"/>
      <c r="M1637" s="1711"/>
      <c r="N1637" s="1711"/>
    </row>
    <row r="1638" spans="1:14" ht="24" customHeight="1">
      <c r="A1638" s="1712"/>
      <c r="B1638" s="1673" t="s">
        <v>139</v>
      </c>
      <c r="C1638" s="1674" t="s">
        <v>165</v>
      </c>
      <c r="D1638" s="1675">
        <f>D1637</f>
        <v>28.2</v>
      </c>
      <c r="E1638" s="1676" t="s">
        <v>86</v>
      </c>
      <c r="F1638" s="1669"/>
      <c r="G1638" s="1669">
        <v>121</v>
      </c>
      <c r="H1638" s="1669">
        <f t="shared" ref="H1638:H1648" si="256">F1638*D1638</f>
        <v>0</v>
      </c>
      <c r="I1638" s="1669">
        <f t="shared" ref="I1638:I1648" si="257">G1638*D1638</f>
        <v>3412.2</v>
      </c>
      <c r="J1638" s="1669">
        <f t="shared" ref="J1638:J1648" si="258">SUM(H1638:I1638)</f>
        <v>3412.2</v>
      </c>
      <c r="K1638" s="1708"/>
      <c r="L1638" s="1721"/>
      <c r="M1638" s="1710" t="s">
        <v>1017</v>
      </c>
      <c r="N1638" s="1711" t="s">
        <v>659</v>
      </c>
    </row>
    <row r="1639" spans="1:14" ht="24" customHeight="1">
      <c r="A1639" s="1712"/>
      <c r="B1639" s="1673" t="s">
        <v>139</v>
      </c>
      <c r="C1639" s="1674" t="s">
        <v>198</v>
      </c>
      <c r="D1639" s="1675">
        <f>D1637*0.5</f>
        <v>14.1</v>
      </c>
      <c r="E1639" s="1676" t="s">
        <v>164</v>
      </c>
      <c r="F1639" s="1669">
        <v>400</v>
      </c>
      <c r="G1639" s="1669"/>
      <c r="H1639" s="1669">
        <f t="shared" si="256"/>
        <v>5640</v>
      </c>
      <c r="I1639" s="1669">
        <f t="shared" si="257"/>
        <v>0</v>
      </c>
      <c r="J1639" s="1669">
        <f t="shared" si="258"/>
        <v>5640</v>
      </c>
      <c r="K1639" s="1708"/>
      <c r="L1639" s="1721"/>
      <c r="M1639" s="1710" t="s">
        <v>1018</v>
      </c>
      <c r="N1639" s="1711"/>
    </row>
    <row r="1640" spans="1:14" ht="24" customHeight="1">
      <c r="A1640" s="1712"/>
      <c r="B1640" s="1673" t="s">
        <v>139</v>
      </c>
      <c r="C1640" s="1674" t="s">
        <v>166</v>
      </c>
      <c r="D1640" s="1675">
        <f>D1639*0.3</f>
        <v>4.2299999999999995</v>
      </c>
      <c r="E1640" s="1676" t="s">
        <v>164</v>
      </c>
      <c r="F1640" s="1669">
        <v>400</v>
      </c>
      <c r="G1640" s="1669">
        <v>0</v>
      </c>
      <c r="H1640" s="1669">
        <f t="shared" si="256"/>
        <v>1691.9999999999998</v>
      </c>
      <c r="I1640" s="1669">
        <f t="shared" si="257"/>
        <v>0</v>
      </c>
      <c r="J1640" s="1669">
        <f t="shared" si="258"/>
        <v>1691.9999999999998</v>
      </c>
      <c r="K1640" s="1708"/>
      <c r="L1640" s="1721"/>
      <c r="M1640" s="1710" t="s">
        <v>1018</v>
      </c>
      <c r="N1640" s="1711"/>
    </row>
    <row r="1641" spans="1:14" ht="24" customHeight="1">
      <c r="A1641" s="1712"/>
      <c r="B1641" s="1673" t="s">
        <v>139</v>
      </c>
      <c r="C1641" s="1674" t="s">
        <v>252</v>
      </c>
      <c r="D1641" s="1675">
        <v>34</v>
      </c>
      <c r="E1641" s="1676" t="s">
        <v>83</v>
      </c>
      <c r="F1641" s="1669">
        <v>28</v>
      </c>
      <c r="G1641" s="1669">
        <v>0</v>
      </c>
      <c r="H1641" s="1669">
        <f t="shared" si="256"/>
        <v>952</v>
      </c>
      <c r="I1641" s="1669">
        <f t="shared" si="257"/>
        <v>0</v>
      </c>
      <c r="J1641" s="1669">
        <f t="shared" si="258"/>
        <v>952</v>
      </c>
      <c r="K1641" s="1708"/>
      <c r="L1641" s="1721"/>
      <c r="M1641" s="1710" t="s">
        <v>1018</v>
      </c>
      <c r="N1641" s="1711"/>
    </row>
    <row r="1642" spans="1:14" ht="24" customHeight="1">
      <c r="A1642" s="1702"/>
      <c r="B1642" s="1703" t="s">
        <v>139</v>
      </c>
      <c r="C1642" s="1743" t="s">
        <v>1781</v>
      </c>
      <c r="D1642" s="1705">
        <f>D1637*0.25</f>
        <v>7.05</v>
      </c>
      <c r="E1642" s="1706" t="s">
        <v>87</v>
      </c>
      <c r="F1642" s="1742">
        <v>23.89</v>
      </c>
      <c r="G1642" s="1742">
        <v>0</v>
      </c>
      <c r="H1642" s="1707">
        <f t="shared" si="256"/>
        <v>168.42449999999999</v>
      </c>
      <c r="I1642" s="1707">
        <f t="shared" si="257"/>
        <v>0</v>
      </c>
      <c r="J1642" s="1707">
        <f t="shared" si="258"/>
        <v>168.42449999999999</v>
      </c>
      <c r="K1642" s="1709"/>
      <c r="L1642" s="1721"/>
      <c r="M1642" s="1710" t="s">
        <v>660</v>
      </c>
      <c r="N1642" s="1711"/>
    </row>
    <row r="1643" spans="1:14" ht="24" customHeight="1">
      <c r="A1643" s="1712"/>
      <c r="B1643" s="2368" t="s">
        <v>251</v>
      </c>
      <c r="C1643" s="2370"/>
      <c r="D1643" s="1675"/>
      <c r="E1643" s="1676"/>
      <c r="F1643" s="1669"/>
      <c r="G1643" s="1669"/>
      <c r="H1643" s="1669">
        <f t="shared" si="256"/>
        <v>0</v>
      </c>
      <c r="I1643" s="1669">
        <f t="shared" si="257"/>
        <v>0</v>
      </c>
      <c r="J1643" s="1669">
        <f t="shared" si="258"/>
        <v>0</v>
      </c>
      <c r="K1643" s="1708"/>
      <c r="L1643" s="1721"/>
      <c r="M1643" s="1711"/>
      <c r="N1643" s="1711"/>
    </row>
    <row r="1644" spans="1:14" ht="24" customHeight="1">
      <c r="A1644" s="1712"/>
      <c r="B1644" s="1673" t="s">
        <v>139</v>
      </c>
      <c r="C1644" s="1674" t="s">
        <v>88</v>
      </c>
      <c r="D1644" s="1675">
        <v>144.5</v>
      </c>
      <c r="E1644" s="1676" t="s">
        <v>87</v>
      </c>
      <c r="F1644" s="1677">
        <v>21.4</v>
      </c>
      <c r="G1644" s="1677">
        <v>4.4000000000000004</v>
      </c>
      <c r="H1644" s="1669">
        <f t="shared" si="256"/>
        <v>3092.2999999999997</v>
      </c>
      <c r="I1644" s="1669">
        <f t="shared" si="257"/>
        <v>635.80000000000007</v>
      </c>
      <c r="J1644" s="1669">
        <f t="shared" si="258"/>
        <v>3728.1</v>
      </c>
      <c r="K1644" s="1708"/>
      <c r="L1644" s="1721"/>
      <c r="M1644" s="1710" t="s">
        <v>1016</v>
      </c>
      <c r="N1644" s="1711" t="s">
        <v>659</v>
      </c>
    </row>
    <row r="1645" spans="1:14" ht="24" customHeight="1">
      <c r="A1645" s="1712"/>
      <c r="B1645" s="1673" t="s">
        <v>139</v>
      </c>
      <c r="C1645" s="1674" t="s">
        <v>89</v>
      </c>
      <c r="D1645" s="1675">
        <v>43.5</v>
      </c>
      <c r="E1645" s="1676" t="s">
        <v>87</v>
      </c>
      <c r="F1645" s="1677">
        <v>21.4</v>
      </c>
      <c r="G1645" s="1677">
        <v>3.6</v>
      </c>
      <c r="H1645" s="1669">
        <f t="shared" si="256"/>
        <v>930.9</v>
      </c>
      <c r="I1645" s="1669">
        <f t="shared" si="257"/>
        <v>156.6</v>
      </c>
      <c r="J1645" s="1669">
        <f>SUM(H1645:I1645)</f>
        <v>1087.5</v>
      </c>
      <c r="K1645" s="1708"/>
      <c r="L1645" s="1721"/>
      <c r="M1645" s="1710" t="s">
        <v>1016</v>
      </c>
      <c r="N1645" s="1711" t="s">
        <v>659</v>
      </c>
    </row>
    <row r="1646" spans="1:14" ht="24" customHeight="1">
      <c r="A1646" s="1712"/>
      <c r="B1646" s="1673" t="s">
        <v>139</v>
      </c>
      <c r="C1646" s="1674" t="s">
        <v>90</v>
      </c>
      <c r="D1646" s="1675">
        <v>501.8</v>
      </c>
      <c r="E1646" s="1676" t="s">
        <v>87</v>
      </c>
      <c r="F1646" s="1677">
        <v>21.2</v>
      </c>
      <c r="G1646" s="1677">
        <v>3.6</v>
      </c>
      <c r="H1646" s="1669">
        <f t="shared" si="256"/>
        <v>10638.16</v>
      </c>
      <c r="I1646" s="1669">
        <f t="shared" si="257"/>
        <v>1806.48</v>
      </c>
      <c r="J1646" s="1669">
        <f t="shared" si="258"/>
        <v>12444.64</v>
      </c>
      <c r="K1646" s="1708"/>
      <c r="L1646" s="1721"/>
      <c r="M1646" s="1710" t="s">
        <v>1016</v>
      </c>
      <c r="N1646" s="1711" t="s">
        <v>659</v>
      </c>
    </row>
    <row r="1647" spans="1:14" ht="24" customHeight="1">
      <c r="A1647" s="1712"/>
      <c r="B1647" s="1673" t="s">
        <v>139</v>
      </c>
      <c r="C1647" s="1674" t="s">
        <v>91</v>
      </c>
      <c r="D1647" s="1675">
        <v>165.3</v>
      </c>
      <c r="E1647" s="1676" t="s">
        <v>87</v>
      </c>
      <c r="F1647" s="1677">
        <v>21.2</v>
      </c>
      <c r="G1647" s="1677">
        <v>3.1</v>
      </c>
      <c r="H1647" s="1669">
        <f t="shared" si="256"/>
        <v>3504.36</v>
      </c>
      <c r="I1647" s="1669">
        <f t="shared" si="257"/>
        <v>512.43000000000006</v>
      </c>
      <c r="J1647" s="1669">
        <f>SUM(H1647:I1647)</f>
        <v>4016.79</v>
      </c>
      <c r="K1647" s="1708"/>
      <c r="L1647" s="1721"/>
      <c r="M1647" s="1710" t="s">
        <v>1016</v>
      </c>
      <c r="N1647" s="1711" t="s">
        <v>659</v>
      </c>
    </row>
    <row r="1648" spans="1:14" ht="24" customHeight="1">
      <c r="A1648" s="1712"/>
      <c r="B1648" s="1673" t="s">
        <v>139</v>
      </c>
      <c r="C1648" s="1674" t="s">
        <v>200</v>
      </c>
      <c r="D1648" s="1675">
        <f>SUM(D1644:D1647)*0.03</f>
        <v>25.652999999999995</v>
      </c>
      <c r="E1648" s="1676" t="s">
        <v>87</v>
      </c>
      <c r="F1648" s="1677">
        <v>25.83</v>
      </c>
      <c r="G1648" s="1677">
        <v>0</v>
      </c>
      <c r="H1648" s="1669">
        <f t="shared" si="256"/>
        <v>662.61698999999987</v>
      </c>
      <c r="I1648" s="1669">
        <f t="shared" si="257"/>
        <v>0</v>
      </c>
      <c r="J1648" s="1669">
        <f t="shared" si="258"/>
        <v>662.61698999999987</v>
      </c>
      <c r="K1648" s="1708"/>
      <c r="L1648" s="1721"/>
      <c r="M1648" s="1710" t="s">
        <v>1019</v>
      </c>
      <c r="N1648" s="1711"/>
    </row>
    <row r="1649" spans="1:14" ht="24" customHeight="1">
      <c r="A1649" s="1780"/>
      <c r="B1649" s="1780"/>
      <c r="C1649" s="1827" t="s">
        <v>133</v>
      </c>
      <c r="D1649" s="2365"/>
      <c r="E1649" s="2365"/>
      <c r="F1649" s="2365"/>
      <c r="G1649" s="2365"/>
      <c r="H1649" s="2365"/>
      <c r="I1649" s="2365"/>
      <c r="J1649" s="2365"/>
      <c r="K1649" s="2365"/>
      <c r="L1649" s="1721"/>
      <c r="M1649" s="1710"/>
      <c r="N1649" s="1711"/>
    </row>
    <row r="1650" spans="1:14" ht="24" customHeight="1">
      <c r="A1650" s="1780"/>
      <c r="B1650" s="2366" t="s">
        <v>1769</v>
      </c>
      <c r="C1650" s="2366"/>
      <c r="D1650" s="1828"/>
      <c r="E1650" s="1769"/>
      <c r="F1650" s="1828"/>
      <c r="G1650" s="1828" t="s">
        <v>134</v>
      </c>
      <c r="H1650" s="1828"/>
      <c r="I1650" s="1828"/>
      <c r="J1650" s="1828"/>
      <c r="K1650" s="1828"/>
      <c r="L1650" s="1721"/>
      <c r="M1650" s="1710"/>
      <c r="N1650" s="1711"/>
    </row>
    <row r="1651" spans="1:14" ht="24" customHeight="1">
      <c r="A1651" s="1780"/>
      <c r="B1651" s="2367" t="s">
        <v>1970</v>
      </c>
      <c r="C1651" s="2367"/>
      <c r="D1651" s="1831"/>
      <c r="E1651" s="1832"/>
      <c r="F1651" s="1833"/>
      <c r="G1651" s="1833" t="s">
        <v>1971</v>
      </c>
      <c r="H1651" s="1833"/>
      <c r="I1651" s="1833"/>
      <c r="J1651" s="1833"/>
      <c r="K1651" s="1833"/>
      <c r="L1651" s="1721"/>
      <c r="M1651" s="1710"/>
      <c r="N1651" s="1711"/>
    </row>
    <row r="1652" spans="1:14" ht="24" customHeight="1">
      <c r="A1652" s="1830"/>
      <c r="B1652" s="1828" t="s">
        <v>2031</v>
      </c>
      <c r="C1652" s="1830"/>
      <c r="D1652" s="1830"/>
      <c r="E1652" s="1830"/>
      <c r="F1652" s="1830"/>
      <c r="G1652" s="1828" t="s">
        <v>2031</v>
      </c>
      <c r="H1652" s="1830"/>
      <c r="I1652" s="1830"/>
      <c r="J1652" s="1830"/>
      <c r="K1652" s="1830"/>
      <c r="L1652" s="1721"/>
      <c r="M1652" s="1710"/>
      <c r="N1652" s="1711"/>
    </row>
    <row r="1653" spans="1:14" ht="24" customHeight="1">
      <c r="B1653" s="1721" t="s">
        <v>1984</v>
      </c>
      <c r="C1653" s="1830"/>
      <c r="D1653" s="1685"/>
      <c r="E1653" s="1685"/>
      <c r="G1653" s="1721" t="s">
        <v>1985</v>
      </c>
      <c r="H1653" s="1685"/>
      <c r="I1653" s="1685"/>
      <c r="J1653" s="1685"/>
      <c r="K1653" s="1685"/>
      <c r="L1653" s="1721"/>
      <c r="M1653" s="1710"/>
      <c r="N1653" s="1711"/>
    </row>
    <row r="1654" spans="1:14" ht="24" customHeight="1">
      <c r="B1654" s="1828" t="s">
        <v>670</v>
      </c>
      <c r="L1654" s="1721"/>
      <c r="M1654" s="1710"/>
      <c r="N1654" s="1711"/>
    </row>
    <row r="1655" spans="1:14" ht="24" customHeight="1">
      <c r="B1655" s="1721" t="s">
        <v>1972</v>
      </c>
      <c r="L1655" s="1721"/>
      <c r="M1655" s="1710"/>
      <c r="N1655" s="1711"/>
    </row>
    <row r="1656" spans="1:14" ht="24" customHeight="1">
      <c r="A1656" s="1712"/>
      <c r="B1656" s="2368" t="s">
        <v>249</v>
      </c>
      <c r="C1656" s="2370"/>
      <c r="D1656" s="1675"/>
      <c r="E1656" s="1676"/>
      <c r="F1656" s="1669"/>
      <c r="G1656" s="1669"/>
      <c r="H1656" s="1669"/>
      <c r="I1656" s="1669"/>
      <c r="J1656" s="1669"/>
      <c r="K1656" s="1708"/>
      <c r="L1656" s="1721"/>
      <c r="M1656" s="1711"/>
      <c r="N1656" s="1711"/>
    </row>
    <row r="1657" spans="1:14" ht="24" customHeight="1">
      <c r="A1657" s="1712"/>
      <c r="B1657" s="2368" t="s">
        <v>394</v>
      </c>
      <c r="C1657" s="2370"/>
      <c r="D1657" s="1675"/>
      <c r="E1657" s="1676"/>
      <c r="F1657" s="1669"/>
      <c r="G1657" s="1669"/>
      <c r="H1657" s="1669"/>
      <c r="I1657" s="1669"/>
      <c r="J1657" s="1669"/>
      <c r="K1657" s="1708"/>
      <c r="L1657" s="1721"/>
      <c r="M1657" s="1711"/>
      <c r="N1657" s="1711"/>
    </row>
    <row r="1658" spans="1:14" ht="24" customHeight="1">
      <c r="A1658" s="1712"/>
      <c r="B1658" s="2368" t="s">
        <v>416</v>
      </c>
      <c r="C1658" s="2370"/>
      <c r="D1658" s="1675"/>
      <c r="E1658" s="1676"/>
      <c r="F1658" s="1669"/>
      <c r="G1658" s="1669"/>
      <c r="H1658" s="1669"/>
      <c r="I1658" s="1669"/>
      <c r="J1658" s="1669"/>
      <c r="K1658" s="1708"/>
      <c r="L1658" s="1721"/>
      <c r="M1658" s="1711"/>
      <c r="N1658" s="1711"/>
    </row>
    <row r="1659" spans="1:14" ht="24" customHeight="1">
      <c r="A1659" s="1712"/>
      <c r="B1659" s="1673" t="s">
        <v>139</v>
      </c>
      <c r="C1659" s="1674" t="s">
        <v>228</v>
      </c>
      <c r="D1659" s="1675">
        <v>4.5</v>
      </c>
      <c r="E1659" s="1676" t="s">
        <v>85</v>
      </c>
      <c r="F1659" s="1736">
        <v>2679.9</v>
      </c>
      <c r="G1659" s="1736">
        <v>519</v>
      </c>
      <c r="H1659" s="1669">
        <f t="shared" ref="H1659:H1670" si="259">F1659*D1659</f>
        <v>12059.550000000001</v>
      </c>
      <c r="I1659" s="1669">
        <f t="shared" ref="I1659:I1670" si="260">G1659*D1659</f>
        <v>2335.5</v>
      </c>
      <c r="J1659" s="1669">
        <f t="shared" ref="J1659:J1665" si="261">SUM(H1659:I1659)</f>
        <v>14395.050000000001</v>
      </c>
      <c r="K1659" s="1708"/>
      <c r="L1659" s="1721"/>
      <c r="M1659" s="1710" t="s">
        <v>1016</v>
      </c>
      <c r="N1659" s="1711" t="s">
        <v>664</v>
      </c>
    </row>
    <row r="1660" spans="1:14" ht="24" customHeight="1">
      <c r="A1660" s="1712"/>
      <c r="B1660" s="2368" t="s">
        <v>418</v>
      </c>
      <c r="C1660" s="2370"/>
      <c r="D1660" s="1675">
        <v>22.5</v>
      </c>
      <c r="E1660" s="1676"/>
      <c r="F1660" s="1669"/>
      <c r="G1660" s="1669"/>
      <c r="H1660" s="1669"/>
      <c r="I1660" s="1669"/>
      <c r="J1660" s="1669"/>
      <c r="K1660" s="1708"/>
      <c r="L1660" s="1721"/>
      <c r="M1660" s="1711"/>
      <c r="N1660" s="1711"/>
    </row>
    <row r="1661" spans="1:14" ht="24" customHeight="1">
      <c r="A1661" s="1712"/>
      <c r="B1661" s="1673" t="s">
        <v>139</v>
      </c>
      <c r="C1661" s="1674" t="s">
        <v>165</v>
      </c>
      <c r="D1661" s="1675">
        <f>D1660</f>
        <v>22.5</v>
      </c>
      <c r="E1661" s="1676" t="s">
        <v>86</v>
      </c>
      <c r="F1661" s="1669"/>
      <c r="G1661" s="1669">
        <v>121</v>
      </c>
      <c r="H1661" s="1669">
        <f t="shared" si="259"/>
        <v>0</v>
      </c>
      <c r="I1661" s="1669">
        <f t="shared" si="260"/>
        <v>2722.5</v>
      </c>
      <c r="J1661" s="1669">
        <f t="shared" si="261"/>
        <v>2722.5</v>
      </c>
      <c r="K1661" s="1708"/>
      <c r="L1661" s="1721"/>
      <c r="M1661" s="1710" t="s">
        <v>1017</v>
      </c>
      <c r="N1661" s="1711" t="s">
        <v>664</v>
      </c>
    </row>
    <row r="1662" spans="1:14" ht="24" customHeight="1">
      <c r="A1662" s="1712"/>
      <c r="B1662" s="1673" t="s">
        <v>139</v>
      </c>
      <c r="C1662" s="1674" t="s">
        <v>198</v>
      </c>
      <c r="D1662" s="1675">
        <f>D1660*0.5</f>
        <v>11.25</v>
      </c>
      <c r="E1662" s="1676" t="s">
        <v>164</v>
      </c>
      <c r="F1662" s="1669">
        <v>400</v>
      </c>
      <c r="G1662" s="1669"/>
      <c r="H1662" s="1669">
        <f t="shared" si="259"/>
        <v>4500</v>
      </c>
      <c r="I1662" s="1669">
        <f t="shared" si="260"/>
        <v>0</v>
      </c>
      <c r="J1662" s="1669">
        <f t="shared" si="261"/>
        <v>4500</v>
      </c>
      <c r="K1662" s="1708"/>
      <c r="L1662" s="1721"/>
      <c r="M1662" s="1710" t="s">
        <v>1018</v>
      </c>
      <c r="N1662" s="1711"/>
    </row>
    <row r="1663" spans="1:14" ht="24" customHeight="1">
      <c r="A1663" s="1712"/>
      <c r="B1663" s="1673" t="s">
        <v>139</v>
      </c>
      <c r="C1663" s="1674" t="s">
        <v>166</v>
      </c>
      <c r="D1663" s="1675">
        <f>D1662*0.3</f>
        <v>3.375</v>
      </c>
      <c r="E1663" s="1676" t="s">
        <v>164</v>
      </c>
      <c r="F1663" s="1669">
        <v>400</v>
      </c>
      <c r="G1663" s="1669">
        <v>0</v>
      </c>
      <c r="H1663" s="1669">
        <f t="shared" si="259"/>
        <v>1350</v>
      </c>
      <c r="I1663" s="1669">
        <f t="shared" si="260"/>
        <v>0</v>
      </c>
      <c r="J1663" s="1669">
        <f t="shared" si="261"/>
        <v>1350</v>
      </c>
      <c r="K1663" s="1708"/>
      <c r="L1663" s="1721"/>
      <c r="M1663" s="1710" t="s">
        <v>1018</v>
      </c>
      <c r="N1663" s="1711"/>
    </row>
    <row r="1664" spans="1:14" ht="24" customHeight="1">
      <c r="A1664" s="1712"/>
      <c r="B1664" s="1673" t="s">
        <v>139</v>
      </c>
      <c r="C1664" s="1674" t="s">
        <v>163</v>
      </c>
      <c r="D1664" s="1675">
        <f>D1660</f>
        <v>22.5</v>
      </c>
      <c r="E1664" s="1676" t="s">
        <v>83</v>
      </c>
      <c r="F1664" s="1669">
        <v>28</v>
      </c>
      <c r="G1664" s="1669">
        <v>0</v>
      </c>
      <c r="H1664" s="1669">
        <f t="shared" si="259"/>
        <v>630</v>
      </c>
      <c r="I1664" s="1669">
        <f t="shared" si="260"/>
        <v>0</v>
      </c>
      <c r="J1664" s="1669">
        <f t="shared" si="261"/>
        <v>630</v>
      </c>
      <c r="K1664" s="1708"/>
      <c r="L1664" s="1721"/>
      <c r="M1664" s="1710" t="s">
        <v>1018</v>
      </c>
      <c r="N1664" s="1711"/>
    </row>
    <row r="1665" spans="1:14" ht="24" customHeight="1">
      <c r="A1665" s="1712"/>
      <c r="B1665" s="1673" t="s">
        <v>139</v>
      </c>
      <c r="C1665" s="1674" t="s">
        <v>1781</v>
      </c>
      <c r="D1665" s="1675">
        <f>D1660*0.25</f>
        <v>5.625</v>
      </c>
      <c r="E1665" s="1676" t="s">
        <v>87</v>
      </c>
      <c r="F1665" s="1736">
        <v>23.89</v>
      </c>
      <c r="G1665" s="1736">
        <v>0</v>
      </c>
      <c r="H1665" s="1669">
        <f t="shared" si="259"/>
        <v>134.38124999999999</v>
      </c>
      <c r="I1665" s="1669">
        <f t="shared" si="260"/>
        <v>0</v>
      </c>
      <c r="J1665" s="1669">
        <f t="shared" si="261"/>
        <v>134.38124999999999</v>
      </c>
      <c r="K1665" s="1708"/>
      <c r="L1665" s="1721"/>
      <c r="M1665" s="1710" t="s">
        <v>660</v>
      </c>
      <c r="N1665" s="1711"/>
    </row>
    <row r="1666" spans="1:14" ht="24" customHeight="1">
      <c r="A1666" s="1712"/>
      <c r="B1666" s="2368" t="s">
        <v>417</v>
      </c>
      <c r="C1666" s="2370"/>
      <c r="D1666" s="1675"/>
      <c r="E1666" s="1676"/>
      <c r="F1666" s="1669"/>
      <c r="G1666" s="1669"/>
      <c r="H1666" s="1669"/>
      <c r="I1666" s="1669"/>
      <c r="J1666" s="1669"/>
      <c r="K1666" s="1708"/>
      <c r="L1666" s="1721"/>
      <c r="M1666" s="1711"/>
      <c r="N1666" s="1711"/>
    </row>
    <row r="1667" spans="1:14" ht="24" customHeight="1">
      <c r="A1667" s="1712"/>
      <c r="B1667" s="1673" t="s">
        <v>139</v>
      </c>
      <c r="C1667" s="1674" t="s">
        <v>88</v>
      </c>
      <c r="D1667" s="1675">
        <v>168.6</v>
      </c>
      <c r="E1667" s="1676" t="s">
        <v>87</v>
      </c>
      <c r="F1667" s="1677">
        <v>21.4</v>
      </c>
      <c r="G1667" s="1677">
        <v>4.4000000000000004</v>
      </c>
      <c r="H1667" s="1669">
        <f t="shared" si="259"/>
        <v>3608.0399999999995</v>
      </c>
      <c r="I1667" s="1669">
        <f t="shared" si="260"/>
        <v>741.84</v>
      </c>
      <c r="J1667" s="1669">
        <f>SUM(H1667:I1667)</f>
        <v>4349.8799999999992</v>
      </c>
      <c r="K1667" s="1708"/>
      <c r="L1667" s="1721"/>
      <c r="M1667" s="1710" t="s">
        <v>1016</v>
      </c>
      <c r="N1667" s="1711" t="s">
        <v>659</v>
      </c>
    </row>
    <row r="1668" spans="1:14" ht="24" customHeight="1">
      <c r="A1668" s="1712"/>
      <c r="B1668" s="1673" t="s">
        <v>139</v>
      </c>
      <c r="C1668" s="1674" t="s">
        <v>89</v>
      </c>
      <c r="D1668" s="1675">
        <v>100.4</v>
      </c>
      <c r="E1668" s="1676" t="s">
        <v>87</v>
      </c>
      <c r="F1668" s="1677">
        <v>21.4</v>
      </c>
      <c r="G1668" s="1677">
        <v>3.6</v>
      </c>
      <c r="H1668" s="1669">
        <f t="shared" si="259"/>
        <v>2148.56</v>
      </c>
      <c r="I1668" s="1669">
        <f t="shared" si="260"/>
        <v>361.44000000000005</v>
      </c>
      <c r="J1668" s="1669">
        <f>SUM(H1668:I1668)</f>
        <v>2510</v>
      </c>
      <c r="K1668" s="1708"/>
      <c r="L1668" s="1721"/>
      <c r="M1668" s="1710" t="s">
        <v>1016</v>
      </c>
      <c r="N1668" s="1711" t="s">
        <v>659</v>
      </c>
    </row>
    <row r="1669" spans="1:14" ht="24" customHeight="1">
      <c r="A1669" s="1712"/>
      <c r="B1669" s="1673" t="s">
        <v>139</v>
      </c>
      <c r="C1669" s="1674" t="s">
        <v>90</v>
      </c>
      <c r="D1669" s="1675">
        <v>280</v>
      </c>
      <c r="E1669" s="1676" t="s">
        <v>87</v>
      </c>
      <c r="F1669" s="1677">
        <v>21.2</v>
      </c>
      <c r="G1669" s="1677">
        <v>3.6</v>
      </c>
      <c r="H1669" s="1669">
        <f t="shared" si="259"/>
        <v>5936</v>
      </c>
      <c r="I1669" s="1669">
        <f t="shared" si="260"/>
        <v>1008</v>
      </c>
      <c r="J1669" s="1669">
        <f>SUM(H1669:I1669)</f>
        <v>6944</v>
      </c>
      <c r="K1669" s="1708"/>
      <c r="L1669" s="1721"/>
      <c r="M1669" s="1710" t="s">
        <v>1016</v>
      </c>
      <c r="N1669" s="1711" t="s">
        <v>659</v>
      </c>
    </row>
    <row r="1670" spans="1:14" ht="24" customHeight="1">
      <c r="A1670" s="1712"/>
      <c r="B1670" s="1673" t="s">
        <v>139</v>
      </c>
      <c r="C1670" s="1674" t="s">
        <v>200</v>
      </c>
      <c r="D1670" s="1675">
        <f>SUM(D1667:D1669)*0.03</f>
        <v>16.47</v>
      </c>
      <c r="E1670" s="1676" t="s">
        <v>87</v>
      </c>
      <c r="F1670" s="1677">
        <v>25.83</v>
      </c>
      <c r="G1670" s="1677">
        <v>0</v>
      </c>
      <c r="H1670" s="1669">
        <f t="shared" si="259"/>
        <v>425.42009999999993</v>
      </c>
      <c r="I1670" s="1669">
        <f t="shared" si="260"/>
        <v>0</v>
      </c>
      <c r="J1670" s="1669">
        <f>SUM(H1670:I1670)</f>
        <v>425.42009999999993</v>
      </c>
      <c r="K1670" s="1708"/>
      <c r="L1670" s="1721"/>
      <c r="M1670" s="1710" t="s">
        <v>1019</v>
      </c>
      <c r="N1670" s="1711"/>
    </row>
    <row r="1671" spans="1:14" ht="24" customHeight="1">
      <c r="A1671" s="1712"/>
      <c r="B1671" s="1748" t="s">
        <v>395</v>
      </c>
      <c r="C1671" s="1674"/>
      <c r="D1671" s="1675"/>
      <c r="E1671" s="1676"/>
      <c r="F1671" s="1677"/>
      <c r="G1671" s="1677"/>
      <c r="H1671" s="1669"/>
      <c r="I1671" s="1669"/>
      <c r="J1671" s="1669"/>
      <c r="K1671" s="1708"/>
      <c r="L1671" s="1721"/>
      <c r="M1671" s="1710"/>
      <c r="N1671" s="1711"/>
    </row>
    <row r="1672" spans="1:14" ht="24" customHeight="1">
      <c r="A1672" s="1664"/>
      <c r="B1672" s="2371" t="s">
        <v>420</v>
      </c>
      <c r="C1672" s="2372"/>
      <c r="D1672" s="1667"/>
      <c r="E1672" s="1668"/>
      <c r="F1672" s="1670"/>
      <c r="G1672" s="1670"/>
      <c r="H1672" s="1670"/>
      <c r="I1672" s="1670"/>
      <c r="J1672" s="1670"/>
      <c r="K1672" s="1746"/>
      <c r="L1672" s="1721"/>
      <c r="M1672" s="1711"/>
      <c r="N1672" s="1711"/>
    </row>
    <row r="1673" spans="1:14" ht="24" customHeight="1">
      <c r="A1673" s="1712"/>
      <c r="B1673" s="1673" t="s">
        <v>139</v>
      </c>
      <c r="C1673" s="1674" t="s">
        <v>228</v>
      </c>
      <c r="D1673" s="1675">
        <v>12.4</v>
      </c>
      <c r="E1673" s="1676" t="s">
        <v>85</v>
      </c>
      <c r="F1673" s="1736">
        <v>2679.9</v>
      </c>
      <c r="G1673" s="1736">
        <v>519</v>
      </c>
      <c r="H1673" s="1669">
        <f t="shared" ref="H1673:H1691" si="262">F1673*D1673</f>
        <v>33230.76</v>
      </c>
      <c r="I1673" s="1669">
        <f t="shared" ref="I1673:I1691" si="263">G1673*D1673</f>
        <v>6435.6</v>
      </c>
      <c r="J1673" s="1669">
        <f t="shared" ref="J1673:J1679" si="264">SUM(H1673:I1673)</f>
        <v>39666.36</v>
      </c>
      <c r="K1673" s="1708"/>
      <c r="L1673" s="1721"/>
      <c r="M1673" s="1710" t="s">
        <v>1016</v>
      </c>
      <c r="N1673" s="1711" t="s">
        <v>664</v>
      </c>
    </row>
    <row r="1674" spans="1:14" ht="24" customHeight="1">
      <c r="A1674" s="1712"/>
      <c r="B1674" s="2368" t="s">
        <v>421</v>
      </c>
      <c r="C1674" s="2370"/>
      <c r="D1674" s="1675">
        <v>28.6</v>
      </c>
      <c r="E1674" s="1676"/>
      <c r="F1674" s="1669"/>
      <c r="G1674" s="1669"/>
      <c r="H1674" s="1669"/>
      <c r="I1674" s="1669"/>
      <c r="J1674" s="1669"/>
      <c r="K1674" s="1708"/>
      <c r="L1674" s="1721"/>
      <c r="M1674" s="1711"/>
      <c r="N1674" s="1711"/>
    </row>
    <row r="1675" spans="1:14" ht="24" customHeight="1">
      <c r="A1675" s="1712"/>
      <c r="B1675" s="1673" t="s">
        <v>139</v>
      </c>
      <c r="C1675" s="1674" t="s">
        <v>165</v>
      </c>
      <c r="D1675" s="1675">
        <f>D1674</f>
        <v>28.6</v>
      </c>
      <c r="E1675" s="1676" t="s">
        <v>86</v>
      </c>
      <c r="F1675" s="1669"/>
      <c r="G1675" s="1669">
        <v>121</v>
      </c>
      <c r="H1675" s="1669">
        <f t="shared" si="262"/>
        <v>0</v>
      </c>
      <c r="I1675" s="1669">
        <f t="shared" si="263"/>
        <v>3460.6000000000004</v>
      </c>
      <c r="J1675" s="1669">
        <f t="shared" si="264"/>
        <v>3460.6000000000004</v>
      </c>
      <c r="K1675" s="1708"/>
      <c r="L1675" s="1721"/>
      <c r="M1675" s="1710" t="s">
        <v>1017</v>
      </c>
      <c r="N1675" s="1711" t="s">
        <v>664</v>
      </c>
    </row>
    <row r="1676" spans="1:14" ht="24" customHeight="1">
      <c r="A1676" s="1712"/>
      <c r="B1676" s="1673" t="s">
        <v>139</v>
      </c>
      <c r="C1676" s="1674" t="s">
        <v>198</v>
      </c>
      <c r="D1676" s="1675">
        <f>D1674*0.5</f>
        <v>14.3</v>
      </c>
      <c r="E1676" s="1676" t="s">
        <v>164</v>
      </c>
      <c r="F1676" s="1669">
        <v>400</v>
      </c>
      <c r="G1676" s="1669"/>
      <c r="H1676" s="1669">
        <f t="shared" si="262"/>
        <v>5720</v>
      </c>
      <c r="I1676" s="1669">
        <f t="shared" si="263"/>
        <v>0</v>
      </c>
      <c r="J1676" s="1669">
        <f t="shared" si="264"/>
        <v>5720</v>
      </c>
      <c r="K1676" s="1708"/>
      <c r="L1676" s="1721"/>
      <c r="M1676" s="1710" t="s">
        <v>1018</v>
      </c>
      <c r="N1676" s="1711"/>
    </row>
    <row r="1677" spans="1:14" ht="24" customHeight="1">
      <c r="A1677" s="1712"/>
      <c r="B1677" s="1673" t="s">
        <v>139</v>
      </c>
      <c r="C1677" s="1674" t="s">
        <v>166</v>
      </c>
      <c r="D1677" s="1675">
        <f>D1676*0.3</f>
        <v>4.29</v>
      </c>
      <c r="E1677" s="1676" t="s">
        <v>164</v>
      </c>
      <c r="F1677" s="1669">
        <v>400</v>
      </c>
      <c r="G1677" s="1669">
        <v>0</v>
      </c>
      <c r="H1677" s="1669">
        <f t="shared" si="262"/>
        <v>1716</v>
      </c>
      <c r="I1677" s="1669">
        <f t="shared" si="263"/>
        <v>0</v>
      </c>
      <c r="J1677" s="1669">
        <f t="shared" si="264"/>
        <v>1716</v>
      </c>
      <c r="K1677" s="1708"/>
      <c r="L1677" s="1721"/>
      <c r="M1677" s="1710" t="s">
        <v>1018</v>
      </c>
      <c r="N1677" s="1711"/>
    </row>
    <row r="1678" spans="1:14" ht="24" customHeight="1">
      <c r="A1678" s="1712"/>
      <c r="B1678" s="1673" t="s">
        <v>139</v>
      </c>
      <c r="C1678" s="1674" t="s">
        <v>163</v>
      </c>
      <c r="D1678" s="1675">
        <f>D1674</f>
        <v>28.6</v>
      </c>
      <c r="E1678" s="1676" t="s">
        <v>83</v>
      </c>
      <c r="F1678" s="1669">
        <v>28</v>
      </c>
      <c r="G1678" s="1669">
        <v>0</v>
      </c>
      <c r="H1678" s="1669">
        <f t="shared" si="262"/>
        <v>800.80000000000007</v>
      </c>
      <c r="I1678" s="1669">
        <f t="shared" si="263"/>
        <v>0</v>
      </c>
      <c r="J1678" s="1669">
        <f t="shared" si="264"/>
        <v>800.80000000000007</v>
      </c>
      <c r="K1678" s="1708"/>
      <c r="L1678" s="1721"/>
      <c r="M1678" s="1710" t="s">
        <v>1018</v>
      </c>
      <c r="N1678" s="1711"/>
    </row>
    <row r="1679" spans="1:14" ht="24" customHeight="1">
      <c r="A1679" s="1712"/>
      <c r="B1679" s="1673" t="s">
        <v>139</v>
      </c>
      <c r="C1679" s="1674" t="s">
        <v>1781</v>
      </c>
      <c r="D1679" s="1675">
        <f>D1674*0.25</f>
        <v>7.15</v>
      </c>
      <c r="E1679" s="1676" t="s">
        <v>87</v>
      </c>
      <c r="F1679" s="1736">
        <v>23.89</v>
      </c>
      <c r="G1679" s="1736">
        <v>0</v>
      </c>
      <c r="H1679" s="1669">
        <f t="shared" si="262"/>
        <v>170.8135</v>
      </c>
      <c r="I1679" s="1669">
        <f t="shared" si="263"/>
        <v>0</v>
      </c>
      <c r="J1679" s="1669">
        <f t="shared" si="264"/>
        <v>170.8135</v>
      </c>
      <c r="K1679" s="1708"/>
      <c r="L1679" s="1721"/>
      <c r="M1679" s="1710" t="s">
        <v>660</v>
      </c>
      <c r="N1679" s="1711"/>
    </row>
    <row r="1680" spans="1:14" ht="24" customHeight="1">
      <c r="A1680" s="1780"/>
      <c r="B1680" s="1780"/>
      <c r="C1680" s="1827" t="s">
        <v>133</v>
      </c>
      <c r="D1680" s="2365"/>
      <c r="E1680" s="2365"/>
      <c r="F1680" s="2365"/>
      <c r="G1680" s="2365"/>
      <c r="H1680" s="2365"/>
      <c r="I1680" s="2365"/>
      <c r="J1680" s="2365"/>
      <c r="K1680" s="2365"/>
      <c r="L1680" s="1721"/>
      <c r="M1680" s="1710"/>
      <c r="N1680" s="1711"/>
    </row>
    <row r="1681" spans="1:14" ht="24" customHeight="1">
      <c r="A1681" s="1780"/>
      <c r="B1681" s="2366" t="s">
        <v>1769</v>
      </c>
      <c r="C1681" s="2366"/>
      <c r="D1681" s="1828"/>
      <c r="E1681" s="1769"/>
      <c r="F1681" s="1828"/>
      <c r="G1681" s="1828" t="s">
        <v>134</v>
      </c>
      <c r="H1681" s="1828"/>
      <c r="I1681" s="1828"/>
      <c r="J1681" s="1828"/>
      <c r="K1681" s="1828"/>
      <c r="L1681" s="1721"/>
      <c r="M1681" s="1710"/>
      <c r="N1681" s="1711"/>
    </row>
    <row r="1682" spans="1:14" ht="24" customHeight="1">
      <c r="A1682" s="1780"/>
      <c r="B1682" s="2367" t="s">
        <v>1970</v>
      </c>
      <c r="C1682" s="2367"/>
      <c r="D1682" s="1831"/>
      <c r="E1682" s="1832"/>
      <c r="F1682" s="1833"/>
      <c r="G1682" s="1833" t="s">
        <v>1971</v>
      </c>
      <c r="H1682" s="1833"/>
      <c r="I1682" s="1833"/>
      <c r="J1682" s="1833"/>
      <c r="K1682" s="1833"/>
      <c r="L1682" s="1721"/>
      <c r="M1682" s="1710"/>
      <c r="N1682" s="1711"/>
    </row>
    <row r="1683" spans="1:14" ht="24" customHeight="1">
      <c r="A1683" s="1830"/>
      <c r="B1683" s="1828" t="s">
        <v>2031</v>
      </c>
      <c r="C1683" s="1830"/>
      <c r="D1683" s="1830"/>
      <c r="E1683" s="1830"/>
      <c r="F1683" s="1830"/>
      <c r="G1683" s="1828" t="s">
        <v>2031</v>
      </c>
      <c r="H1683" s="1830"/>
      <c r="I1683" s="1830"/>
      <c r="J1683" s="1830"/>
      <c r="K1683" s="1830"/>
      <c r="L1683" s="1721"/>
      <c r="M1683" s="1710"/>
      <c r="N1683" s="1711"/>
    </row>
    <row r="1684" spans="1:14" ht="24" customHeight="1">
      <c r="B1684" s="1721" t="s">
        <v>1984</v>
      </c>
      <c r="C1684" s="1830"/>
      <c r="D1684" s="1685"/>
      <c r="E1684" s="1685"/>
      <c r="G1684" s="1721" t="s">
        <v>1985</v>
      </c>
      <c r="H1684" s="1685"/>
      <c r="I1684" s="1685"/>
      <c r="J1684" s="1685"/>
      <c r="K1684" s="1685"/>
      <c r="L1684" s="1721"/>
      <c r="M1684" s="1710"/>
      <c r="N1684" s="1711"/>
    </row>
    <row r="1685" spans="1:14" ht="24" customHeight="1">
      <c r="B1685" s="1828" t="s">
        <v>670</v>
      </c>
      <c r="L1685" s="1721"/>
      <c r="M1685" s="1710"/>
      <c r="N1685" s="1711"/>
    </row>
    <row r="1686" spans="1:14" ht="24" customHeight="1">
      <c r="B1686" s="1721" t="s">
        <v>1972</v>
      </c>
      <c r="L1686" s="1721"/>
      <c r="M1686" s="1710"/>
      <c r="N1686" s="1711"/>
    </row>
    <row r="1687" spans="1:14" ht="24" customHeight="1">
      <c r="A1687" s="1712"/>
      <c r="B1687" s="2368" t="s">
        <v>419</v>
      </c>
      <c r="C1687" s="2370"/>
      <c r="D1687" s="1675"/>
      <c r="E1687" s="1676"/>
      <c r="F1687" s="1669"/>
      <c r="G1687" s="1669"/>
      <c r="H1687" s="1669"/>
      <c r="I1687" s="1669"/>
      <c r="J1687" s="1669"/>
      <c r="K1687" s="1708"/>
      <c r="L1687" s="1721"/>
      <c r="M1687" s="1711"/>
      <c r="N1687" s="1711"/>
    </row>
    <row r="1688" spans="1:14" s="1685" customFormat="1" ht="24" customHeight="1">
      <c r="A1688" s="1712"/>
      <c r="B1688" s="1673" t="s">
        <v>139</v>
      </c>
      <c r="C1688" s="1674" t="s">
        <v>88</v>
      </c>
      <c r="D1688" s="1675">
        <v>264.5</v>
      </c>
      <c r="E1688" s="1676" t="s">
        <v>87</v>
      </c>
      <c r="F1688" s="1677">
        <v>21.4</v>
      </c>
      <c r="G1688" s="1677">
        <v>4.4000000000000004</v>
      </c>
      <c r="H1688" s="1669">
        <f t="shared" si="262"/>
        <v>5660.2999999999993</v>
      </c>
      <c r="I1688" s="1669">
        <f t="shared" si="263"/>
        <v>1163.8000000000002</v>
      </c>
      <c r="J1688" s="1669">
        <f>SUM(H1688:I1688)</f>
        <v>6824.0999999999995</v>
      </c>
      <c r="K1688" s="1708"/>
      <c r="L1688" s="1721"/>
      <c r="M1688" s="1710" t="s">
        <v>1016</v>
      </c>
      <c r="N1688" s="1711" t="s">
        <v>659</v>
      </c>
    </row>
    <row r="1689" spans="1:14" s="1685" customFormat="1" ht="24" customHeight="1">
      <c r="A1689" s="1712"/>
      <c r="B1689" s="1673" t="s">
        <v>139</v>
      </c>
      <c r="C1689" s="1674" t="s">
        <v>89</v>
      </c>
      <c r="D1689" s="1675">
        <v>117.7</v>
      </c>
      <c r="E1689" s="1676" t="s">
        <v>87</v>
      </c>
      <c r="F1689" s="1677">
        <v>21.4</v>
      </c>
      <c r="G1689" s="1677">
        <v>3.6</v>
      </c>
      <c r="H1689" s="1669">
        <f t="shared" si="262"/>
        <v>2518.7799999999997</v>
      </c>
      <c r="I1689" s="1669">
        <f t="shared" si="263"/>
        <v>423.72</v>
      </c>
      <c r="J1689" s="1669">
        <f>SUM(H1689:I1689)</f>
        <v>2942.5</v>
      </c>
      <c r="K1689" s="1708"/>
      <c r="L1689" s="1721"/>
      <c r="M1689" s="1710" t="s">
        <v>1016</v>
      </c>
      <c r="N1689" s="1711" t="s">
        <v>659</v>
      </c>
    </row>
    <row r="1690" spans="1:14" s="1685" customFormat="1" ht="24" customHeight="1">
      <c r="A1690" s="1712"/>
      <c r="B1690" s="1673" t="s">
        <v>139</v>
      </c>
      <c r="C1690" s="1674" t="s">
        <v>90</v>
      </c>
      <c r="D1690" s="1675">
        <v>433.5</v>
      </c>
      <c r="E1690" s="1676" t="s">
        <v>87</v>
      </c>
      <c r="F1690" s="1677">
        <v>21.2</v>
      </c>
      <c r="G1690" s="1677">
        <v>3.6</v>
      </c>
      <c r="H1690" s="1669">
        <f t="shared" si="262"/>
        <v>9190.1999999999989</v>
      </c>
      <c r="I1690" s="1669">
        <f t="shared" si="263"/>
        <v>1560.6000000000001</v>
      </c>
      <c r="J1690" s="1669">
        <f>SUM(H1690:I1690)</f>
        <v>10750.8</v>
      </c>
      <c r="K1690" s="1708"/>
      <c r="L1690" s="1721"/>
      <c r="M1690" s="1710" t="s">
        <v>1016</v>
      </c>
      <c r="N1690" s="1711" t="s">
        <v>659</v>
      </c>
    </row>
    <row r="1691" spans="1:14" ht="24" customHeight="1">
      <c r="A1691" s="1712"/>
      <c r="B1691" s="1673" t="s">
        <v>139</v>
      </c>
      <c r="C1691" s="1674" t="s">
        <v>200</v>
      </c>
      <c r="D1691" s="1675">
        <f>SUM(D1688:D1690)*0.03</f>
        <v>24.471</v>
      </c>
      <c r="E1691" s="1676" t="s">
        <v>87</v>
      </c>
      <c r="F1691" s="1677">
        <v>25.83</v>
      </c>
      <c r="G1691" s="1677">
        <v>0</v>
      </c>
      <c r="H1691" s="1669">
        <f t="shared" si="262"/>
        <v>632.08592999999996</v>
      </c>
      <c r="I1691" s="1669">
        <f t="shared" si="263"/>
        <v>0</v>
      </c>
      <c r="J1691" s="1669">
        <f>SUM(H1691:I1691)</f>
        <v>632.08592999999996</v>
      </c>
      <c r="K1691" s="1708"/>
      <c r="L1691" s="1721"/>
      <c r="M1691" s="1710" t="s">
        <v>1019</v>
      </c>
      <c r="N1691" s="1711"/>
    </row>
    <row r="1692" spans="1:14" ht="24" customHeight="1">
      <c r="A1692" s="1712"/>
      <c r="B1692" s="2368" t="s">
        <v>1051</v>
      </c>
      <c r="C1692" s="2370"/>
      <c r="D1692" s="1675"/>
      <c r="E1692" s="1676"/>
      <c r="F1692" s="1669"/>
      <c r="G1692" s="1669"/>
      <c r="H1692" s="1669"/>
      <c r="I1692" s="1669"/>
      <c r="J1692" s="1669"/>
      <c r="K1692" s="1708"/>
      <c r="L1692" s="1721"/>
      <c r="M1692" s="1711"/>
      <c r="N1692" s="1711"/>
    </row>
    <row r="1693" spans="1:14" ht="24" customHeight="1">
      <c r="A1693" s="1712"/>
      <c r="B1693" s="2368" t="s">
        <v>1052</v>
      </c>
      <c r="C1693" s="2370"/>
      <c r="D1693" s="1675"/>
      <c r="E1693" s="1676"/>
      <c r="F1693" s="1669"/>
      <c r="G1693" s="1669"/>
      <c r="H1693" s="1669"/>
      <c r="I1693" s="1669"/>
      <c r="J1693" s="1669"/>
      <c r="K1693" s="1708"/>
      <c r="L1693" s="1721"/>
      <c r="M1693" s="1711"/>
      <c r="N1693" s="1711"/>
    </row>
    <row r="1694" spans="1:14" ht="24" customHeight="1">
      <c r="A1694" s="1712"/>
      <c r="B1694" s="1673" t="s">
        <v>139</v>
      </c>
      <c r="C1694" s="1674" t="s">
        <v>228</v>
      </c>
      <c r="D1694" s="1675">
        <v>4.5</v>
      </c>
      <c r="E1694" s="1676" t="s">
        <v>85</v>
      </c>
      <c r="F1694" s="1736">
        <v>2679.9</v>
      </c>
      <c r="G1694" s="1736">
        <v>519</v>
      </c>
      <c r="H1694" s="1669">
        <f t="shared" ref="H1694:H1705" si="265">F1694*D1694</f>
        <v>12059.550000000001</v>
      </c>
      <c r="I1694" s="1669">
        <f t="shared" ref="I1694:I1705" si="266">G1694*D1694</f>
        <v>2335.5</v>
      </c>
      <c r="J1694" s="1669">
        <f t="shared" ref="J1694:J1700" si="267">SUM(H1694:I1694)</f>
        <v>14395.050000000001</v>
      </c>
      <c r="K1694" s="1708"/>
      <c r="L1694" s="1721"/>
      <c r="M1694" s="1710" t="s">
        <v>1016</v>
      </c>
      <c r="N1694" s="1711" t="s">
        <v>664</v>
      </c>
    </row>
    <row r="1695" spans="1:14" ht="24" customHeight="1">
      <c r="A1695" s="1712"/>
      <c r="B1695" s="2368" t="s">
        <v>1053</v>
      </c>
      <c r="C1695" s="2370"/>
      <c r="D1695" s="1675">
        <v>20.8</v>
      </c>
      <c r="E1695" s="1676"/>
      <c r="F1695" s="1669"/>
      <c r="G1695" s="1669"/>
      <c r="H1695" s="1669"/>
      <c r="I1695" s="1669"/>
      <c r="J1695" s="1669"/>
      <c r="K1695" s="1708"/>
      <c r="L1695" s="1721"/>
      <c r="M1695" s="1711"/>
      <c r="N1695" s="1711"/>
    </row>
    <row r="1696" spans="1:14" ht="24" customHeight="1">
      <c r="A1696" s="1702"/>
      <c r="B1696" s="1703" t="s">
        <v>139</v>
      </c>
      <c r="C1696" s="1743" t="s">
        <v>165</v>
      </c>
      <c r="D1696" s="1705">
        <f>D1695</f>
        <v>20.8</v>
      </c>
      <c r="E1696" s="1706" t="s">
        <v>86</v>
      </c>
      <c r="F1696" s="1707"/>
      <c r="G1696" s="1707">
        <v>121</v>
      </c>
      <c r="H1696" s="1707">
        <f t="shared" si="265"/>
        <v>0</v>
      </c>
      <c r="I1696" s="1707">
        <f t="shared" si="266"/>
        <v>2516.8000000000002</v>
      </c>
      <c r="J1696" s="1707">
        <f t="shared" si="267"/>
        <v>2516.8000000000002</v>
      </c>
      <c r="K1696" s="1709"/>
      <c r="L1696" s="1721"/>
      <c r="M1696" s="1710" t="s">
        <v>1017</v>
      </c>
      <c r="N1696" s="1711" t="s">
        <v>664</v>
      </c>
    </row>
    <row r="1697" spans="1:14" ht="24" customHeight="1">
      <c r="A1697" s="1712"/>
      <c r="B1697" s="1673" t="s">
        <v>139</v>
      </c>
      <c r="C1697" s="1674" t="s">
        <v>198</v>
      </c>
      <c r="D1697" s="1675">
        <f>D1695*0.5</f>
        <v>10.4</v>
      </c>
      <c r="E1697" s="1676" t="s">
        <v>164</v>
      </c>
      <c r="F1697" s="1669">
        <v>400</v>
      </c>
      <c r="G1697" s="1669"/>
      <c r="H1697" s="1669">
        <f t="shared" si="265"/>
        <v>4160</v>
      </c>
      <c r="I1697" s="1669">
        <f t="shared" si="266"/>
        <v>0</v>
      </c>
      <c r="J1697" s="1669">
        <f t="shared" si="267"/>
        <v>4160</v>
      </c>
      <c r="K1697" s="1708"/>
      <c r="L1697" s="1721"/>
      <c r="M1697" s="1710" t="s">
        <v>1018</v>
      </c>
      <c r="N1697" s="1711"/>
    </row>
    <row r="1698" spans="1:14" ht="24" customHeight="1">
      <c r="A1698" s="1712"/>
      <c r="B1698" s="1673" t="s">
        <v>139</v>
      </c>
      <c r="C1698" s="1674" t="s">
        <v>166</v>
      </c>
      <c r="D1698" s="1675">
        <f>D1697*0.3</f>
        <v>3.12</v>
      </c>
      <c r="E1698" s="1676" t="s">
        <v>164</v>
      </c>
      <c r="F1698" s="1669">
        <v>400</v>
      </c>
      <c r="G1698" s="1669">
        <v>0</v>
      </c>
      <c r="H1698" s="1669">
        <f t="shared" si="265"/>
        <v>1248</v>
      </c>
      <c r="I1698" s="1669">
        <f t="shared" si="266"/>
        <v>0</v>
      </c>
      <c r="J1698" s="1669">
        <f t="shared" si="267"/>
        <v>1248</v>
      </c>
      <c r="K1698" s="1708"/>
      <c r="L1698" s="1721"/>
      <c r="M1698" s="1710" t="s">
        <v>1018</v>
      </c>
      <c r="N1698" s="1711"/>
    </row>
    <row r="1699" spans="1:14" ht="24" customHeight="1">
      <c r="A1699" s="1712"/>
      <c r="B1699" s="1673" t="s">
        <v>139</v>
      </c>
      <c r="C1699" s="1674" t="s">
        <v>163</v>
      </c>
      <c r="D1699" s="1675">
        <f>D1695</f>
        <v>20.8</v>
      </c>
      <c r="E1699" s="1676" t="s">
        <v>83</v>
      </c>
      <c r="F1699" s="1669">
        <v>28</v>
      </c>
      <c r="G1699" s="1669">
        <v>0</v>
      </c>
      <c r="H1699" s="1669">
        <f t="shared" si="265"/>
        <v>582.4</v>
      </c>
      <c r="I1699" s="1669">
        <f t="shared" si="266"/>
        <v>0</v>
      </c>
      <c r="J1699" s="1669">
        <f t="shared" si="267"/>
        <v>582.4</v>
      </c>
      <c r="K1699" s="1708"/>
      <c r="L1699" s="1721"/>
      <c r="M1699" s="1710" t="s">
        <v>1018</v>
      </c>
      <c r="N1699" s="1711"/>
    </row>
    <row r="1700" spans="1:14" ht="24" customHeight="1">
      <c r="A1700" s="1712"/>
      <c r="B1700" s="1673" t="s">
        <v>139</v>
      </c>
      <c r="C1700" s="1674" t="s">
        <v>1781</v>
      </c>
      <c r="D1700" s="1675">
        <f>D1695*0.25</f>
        <v>5.2</v>
      </c>
      <c r="E1700" s="1676" t="s">
        <v>87</v>
      </c>
      <c r="F1700" s="1669">
        <v>23.89</v>
      </c>
      <c r="G1700" s="1669">
        <v>0</v>
      </c>
      <c r="H1700" s="1669">
        <f t="shared" si="265"/>
        <v>124.22800000000001</v>
      </c>
      <c r="I1700" s="1669">
        <f t="shared" si="266"/>
        <v>0</v>
      </c>
      <c r="J1700" s="1669">
        <f t="shared" si="267"/>
        <v>124.22800000000001</v>
      </c>
      <c r="K1700" s="1708"/>
      <c r="L1700" s="1721"/>
      <c r="M1700" s="1710" t="s">
        <v>660</v>
      </c>
      <c r="N1700" s="1711"/>
    </row>
    <row r="1701" spans="1:14" ht="24" customHeight="1">
      <c r="A1701" s="1712"/>
      <c r="B1701" s="1748" t="s">
        <v>1054</v>
      </c>
      <c r="C1701" s="1674"/>
      <c r="D1701" s="1675"/>
      <c r="E1701" s="1676"/>
      <c r="F1701" s="1669"/>
      <c r="G1701" s="1669"/>
      <c r="H1701" s="1669"/>
      <c r="I1701" s="1669"/>
      <c r="J1701" s="1669"/>
      <c r="K1701" s="1708"/>
      <c r="L1701" s="1721"/>
      <c r="M1701" s="1710"/>
      <c r="N1701" s="1711"/>
    </row>
    <row r="1702" spans="1:14" s="1685" customFormat="1" ht="24" customHeight="1">
      <c r="A1702" s="1712"/>
      <c r="B1702" s="1673" t="s">
        <v>139</v>
      </c>
      <c r="C1702" s="1674" t="s">
        <v>88</v>
      </c>
      <c r="D1702" s="1675">
        <v>168</v>
      </c>
      <c r="E1702" s="1676" t="s">
        <v>87</v>
      </c>
      <c r="F1702" s="1677">
        <v>21.4</v>
      </c>
      <c r="G1702" s="1677">
        <v>4.4000000000000004</v>
      </c>
      <c r="H1702" s="1669">
        <f t="shared" si="265"/>
        <v>3595.2</v>
      </c>
      <c r="I1702" s="1669">
        <f t="shared" si="266"/>
        <v>739.2</v>
      </c>
      <c r="J1702" s="1669">
        <f>SUM(H1702:I1702)</f>
        <v>4334.3999999999996</v>
      </c>
      <c r="K1702" s="1708"/>
      <c r="L1702" s="1721"/>
      <c r="M1702" s="1710" t="s">
        <v>1016</v>
      </c>
      <c r="N1702" s="1711" t="s">
        <v>659</v>
      </c>
    </row>
    <row r="1703" spans="1:14" s="1685" customFormat="1" ht="24" customHeight="1">
      <c r="A1703" s="1712"/>
      <c r="B1703" s="1673" t="s">
        <v>139</v>
      </c>
      <c r="C1703" s="1674" t="s">
        <v>89</v>
      </c>
      <c r="D1703" s="1675">
        <v>72.900000000000006</v>
      </c>
      <c r="E1703" s="1676" t="s">
        <v>87</v>
      </c>
      <c r="F1703" s="1677">
        <v>21.4</v>
      </c>
      <c r="G1703" s="1677">
        <v>3.6</v>
      </c>
      <c r="H1703" s="1669">
        <f t="shared" si="265"/>
        <v>1560.06</v>
      </c>
      <c r="I1703" s="1669">
        <f t="shared" si="266"/>
        <v>262.44000000000005</v>
      </c>
      <c r="J1703" s="1669">
        <f>SUM(H1703:I1703)</f>
        <v>1822.5</v>
      </c>
      <c r="K1703" s="1708"/>
      <c r="L1703" s="1721"/>
      <c r="M1703" s="1710" t="s">
        <v>1016</v>
      </c>
      <c r="N1703" s="1711" t="s">
        <v>659</v>
      </c>
    </row>
    <row r="1704" spans="1:14" ht="24" customHeight="1">
      <c r="A1704" s="1664"/>
      <c r="B1704" s="1665" t="s">
        <v>139</v>
      </c>
      <c r="C1704" s="1666" t="s">
        <v>90</v>
      </c>
      <c r="D1704" s="1667">
        <v>221.2</v>
      </c>
      <c r="E1704" s="1668" t="s">
        <v>87</v>
      </c>
      <c r="F1704" s="1744">
        <v>21.2</v>
      </c>
      <c r="G1704" s="1744">
        <v>3.6</v>
      </c>
      <c r="H1704" s="1670">
        <f t="shared" si="265"/>
        <v>4689.4399999999996</v>
      </c>
      <c r="I1704" s="1670">
        <f t="shared" si="266"/>
        <v>796.31999999999994</v>
      </c>
      <c r="J1704" s="1670">
        <f>SUM(H1704:I1704)</f>
        <v>5485.7599999999993</v>
      </c>
      <c r="K1704" s="1746"/>
      <c r="L1704" s="1721"/>
      <c r="M1704" s="1710" t="s">
        <v>1016</v>
      </c>
      <c r="N1704" s="1711" t="s">
        <v>659</v>
      </c>
    </row>
    <row r="1705" spans="1:14" ht="24" customHeight="1">
      <c r="A1705" s="1712"/>
      <c r="B1705" s="1673" t="s">
        <v>139</v>
      </c>
      <c r="C1705" s="1674" t="s">
        <v>200</v>
      </c>
      <c r="D1705" s="1675">
        <f>SUM(D1702:D1704)*0.03</f>
        <v>13.863</v>
      </c>
      <c r="E1705" s="1676" t="s">
        <v>87</v>
      </c>
      <c r="F1705" s="1677">
        <v>25.83</v>
      </c>
      <c r="G1705" s="1677">
        <v>0</v>
      </c>
      <c r="H1705" s="1669">
        <f t="shared" si="265"/>
        <v>358.08128999999997</v>
      </c>
      <c r="I1705" s="1669">
        <f t="shared" si="266"/>
        <v>0</v>
      </c>
      <c r="J1705" s="1669">
        <f>SUM(H1705:I1705)</f>
        <v>358.08128999999997</v>
      </c>
      <c r="K1705" s="1708"/>
      <c r="L1705" s="1721"/>
      <c r="M1705" s="1710" t="s">
        <v>1019</v>
      </c>
      <c r="N1705" s="1711"/>
    </row>
    <row r="1706" spans="1:14" s="1685" customFormat="1" ht="24" customHeight="1">
      <c r="A1706" s="1712"/>
      <c r="B1706" s="2368" t="s">
        <v>1055</v>
      </c>
      <c r="C1706" s="2370"/>
      <c r="D1706" s="1675"/>
      <c r="E1706" s="1676"/>
      <c r="F1706" s="1669"/>
      <c r="G1706" s="1669"/>
      <c r="H1706" s="1669"/>
      <c r="I1706" s="1669"/>
      <c r="J1706" s="1669"/>
      <c r="K1706" s="1708"/>
      <c r="L1706" s="1721"/>
      <c r="M1706" s="1711"/>
      <c r="N1706" s="1711"/>
    </row>
    <row r="1707" spans="1:14" s="1685" customFormat="1" ht="24" customHeight="1">
      <c r="A1707" s="1712"/>
      <c r="B1707" s="2368" t="s">
        <v>1056</v>
      </c>
      <c r="C1707" s="2370"/>
      <c r="D1707" s="1675"/>
      <c r="E1707" s="1676"/>
      <c r="F1707" s="1669"/>
      <c r="G1707" s="1669"/>
      <c r="H1707" s="1669"/>
      <c r="I1707" s="1669"/>
      <c r="J1707" s="1669"/>
      <c r="K1707" s="1708"/>
      <c r="L1707" s="1721"/>
      <c r="M1707" s="1711"/>
      <c r="N1707" s="1711"/>
    </row>
    <row r="1708" spans="1:14" ht="24" customHeight="1">
      <c r="A1708" s="1712"/>
      <c r="B1708" s="1673" t="s">
        <v>139</v>
      </c>
      <c r="C1708" s="1674" t="s">
        <v>228</v>
      </c>
      <c r="D1708" s="1675">
        <v>4.5</v>
      </c>
      <c r="E1708" s="1676" t="s">
        <v>85</v>
      </c>
      <c r="F1708" s="1736">
        <v>2679.9</v>
      </c>
      <c r="G1708" s="1736">
        <v>519</v>
      </c>
      <c r="H1708" s="1669">
        <f t="shared" ref="H1708:H1726" si="268">F1708*D1708</f>
        <v>12059.550000000001</v>
      </c>
      <c r="I1708" s="1669">
        <f t="shared" ref="I1708:I1726" si="269">G1708*D1708</f>
        <v>2335.5</v>
      </c>
      <c r="J1708" s="1669">
        <f t="shared" ref="J1708:J1721" si="270">SUM(H1708:I1708)</f>
        <v>14395.050000000001</v>
      </c>
      <c r="K1708" s="1708"/>
      <c r="L1708" s="1721"/>
      <c r="M1708" s="1710" t="s">
        <v>1016</v>
      </c>
      <c r="N1708" s="1711" t="s">
        <v>664</v>
      </c>
    </row>
    <row r="1709" spans="1:14" ht="24" customHeight="1">
      <c r="A1709" s="1712"/>
      <c r="B1709" s="2368" t="s">
        <v>1057</v>
      </c>
      <c r="C1709" s="2370"/>
      <c r="D1709" s="1675">
        <v>22.9</v>
      </c>
      <c r="E1709" s="1676"/>
      <c r="F1709" s="1669"/>
      <c r="G1709" s="1669"/>
      <c r="H1709" s="1669"/>
      <c r="I1709" s="1669"/>
      <c r="J1709" s="1669"/>
      <c r="K1709" s="1708"/>
      <c r="L1709" s="1721"/>
      <c r="M1709" s="1711"/>
      <c r="N1709" s="1711"/>
    </row>
    <row r="1710" spans="1:14" ht="24" customHeight="1">
      <c r="A1710" s="1712"/>
      <c r="B1710" s="1673" t="s">
        <v>139</v>
      </c>
      <c r="C1710" s="1674" t="s">
        <v>165</v>
      </c>
      <c r="D1710" s="1675">
        <f>D1709</f>
        <v>22.9</v>
      </c>
      <c r="E1710" s="1676" t="s">
        <v>86</v>
      </c>
      <c r="F1710" s="1669"/>
      <c r="G1710" s="1669">
        <v>121</v>
      </c>
      <c r="H1710" s="1669">
        <f t="shared" si="268"/>
        <v>0</v>
      </c>
      <c r="I1710" s="1669">
        <f t="shared" si="269"/>
        <v>2770.8999999999996</v>
      </c>
      <c r="J1710" s="1669">
        <f t="shared" si="270"/>
        <v>2770.8999999999996</v>
      </c>
      <c r="K1710" s="1708"/>
      <c r="L1710" s="1721"/>
      <c r="M1710" s="1710" t="s">
        <v>1017</v>
      </c>
      <c r="N1710" s="1711" t="s">
        <v>664</v>
      </c>
    </row>
    <row r="1711" spans="1:14" ht="24" customHeight="1">
      <c r="A1711" s="1712"/>
      <c r="B1711" s="1673" t="s">
        <v>139</v>
      </c>
      <c r="C1711" s="1674" t="s">
        <v>198</v>
      </c>
      <c r="D1711" s="1675">
        <f>D1709*0.5</f>
        <v>11.45</v>
      </c>
      <c r="E1711" s="1676" t="s">
        <v>164</v>
      </c>
      <c r="F1711" s="1669">
        <v>400</v>
      </c>
      <c r="G1711" s="1669"/>
      <c r="H1711" s="1669">
        <f t="shared" si="268"/>
        <v>4580</v>
      </c>
      <c r="I1711" s="1669">
        <f t="shared" si="269"/>
        <v>0</v>
      </c>
      <c r="J1711" s="1669">
        <f t="shared" si="270"/>
        <v>4580</v>
      </c>
      <c r="K1711" s="1708"/>
      <c r="L1711" s="1721"/>
      <c r="M1711" s="1710" t="s">
        <v>1018</v>
      </c>
      <c r="N1711" s="1711"/>
    </row>
    <row r="1712" spans="1:14" ht="24" customHeight="1">
      <c r="A1712" s="1712"/>
      <c r="B1712" s="1673" t="s">
        <v>139</v>
      </c>
      <c r="C1712" s="1674" t="s">
        <v>166</v>
      </c>
      <c r="D1712" s="1675">
        <f>D1711*0.3</f>
        <v>3.4349999999999996</v>
      </c>
      <c r="E1712" s="1676" t="s">
        <v>164</v>
      </c>
      <c r="F1712" s="1669">
        <v>400</v>
      </c>
      <c r="G1712" s="1669">
        <v>0</v>
      </c>
      <c r="H1712" s="1669">
        <f t="shared" si="268"/>
        <v>1373.9999999999998</v>
      </c>
      <c r="I1712" s="1669">
        <f t="shared" si="269"/>
        <v>0</v>
      </c>
      <c r="J1712" s="1669">
        <f t="shared" si="270"/>
        <v>1373.9999999999998</v>
      </c>
      <c r="K1712" s="1708"/>
      <c r="L1712" s="1721"/>
      <c r="M1712" s="1710" t="s">
        <v>1018</v>
      </c>
      <c r="N1712" s="1711"/>
    </row>
    <row r="1713" spans="1:14" ht="24" customHeight="1">
      <c r="A1713" s="1712"/>
      <c r="B1713" s="1673" t="s">
        <v>139</v>
      </c>
      <c r="C1713" s="1674" t="s">
        <v>163</v>
      </c>
      <c r="D1713" s="1675">
        <f>D1709</f>
        <v>22.9</v>
      </c>
      <c r="E1713" s="1676" t="s">
        <v>83</v>
      </c>
      <c r="F1713" s="1669">
        <v>28</v>
      </c>
      <c r="G1713" s="1669">
        <v>0</v>
      </c>
      <c r="H1713" s="1669">
        <f t="shared" si="268"/>
        <v>641.19999999999993</v>
      </c>
      <c r="I1713" s="1669">
        <f t="shared" si="269"/>
        <v>0</v>
      </c>
      <c r="J1713" s="1669">
        <f t="shared" si="270"/>
        <v>641.19999999999993</v>
      </c>
      <c r="K1713" s="1708"/>
      <c r="L1713" s="1721"/>
      <c r="M1713" s="1710" t="s">
        <v>1018</v>
      </c>
      <c r="N1713" s="1711"/>
    </row>
    <row r="1714" spans="1:14" ht="24" customHeight="1">
      <c r="A1714" s="1780"/>
      <c r="B1714" s="1780"/>
      <c r="C1714" s="1827" t="s">
        <v>133</v>
      </c>
      <c r="D1714" s="2365"/>
      <c r="E1714" s="2365"/>
      <c r="F1714" s="2365"/>
      <c r="G1714" s="2365"/>
      <c r="H1714" s="2365"/>
      <c r="I1714" s="2365"/>
      <c r="J1714" s="2365"/>
      <c r="K1714" s="2365"/>
      <c r="L1714" s="1721"/>
      <c r="M1714" s="1710"/>
      <c r="N1714" s="1711"/>
    </row>
    <row r="1715" spans="1:14" ht="24" customHeight="1">
      <c r="A1715" s="1780"/>
      <c r="B1715" s="2366" t="s">
        <v>1769</v>
      </c>
      <c r="C1715" s="2366"/>
      <c r="D1715" s="1828"/>
      <c r="E1715" s="1769"/>
      <c r="F1715" s="1828"/>
      <c r="G1715" s="1828" t="s">
        <v>134</v>
      </c>
      <c r="H1715" s="1828"/>
      <c r="I1715" s="1828"/>
      <c r="J1715" s="1828"/>
      <c r="K1715" s="1828"/>
      <c r="L1715" s="1721"/>
      <c r="M1715" s="1710"/>
      <c r="N1715" s="1711"/>
    </row>
    <row r="1716" spans="1:14" ht="24" customHeight="1">
      <c r="A1716" s="1780"/>
      <c r="B1716" s="2367" t="s">
        <v>1970</v>
      </c>
      <c r="C1716" s="2367"/>
      <c r="D1716" s="1831"/>
      <c r="E1716" s="1832"/>
      <c r="F1716" s="1833"/>
      <c r="G1716" s="1833" t="s">
        <v>1971</v>
      </c>
      <c r="H1716" s="1833"/>
      <c r="I1716" s="1833"/>
      <c r="J1716" s="1833"/>
      <c r="K1716" s="1833"/>
      <c r="L1716" s="1721"/>
      <c r="M1716" s="1710"/>
      <c r="N1716" s="1711"/>
    </row>
    <row r="1717" spans="1:14" ht="24" customHeight="1">
      <c r="A1717" s="1830"/>
      <c r="B1717" s="1828" t="s">
        <v>2031</v>
      </c>
      <c r="C1717" s="1830"/>
      <c r="D1717" s="1830"/>
      <c r="E1717" s="1830"/>
      <c r="F1717" s="1830"/>
      <c r="G1717" s="1828" t="s">
        <v>2031</v>
      </c>
      <c r="H1717" s="1830"/>
      <c r="I1717" s="1830"/>
      <c r="J1717" s="1830"/>
      <c r="K1717" s="1830"/>
      <c r="L1717" s="1721"/>
      <c r="M1717" s="1710"/>
      <c r="N1717" s="1711"/>
    </row>
    <row r="1718" spans="1:14" ht="24" customHeight="1">
      <c r="B1718" s="1721" t="s">
        <v>1984</v>
      </c>
      <c r="C1718" s="1830"/>
      <c r="D1718" s="1685"/>
      <c r="E1718" s="1685"/>
      <c r="G1718" s="1721" t="s">
        <v>1985</v>
      </c>
      <c r="H1718" s="1685"/>
      <c r="I1718" s="1685"/>
      <c r="J1718" s="1685"/>
      <c r="K1718" s="1685"/>
      <c r="L1718" s="1721"/>
      <c r="M1718" s="1710"/>
      <c r="N1718" s="1711"/>
    </row>
    <row r="1719" spans="1:14" ht="24" customHeight="1">
      <c r="B1719" s="1828" t="s">
        <v>670</v>
      </c>
      <c r="L1719" s="1721"/>
      <c r="M1719" s="1710"/>
      <c r="N1719" s="1711"/>
    </row>
    <row r="1720" spans="1:14" ht="24" customHeight="1">
      <c r="B1720" s="1721" t="s">
        <v>1972</v>
      </c>
      <c r="L1720" s="1721"/>
      <c r="M1720" s="1710"/>
      <c r="N1720" s="1711"/>
    </row>
    <row r="1721" spans="1:14" ht="24" customHeight="1">
      <c r="A1721" s="1712"/>
      <c r="B1721" s="1673" t="s">
        <v>139</v>
      </c>
      <c r="C1721" s="1674" t="s">
        <v>1781</v>
      </c>
      <c r="D1721" s="1675">
        <f>D1709*0.25</f>
        <v>5.7249999999999996</v>
      </c>
      <c r="E1721" s="1676" t="s">
        <v>87</v>
      </c>
      <c r="F1721" s="1736">
        <v>23.89</v>
      </c>
      <c r="G1721" s="1736">
        <v>0</v>
      </c>
      <c r="H1721" s="1669">
        <f t="shared" si="268"/>
        <v>136.77025</v>
      </c>
      <c r="I1721" s="1669">
        <f t="shared" si="269"/>
        <v>0</v>
      </c>
      <c r="J1721" s="1669">
        <f t="shared" si="270"/>
        <v>136.77025</v>
      </c>
      <c r="K1721" s="1708"/>
      <c r="L1721" s="1721"/>
      <c r="M1721" s="1710" t="s">
        <v>660</v>
      </c>
      <c r="N1721" s="1711"/>
    </row>
    <row r="1722" spans="1:14" ht="24" customHeight="1">
      <c r="A1722" s="1712"/>
      <c r="B1722" s="2368" t="s">
        <v>1058</v>
      </c>
      <c r="C1722" s="2370"/>
      <c r="D1722" s="1675"/>
      <c r="E1722" s="1676"/>
      <c r="F1722" s="1669"/>
      <c r="G1722" s="1669"/>
      <c r="H1722" s="1669"/>
      <c r="I1722" s="1669"/>
      <c r="J1722" s="1669"/>
      <c r="K1722" s="1708"/>
      <c r="L1722" s="1721"/>
      <c r="M1722" s="1711"/>
      <c r="N1722" s="1711"/>
    </row>
    <row r="1723" spans="1:14" ht="24" customHeight="1">
      <c r="A1723" s="1712"/>
      <c r="B1723" s="1673" t="s">
        <v>139</v>
      </c>
      <c r="C1723" s="1674" t="s">
        <v>88</v>
      </c>
      <c r="D1723" s="1675">
        <v>182.4</v>
      </c>
      <c r="E1723" s="1676" t="s">
        <v>87</v>
      </c>
      <c r="F1723" s="1677">
        <v>21.4</v>
      </c>
      <c r="G1723" s="1677">
        <v>4.4000000000000004</v>
      </c>
      <c r="H1723" s="1669">
        <f t="shared" si="268"/>
        <v>3903.3599999999997</v>
      </c>
      <c r="I1723" s="1669">
        <f t="shared" si="269"/>
        <v>802.56000000000006</v>
      </c>
      <c r="J1723" s="1669">
        <f>SUM(H1723:I1723)</f>
        <v>4705.92</v>
      </c>
      <c r="K1723" s="1708"/>
      <c r="L1723" s="1721"/>
      <c r="M1723" s="1710" t="s">
        <v>1016</v>
      </c>
      <c r="N1723" s="1711" t="s">
        <v>659</v>
      </c>
    </row>
    <row r="1724" spans="1:14" ht="24" customHeight="1">
      <c r="A1724" s="1712"/>
      <c r="B1724" s="1673" t="s">
        <v>139</v>
      </c>
      <c r="C1724" s="1674" t="s">
        <v>89</v>
      </c>
      <c r="D1724" s="1675">
        <v>94.8</v>
      </c>
      <c r="E1724" s="1676" t="s">
        <v>87</v>
      </c>
      <c r="F1724" s="1677">
        <v>21.4</v>
      </c>
      <c r="G1724" s="1677">
        <v>3.6</v>
      </c>
      <c r="H1724" s="1669">
        <f t="shared" si="268"/>
        <v>2028.7199999999998</v>
      </c>
      <c r="I1724" s="1669">
        <f t="shared" si="269"/>
        <v>341.28</v>
      </c>
      <c r="J1724" s="1669">
        <f>SUM(H1724:I1724)</f>
        <v>2370</v>
      </c>
      <c r="K1724" s="1708"/>
      <c r="L1724" s="1721"/>
      <c r="M1724" s="1710" t="s">
        <v>1016</v>
      </c>
      <c r="N1724" s="1711" t="s">
        <v>659</v>
      </c>
    </row>
    <row r="1725" spans="1:14" ht="24" customHeight="1">
      <c r="A1725" s="1712"/>
      <c r="B1725" s="1673" t="s">
        <v>139</v>
      </c>
      <c r="C1725" s="1674" t="s">
        <v>90</v>
      </c>
      <c r="D1725" s="1675">
        <v>245.7</v>
      </c>
      <c r="E1725" s="1676" t="s">
        <v>87</v>
      </c>
      <c r="F1725" s="1677">
        <v>21.2</v>
      </c>
      <c r="G1725" s="1677">
        <v>3.6</v>
      </c>
      <c r="H1725" s="1669">
        <f t="shared" si="268"/>
        <v>5208.8399999999992</v>
      </c>
      <c r="I1725" s="1669">
        <f t="shared" si="269"/>
        <v>884.52</v>
      </c>
      <c r="J1725" s="1669">
        <f>SUM(H1725:I1725)</f>
        <v>6093.3599999999988</v>
      </c>
      <c r="K1725" s="1708"/>
      <c r="L1725" s="1721"/>
      <c r="M1725" s="1710" t="s">
        <v>1016</v>
      </c>
      <c r="N1725" s="1711" t="s">
        <v>659</v>
      </c>
    </row>
    <row r="1726" spans="1:14" ht="24" customHeight="1">
      <c r="A1726" s="1712"/>
      <c r="B1726" s="1673" t="s">
        <v>139</v>
      </c>
      <c r="C1726" s="1674" t="s">
        <v>200</v>
      </c>
      <c r="D1726" s="1675">
        <f>SUM(D1723:D1725)*0.03</f>
        <v>15.686999999999999</v>
      </c>
      <c r="E1726" s="1676" t="s">
        <v>87</v>
      </c>
      <c r="F1726" s="1677">
        <v>25.83</v>
      </c>
      <c r="G1726" s="1677">
        <v>0</v>
      </c>
      <c r="H1726" s="1669">
        <f t="shared" si="268"/>
        <v>405.19520999999997</v>
      </c>
      <c r="I1726" s="1669">
        <f t="shared" si="269"/>
        <v>0</v>
      </c>
      <c r="J1726" s="1669">
        <f>SUM(H1726:I1726)</f>
        <v>405.19520999999997</v>
      </c>
      <c r="K1726" s="1708"/>
      <c r="L1726" s="1721"/>
      <c r="M1726" s="1710" t="s">
        <v>1019</v>
      </c>
      <c r="N1726" s="1711"/>
    </row>
    <row r="1727" spans="1:14" ht="24" customHeight="1">
      <c r="A1727" s="1712"/>
      <c r="B1727" s="2368" t="s">
        <v>1030</v>
      </c>
      <c r="C1727" s="2370"/>
      <c r="D1727" s="1675"/>
      <c r="E1727" s="1676"/>
      <c r="F1727" s="1669"/>
      <c r="G1727" s="1669"/>
      <c r="H1727" s="1669"/>
      <c r="I1727" s="1669"/>
      <c r="J1727" s="1669"/>
      <c r="K1727" s="1708"/>
      <c r="L1727" s="1721"/>
      <c r="M1727" s="1711"/>
      <c r="N1727" s="1711"/>
    </row>
    <row r="1728" spans="1:14" ht="24" customHeight="1">
      <c r="A1728" s="1712"/>
      <c r="B1728" s="2368" t="s">
        <v>1031</v>
      </c>
      <c r="C1728" s="2370"/>
      <c r="D1728" s="1675"/>
      <c r="E1728" s="1676"/>
      <c r="F1728" s="1669"/>
      <c r="G1728" s="1669"/>
      <c r="H1728" s="1669"/>
      <c r="I1728" s="1669"/>
      <c r="J1728" s="1669"/>
      <c r="K1728" s="1708"/>
      <c r="L1728" s="1721"/>
      <c r="M1728" s="1711"/>
      <c r="N1728" s="1711"/>
    </row>
    <row r="1729" spans="1:14" ht="24" customHeight="1">
      <c r="A1729" s="1702"/>
      <c r="B1729" s="1703" t="s">
        <v>139</v>
      </c>
      <c r="C1729" s="1743" t="s">
        <v>228</v>
      </c>
      <c r="D1729" s="1705">
        <v>15.9</v>
      </c>
      <c r="E1729" s="1706" t="s">
        <v>85</v>
      </c>
      <c r="F1729" s="1742">
        <v>2679.9</v>
      </c>
      <c r="G1729" s="1742">
        <v>519</v>
      </c>
      <c r="H1729" s="1707">
        <f t="shared" ref="H1729:H1744" si="271">F1729*D1729</f>
        <v>42610.41</v>
      </c>
      <c r="I1729" s="1707">
        <f t="shared" ref="I1729:I1744" si="272">G1729*D1729</f>
        <v>8252.1</v>
      </c>
      <c r="J1729" s="1707">
        <f t="shared" ref="J1729:J1735" si="273">SUM(H1729:I1729)</f>
        <v>50862.51</v>
      </c>
      <c r="K1729" s="1709"/>
      <c r="L1729" s="1721"/>
      <c r="M1729" s="1710" t="s">
        <v>1016</v>
      </c>
      <c r="N1729" s="1711" t="s">
        <v>659</v>
      </c>
    </row>
    <row r="1730" spans="1:14" ht="24" customHeight="1">
      <c r="A1730" s="1712"/>
      <c r="B1730" s="2368" t="s">
        <v>1033</v>
      </c>
      <c r="C1730" s="2370"/>
      <c r="D1730" s="1675">
        <v>65.400000000000006</v>
      </c>
      <c r="E1730" s="1676"/>
      <c r="F1730" s="1669"/>
      <c r="G1730" s="1669"/>
      <c r="H1730" s="1669"/>
      <c r="I1730" s="1669"/>
      <c r="J1730" s="1669"/>
      <c r="K1730" s="1708"/>
      <c r="L1730" s="1721"/>
      <c r="M1730" s="1711"/>
      <c r="N1730" s="1711"/>
    </row>
    <row r="1731" spans="1:14" ht="24" customHeight="1">
      <c r="A1731" s="1702"/>
      <c r="B1731" s="1703" t="s">
        <v>139</v>
      </c>
      <c r="C1731" s="1743" t="s">
        <v>165</v>
      </c>
      <c r="D1731" s="1705">
        <f>D1730</f>
        <v>65.400000000000006</v>
      </c>
      <c r="E1731" s="1706" t="s">
        <v>86</v>
      </c>
      <c r="F1731" s="1742">
        <v>0</v>
      </c>
      <c r="G1731" s="1742">
        <v>121</v>
      </c>
      <c r="H1731" s="1707">
        <f t="shared" si="271"/>
        <v>0</v>
      </c>
      <c r="I1731" s="1707">
        <f t="shared" si="272"/>
        <v>7913.4000000000005</v>
      </c>
      <c r="J1731" s="1707">
        <f t="shared" si="273"/>
        <v>7913.4000000000005</v>
      </c>
      <c r="K1731" s="1709"/>
      <c r="L1731" s="1721"/>
      <c r="M1731" s="1710" t="s">
        <v>1017</v>
      </c>
      <c r="N1731" s="1711" t="s">
        <v>659</v>
      </c>
    </row>
    <row r="1732" spans="1:14" ht="24" customHeight="1">
      <c r="A1732" s="1702"/>
      <c r="B1732" s="1703" t="s">
        <v>139</v>
      </c>
      <c r="C1732" s="1743" t="s">
        <v>198</v>
      </c>
      <c r="D1732" s="1705">
        <f>D1730*0.5</f>
        <v>32.700000000000003</v>
      </c>
      <c r="E1732" s="1706" t="s">
        <v>164</v>
      </c>
      <c r="F1732" s="1742">
        <v>400</v>
      </c>
      <c r="G1732" s="1742">
        <v>0</v>
      </c>
      <c r="H1732" s="1707">
        <f t="shared" si="271"/>
        <v>13080.000000000002</v>
      </c>
      <c r="I1732" s="1707">
        <f t="shared" si="272"/>
        <v>0</v>
      </c>
      <c r="J1732" s="1707">
        <f t="shared" si="273"/>
        <v>13080.000000000002</v>
      </c>
      <c r="K1732" s="1709"/>
      <c r="L1732" s="1721"/>
      <c r="M1732" s="1710" t="s">
        <v>1018</v>
      </c>
      <c r="N1732" s="1711"/>
    </row>
    <row r="1733" spans="1:14" ht="24" customHeight="1">
      <c r="A1733" s="1712"/>
      <c r="B1733" s="1673" t="s">
        <v>139</v>
      </c>
      <c r="C1733" s="1674" t="s">
        <v>166</v>
      </c>
      <c r="D1733" s="1675">
        <f>D1732*0.3</f>
        <v>9.81</v>
      </c>
      <c r="E1733" s="1676" t="s">
        <v>164</v>
      </c>
      <c r="F1733" s="1736">
        <v>400</v>
      </c>
      <c r="G1733" s="1736">
        <v>0</v>
      </c>
      <c r="H1733" s="1669">
        <f t="shared" si="271"/>
        <v>3924</v>
      </c>
      <c r="I1733" s="1669">
        <f t="shared" si="272"/>
        <v>0</v>
      </c>
      <c r="J1733" s="1669">
        <f t="shared" si="273"/>
        <v>3924</v>
      </c>
      <c r="K1733" s="1708"/>
      <c r="L1733" s="1721"/>
      <c r="M1733" s="1710" t="s">
        <v>1018</v>
      </c>
      <c r="N1733" s="1685"/>
    </row>
    <row r="1734" spans="1:14" ht="24" customHeight="1">
      <c r="A1734" s="1712"/>
      <c r="B1734" s="1673" t="s">
        <v>139</v>
      </c>
      <c r="C1734" s="1674" t="s">
        <v>163</v>
      </c>
      <c r="D1734" s="1675">
        <f>D1730</f>
        <v>65.400000000000006</v>
      </c>
      <c r="E1734" s="1676" t="s">
        <v>83</v>
      </c>
      <c r="F1734" s="1736">
        <v>28</v>
      </c>
      <c r="G1734" s="1736">
        <v>0</v>
      </c>
      <c r="H1734" s="1669">
        <f t="shared" si="271"/>
        <v>1831.2000000000003</v>
      </c>
      <c r="I1734" s="1669">
        <f t="shared" si="272"/>
        <v>0</v>
      </c>
      <c r="J1734" s="1669">
        <f t="shared" si="273"/>
        <v>1831.2000000000003</v>
      </c>
      <c r="K1734" s="1708"/>
      <c r="L1734" s="1721"/>
      <c r="M1734" s="1710" t="s">
        <v>1018</v>
      </c>
      <c r="N1734" s="1685"/>
    </row>
    <row r="1735" spans="1:14" ht="24" customHeight="1">
      <c r="A1735" s="1712"/>
      <c r="B1735" s="1673" t="s">
        <v>139</v>
      </c>
      <c r="C1735" s="1674" t="s">
        <v>1781</v>
      </c>
      <c r="D1735" s="1675">
        <f>D1730*0.25</f>
        <v>16.350000000000001</v>
      </c>
      <c r="E1735" s="1676" t="s">
        <v>87</v>
      </c>
      <c r="F1735" s="1736">
        <v>23.89</v>
      </c>
      <c r="G1735" s="1736">
        <v>0</v>
      </c>
      <c r="H1735" s="1669">
        <f t="shared" si="271"/>
        <v>390.60150000000004</v>
      </c>
      <c r="I1735" s="1669">
        <f t="shared" si="272"/>
        <v>0</v>
      </c>
      <c r="J1735" s="1669">
        <f t="shared" si="273"/>
        <v>390.60150000000004</v>
      </c>
      <c r="K1735" s="1708"/>
      <c r="L1735" s="1721"/>
      <c r="M1735" s="1710" t="s">
        <v>660</v>
      </c>
      <c r="N1735" s="1685"/>
    </row>
    <row r="1736" spans="1:14" ht="24" customHeight="1">
      <c r="A1736" s="1712"/>
      <c r="B1736" s="2368" t="s">
        <v>1032</v>
      </c>
      <c r="C1736" s="2370"/>
      <c r="D1736" s="1675"/>
      <c r="E1736" s="1676"/>
      <c r="F1736" s="1669"/>
      <c r="G1736" s="1669"/>
      <c r="H1736" s="1669"/>
      <c r="I1736" s="1669"/>
      <c r="J1736" s="1669"/>
      <c r="K1736" s="1708"/>
      <c r="L1736" s="1721"/>
      <c r="M1736" s="1711"/>
      <c r="N1736" s="1711"/>
    </row>
    <row r="1737" spans="1:14" ht="24" customHeight="1">
      <c r="A1737" s="1664"/>
      <c r="B1737" s="1665" t="s">
        <v>139</v>
      </c>
      <c r="C1737" s="1666" t="s">
        <v>88</v>
      </c>
      <c r="D1737" s="1667">
        <v>326.3</v>
      </c>
      <c r="E1737" s="1668" t="s">
        <v>87</v>
      </c>
      <c r="F1737" s="1744">
        <v>21.4</v>
      </c>
      <c r="G1737" s="1744">
        <v>4.4000000000000004</v>
      </c>
      <c r="H1737" s="1670">
        <f t="shared" si="271"/>
        <v>6982.82</v>
      </c>
      <c r="I1737" s="1670">
        <f t="shared" si="272"/>
        <v>1435.7200000000003</v>
      </c>
      <c r="J1737" s="1670">
        <f t="shared" ref="J1737:J1744" si="274">SUM(H1737:I1737)</f>
        <v>8418.5400000000009</v>
      </c>
      <c r="K1737" s="1746"/>
      <c r="L1737" s="1721"/>
      <c r="M1737" s="1710" t="s">
        <v>1016</v>
      </c>
      <c r="N1737" s="1711" t="s">
        <v>659</v>
      </c>
    </row>
    <row r="1738" spans="1:14" ht="24" customHeight="1">
      <c r="A1738" s="1712"/>
      <c r="B1738" s="1673" t="s">
        <v>139</v>
      </c>
      <c r="C1738" s="1674" t="s">
        <v>89</v>
      </c>
      <c r="D1738" s="1675">
        <v>833.5</v>
      </c>
      <c r="E1738" s="1676" t="s">
        <v>87</v>
      </c>
      <c r="F1738" s="1677">
        <v>21.4</v>
      </c>
      <c r="G1738" s="1677">
        <v>3.6</v>
      </c>
      <c r="H1738" s="1669">
        <f t="shared" si="271"/>
        <v>17836.899999999998</v>
      </c>
      <c r="I1738" s="1669">
        <f t="shared" si="272"/>
        <v>3000.6</v>
      </c>
      <c r="J1738" s="1669">
        <f t="shared" si="274"/>
        <v>20837.499999999996</v>
      </c>
      <c r="K1738" s="1708"/>
      <c r="L1738" s="1721"/>
      <c r="M1738" s="1710" t="s">
        <v>1016</v>
      </c>
      <c r="N1738" s="1711" t="s">
        <v>659</v>
      </c>
    </row>
    <row r="1739" spans="1:14" ht="24" customHeight="1">
      <c r="A1739" s="1712"/>
      <c r="B1739" s="1673" t="s">
        <v>139</v>
      </c>
      <c r="C1739" s="1674" t="s">
        <v>91</v>
      </c>
      <c r="D1739" s="1675">
        <v>757.6</v>
      </c>
      <c r="E1739" s="1676" t="s">
        <v>87</v>
      </c>
      <c r="F1739" s="1677">
        <v>21.2</v>
      </c>
      <c r="G1739" s="1677">
        <v>3.1</v>
      </c>
      <c r="H1739" s="1669">
        <f t="shared" si="271"/>
        <v>16061.12</v>
      </c>
      <c r="I1739" s="1669">
        <f t="shared" si="272"/>
        <v>2348.56</v>
      </c>
      <c r="J1739" s="1669">
        <f t="shared" si="274"/>
        <v>18409.68</v>
      </c>
      <c r="K1739" s="1708"/>
      <c r="L1739" s="1721"/>
      <c r="M1739" s="1710" t="s">
        <v>1016</v>
      </c>
      <c r="N1739" s="1711" t="s">
        <v>659</v>
      </c>
    </row>
    <row r="1740" spans="1:14" s="1685" customFormat="1" ht="24" customHeight="1">
      <c r="A1740" s="1712"/>
      <c r="B1740" s="1673" t="s">
        <v>139</v>
      </c>
      <c r="C1740" s="1674" t="s">
        <v>200</v>
      </c>
      <c r="D1740" s="1675">
        <f>SUM(D1737:D1739)*0.03</f>
        <v>57.521999999999998</v>
      </c>
      <c r="E1740" s="1676" t="s">
        <v>87</v>
      </c>
      <c r="F1740" s="1677">
        <v>25.83</v>
      </c>
      <c r="G1740" s="1677">
        <v>0</v>
      </c>
      <c r="H1740" s="1669">
        <f t="shared" si="271"/>
        <v>1485.7932599999999</v>
      </c>
      <c r="I1740" s="1669">
        <f t="shared" si="272"/>
        <v>0</v>
      </c>
      <c r="J1740" s="1669">
        <f t="shared" si="274"/>
        <v>1485.7932599999999</v>
      </c>
      <c r="K1740" s="1708"/>
      <c r="L1740" s="1721"/>
      <c r="M1740" s="1710" t="s">
        <v>1019</v>
      </c>
      <c r="N1740" s="1711"/>
    </row>
    <row r="1741" spans="1:14" ht="24" customHeight="1">
      <c r="A1741" s="1712"/>
      <c r="B1741" s="1673" t="s">
        <v>139</v>
      </c>
      <c r="C1741" s="1713" t="s">
        <v>1104</v>
      </c>
      <c r="D1741" s="1675">
        <v>4140</v>
      </c>
      <c r="E1741" s="1676" t="s">
        <v>87</v>
      </c>
      <c r="F1741" s="1669">
        <v>38.799999999999997</v>
      </c>
      <c r="G1741" s="1669">
        <v>12</v>
      </c>
      <c r="H1741" s="1669">
        <f t="shared" si="271"/>
        <v>160632</v>
      </c>
      <c r="I1741" s="1669">
        <f t="shared" si="272"/>
        <v>49680</v>
      </c>
      <c r="J1741" s="1669">
        <f t="shared" si="274"/>
        <v>210312</v>
      </c>
      <c r="K1741" s="1708"/>
      <c r="L1741" s="1721"/>
      <c r="M1741" s="1710" t="s">
        <v>1020</v>
      </c>
      <c r="N1741" s="1711" t="s">
        <v>664</v>
      </c>
    </row>
    <row r="1742" spans="1:14" ht="24" customHeight="1">
      <c r="A1742" s="1712"/>
      <c r="B1742" s="1673" t="s">
        <v>139</v>
      </c>
      <c r="C1742" s="1713" t="s">
        <v>1105</v>
      </c>
      <c r="D1742" s="1675">
        <v>414.4</v>
      </c>
      <c r="E1742" s="1676" t="s">
        <v>87</v>
      </c>
      <c r="F1742" s="1736">
        <v>36.4</v>
      </c>
      <c r="G1742" s="1669">
        <v>12</v>
      </c>
      <c r="H1742" s="1669">
        <f t="shared" si="271"/>
        <v>15084.159999999998</v>
      </c>
      <c r="I1742" s="1669">
        <f t="shared" si="272"/>
        <v>4972.7999999999993</v>
      </c>
      <c r="J1742" s="1669">
        <f t="shared" si="274"/>
        <v>20056.96</v>
      </c>
      <c r="K1742" s="1708"/>
      <c r="L1742" s="1721"/>
      <c r="M1742" s="1710" t="s">
        <v>1020</v>
      </c>
      <c r="N1742" s="1711" t="s">
        <v>664</v>
      </c>
    </row>
    <row r="1743" spans="1:14" ht="24" customHeight="1">
      <c r="A1743" s="1712"/>
      <c r="B1743" s="1673" t="s">
        <v>139</v>
      </c>
      <c r="C1743" s="1713" t="s">
        <v>1207</v>
      </c>
      <c r="D1743" s="1675">
        <v>155.69999999999999</v>
      </c>
      <c r="E1743" s="1676" t="s">
        <v>87</v>
      </c>
      <c r="F1743" s="1669">
        <v>30.1</v>
      </c>
      <c r="G1743" s="1669">
        <v>12</v>
      </c>
      <c r="H1743" s="1669">
        <f t="shared" si="271"/>
        <v>4686.57</v>
      </c>
      <c r="I1743" s="1669">
        <f t="shared" si="272"/>
        <v>1868.3999999999999</v>
      </c>
      <c r="J1743" s="1669">
        <f t="shared" si="274"/>
        <v>6554.9699999999993</v>
      </c>
      <c r="K1743" s="1708"/>
      <c r="L1743" s="1721"/>
      <c r="M1743" s="1710" t="s">
        <v>1020</v>
      </c>
      <c r="N1743" s="1711" t="s">
        <v>664</v>
      </c>
    </row>
    <row r="1744" spans="1:14" ht="24" customHeight="1">
      <c r="A1744" s="1712"/>
      <c r="B1744" s="1673" t="s">
        <v>139</v>
      </c>
      <c r="C1744" s="1674" t="s">
        <v>90</v>
      </c>
      <c r="D1744" s="1675">
        <v>22.8</v>
      </c>
      <c r="E1744" s="1676" t="s">
        <v>87</v>
      </c>
      <c r="F1744" s="1677">
        <v>21.2</v>
      </c>
      <c r="G1744" s="1677">
        <v>3.6</v>
      </c>
      <c r="H1744" s="1669">
        <f t="shared" si="271"/>
        <v>483.36</v>
      </c>
      <c r="I1744" s="1669">
        <f t="shared" si="272"/>
        <v>82.08</v>
      </c>
      <c r="J1744" s="1669">
        <f t="shared" si="274"/>
        <v>565.44000000000005</v>
      </c>
      <c r="K1744" s="1708"/>
      <c r="L1744" s="1721"/>
      <c r="M1744" s="1710" t="s">
        <v>1016</v>
      </c>
      <c r="N1744" s="1711" t="s">
        <v>659</v>
      </c>
    </row>
    <row r="1745" spans="1:14" ht="24" customHeight="1">
      <c r="A1745" s="1780"/>
      <c r="B1745" s="1780"/>
      <c r="C1745" s="1827" t="s">
        <v>133</v>
      </c>
      <c r="D1745" s="2365"/>
      <c r="E1745" s="2365"/>
      <c r="F1745" s="2365"/>
      <c r="G1745" s="2365"/>
      <c r="H1745" s="2365"/>
      <c r="I1745" s="2365"/>
      <c r="J1745" s="2365"/>
      <c r="K1745" s="2365"/>
      <c r="L1745" s="1721"/>
      <c r="M1745" s="1710"/>
      <c r="N1745" s="1711"/>
    </row>
    <row r="1746" spans="1:14" ht="24" customHeight="1">
      <c r="A1746" s="1780"/>
      <c r="B1746" s="2366" t="s">
        <v>1769</v>
      </c>
      <c r="C1746" s="2366"/>
      <c r="D1746" s="1828"/>
      <c r="E1746" s="1769"/>
      <c r="F1746" s="1828"/>
      <c r="G1746" s="1828" t="s">
        <v>134</v>
      </c>
      <c r="H1746" s="1828"/>
      <c r="I1746" s="1828"/>
      <c r="J1746" s="1828"/>
      <c r="K1746" s="1828"/>
      <c r="L1746" s="1721"/>
      <c r="M1746" s="1710"/>
      <c r="N1746" s="1711"/>
    </row>
    <row r="1747" spans="1:14" ht="24" customHeight="1">
      <c r="A1747" s="1780"/>
      <c r="B1747" s="2367" t="s">
        <v>1970</v>
      </c>
      <c r="C1747" s="2367"/>
      <c r="D1747" s="1831"/>
      <c r="E1747" s="1832"/>
      <c r="F1747" s="1833"/>
      <c r="G1747" s="1833" t="s">
        <v>1971</v>
      </c>
      <c r="H1747" s="1833"/>
      <c r="I1747" s="1833"/>
      <c r="J1747" s="1833"/>
      <c r="K1747" s="1833"/>
      <c r="L1747" s="1721"/>
      <c r="M1747" s="1710"/>
      <c r="N1747" s="1711"/>
    </row>
    <row r="1748" spans="1:14" ht="24" customHeight="1">
      <c r="A1748" s="1830"/>
      <c r="B1748" s="1828" t="s">
        <v>2031</v>
      </c>
      <c r="C1748" s="1830"/>
      <c r="D1748" s="1830"/>
      <c r="E1748" s="1830"/>
      <c r="F1748" s="1830"/>
      <c r="G1748" s="1828" t="s">
        <v>2031</v>
      </c>
      <c r="H1748" s="1830"/>
      <c r="I1748" s="1830"/>
      <c r="J1748" s="1830"/>
      <c r="K1748" s="1830"/>
      <c r="L1748" s="1721"/>
      <c r="M1748" s="1710"/>
      <c r="N1748" s="1711"/>
    </row>
    <row r="1749" spans="1:14" ht="24" customHeight="1">
      <c r="B1749" s="1721" t="s">
        <v>1984</v>
      </c>
      <c r="C1749" s="1830"/>
      <c r="D1749" s="1685"/>
      <c r="E1749" s="1685"/>
      <c r="G1749" s="1721" t="s">
        <v>1985</v>
      </c>
      <c r="H1749" s="1685"/>
      <c r="I1749" s="1685"/>
      <c r="J1749" s="1685"/>
      <c r="K1749" s="1685"/>
      <c r="L1749" s="1721"/>
      <c r="M1749" s="1710"/>
      <c r="N1749" s="1711"/>
    </row>
    <row r="1750" spans="1:14" ht="24" customHeight="1">
      <c r="B1750" s="1828" t="s">
        <v>670</v>
      </c>
      <c r="L1750" s="1721"/>
      <c r="M1750" s="1710"/>
      <c r="N1750" s="1711"/>
    </row>
    <row r="1751" spans="1:14" ht="24" customHeight="1">
      <c r="B1751" s="1721" t="s">
        <v>1972</v>
      </c>
      <c r="L1751" s="1721"/>
      <c r="M1751" s="1710"/>
      <c r="N1751" s="1711"/>
    </row>
    <row r="1752" spans="1:14" s="1685" customFormat="1" ht="24" customHeight="1">
      <c r="A1752" s="1702"/>
      <c r="B1752" s="2369" t="s">
        <v>1035</v>
      </c>
      <c r="C1752" s="2373"/>
      <c r="D1752" s="1705"/>
      <c r="E1752" s="1706"/>
      <c r="F1752" s="1707"/>
      <c r="G1752" s="1707"/>
      <c r="H1752" s="1707"/>
      <c r="I1752" s="1707"/>
      <c r="J1752" s="1707"/>
      <c r="K1752" s="1709"/>
      <c r="L1752" s="1721"/>
      <c r="M1752" s="1711"/>
      <c r="N1752" s="1711"/>
    </row>
    <row r="1753" spans="1:14" s="1685" customFormat="1" ht="24" customHeight="1">
      <c r="A1753" s="1712"/>
      <c r="B1753" s="2368" t="s">
        <v>1034</v>
      </c>
      <c r="C1753" s="2370"/>
      <c r="D1753" s="1675"/>
      <c r="E1753" s="1676"/>
      <c r="F1753" s="1669"/>
      <c r="G1753" s="1669"/>
      <c r="H1753" s="1669"/>
      <c r="I1753" s="1669"/>
      <c r="J1753" s="1669"/>
      <c r="K1753" s="1708"/>
      <c r="L1753" s="1721"/>
      <c r="M1753" s="1711"/>
      <c r="N1753" s="1711"/>
    </row>
    <row r="1754" spans="1:14" ht="24" customHeight="1">
      <c r="A1754" s="1712"/>
      <c r="B1754" s="1673" t="s">
        <v>139</v>
      </c>
      <c r="C1754" s="1674" t="s">
        <v>228</v>
      </c>
      <c r="D1754" s="1675">
        <v>17</v>
      </c>
      <c r="E1754" s="1676" t="s">
        <v>85</v>
      </c>
      <c r="F1754" s="1736">
        <v>2679.9</v>
      </c>
      <c r="G1754" s="1736">
        <v>519</v>
      </c>
      <c r="H1754" s="1669">
        <f t="shared" ref="H1754:H1765" si="275">F1754*D1754</f>
        <v>45558.3</v>
      </c>
      <c r="I1754" s="1669">
        <f t="shared" ref="I1754:I1765" si="276">G1754*D1754</f>
        <v>8823</v>
      </c>
      <c r="J1754" s="1669">
        <f t="shared" ref="J1754:J1760" si="277">SUM(H1754:I1754)</f>
        <v>54381.3</v>
      </c>
      <c r="K1754" s="1708"/>
      <c r="L1754" s="1721"/>
      <c r="M1754" s="1710" t="s">
        <v>1016</v>
      </c>
      <c r="N1754" s="1711" t="s">
        <v>659</v>
      </c>
    </row>
    <row r="1755" spans="1:14" ht="24" customHeight="1">
      <c r="A1755" s="1712"/>
      <c r="B1755" s="2368" t="s">
        <v>1036</v>
      </c>
      <c r="C1755" s="2370"/>
      <c r="D1755" s="1675">
        <v>93.9</v>
      </c>
      <c r="E1755" s="1676"/>
      <c r="F1755" s="1669"/>
      <c r="G1755" s="1669"/>
      <c r="H1755" s="1669"/>
      <c r="I1755" s="1669"/>
      <c r="J1755" s="1669"/>
      <c r="K1755" s="1708"/>
      <c r="L1755" s="1721"/>
      <c r="M1755" s="1711"/>
      <c r="N1755" s="1711"/>
    </row>
    <row r="1756" spans="1:14" ht="24" customHeight="1">
      <c r="A1756" s="1712"/>
      <c r="B1756" s="1673" t="s">
        <v>139</v>
      </c>
      <c r="C1756" s="1674" t="s">
        <v>165</v>
      </c>
      <c r="D1756" s="1675">
        <f>D1755</f>
        <v>93.9</v>
      </c>
      <c r="E1756" s="1676" t="s">
        <v>86</v>
      </c>
      <c r="F1756" s="1736">
        <v>0</v>
      </c>
      <c r="G1756" s="1669">
        <v>121</v>
      </c>
      <c r="H1756" s="1669">
        <f t="shared" si="275"/>
        <v>0</v>
      </c>
      <c r="I1756" s="1669">
        <f t="shared" si="276"/>
        <v>11361.900000000001</v>
      </c>
      <c r="J1756" s="1669">
        <f t="shared" si="277"/>
        <v>11361.900000000001</v>
      </c>
      <c r="K1756" s="1708"/>
      <c r="L1756" s="1721"/>
      <c r="M1756" s="1710" t="s">
        <v>1017</v>
      </c>
      <c r="N1756" s="1711" t="s">
        <v>659</v>
      </c>
    </row>
    <row r="1757" spans="1:14" ht="24" customHeight="1">
      <c r="A1757" s="1712"/>
      <c r="B1757" s="1673" t="s">
        <v>139</v>
      </c>
      <c r="C1757" s="1674" t="s">
        <v>198</v>
      </c>
      <c r="D1757" s="1675">
        <f>D1755*0.5</f>
        <v>46.95</v>
      </c>
      <c r="E1757" s="1676" t="s">
        <v>164</v>
      </c>
      <c r="F1757" s="1736">
        <v>400</v>
      </c>
      <c r="G1757" s="1736">
        <v>0</v>
      </c>
      <c r="H1757" s="1669">
        <f t="shared" si="275"/>
        <v>18780</v>
      </c>
      <c r="I1757" s="1669">
        <f t="shared" si="276"/>
        <v>0</v>
      </c>
      <c r="J1757" s="1669">
        <f t="shared" si="277"/>
        <v>18780</v>
      </c>
      <c r="K1757" s="1708"/>
      <c r="L1757" s="1721"/>
      <c r="M1757" s="1710" t="s">
        <v>1018</v>
      </c>
      <c r="N1757" s="1711"/>
    </row>
    <row r="1758" spans="1:14" ht="24" customHeight="1">
      <c r="A1758" s="1712"/>
      <c r="B1758" s="1673" t="s">
        <v>139</v>
      </c>
      <c r="C1758" s="1674" t="s">
        <v>166</v>
      </c>
      <c r="D1758" s="1675">
        <f>D1757*0.3</f>
        <v>14.085000000000001</v>
      </c>
      <c r="E1758" s="1676" t="s">
        <v>164</v>
      </c>
      <c r="F1758" s="1736">
        <v>400</v>
      </c>
      <c r="G1758" s="1736">
        <v>0</v>
      </c>
      <c r="H1758" s="1669">
        <f t="shared" si="275"/>
        <v>5634</v>
      </c>
      <c r="I1758" s="1669">
        <f t="shared" si="276"/>
        <v>0</v>
      </c>
      <c r="J1758" s="1669">
        <f t="shared" si="277"/>
        <v>5634</v>
      </c>
      <c r="K1758" s="1708"/>
      <c r="L1758" s="1721"/>
      <c r="M1758" s="1710" t="s">
        <v>1018</v>
      </c>
      <c r="N1758" s="1685"/>
    </row>
    <row r="1759" spans="1:14" ht="24" customHeight="1">
      <c r="A1759" s="1712"/>
      <c r="B1759" s="1673" t="s">
        <v>139</v>
      </c>
      <c r="C1759" s="1674" t="s">
        <v>163</v>
      </c>
      <c r="D1759" s="1675">
        <f>D1755</f>
        <v>93.9</v>
      </c>
      <c r="E1759" s="1676" t="s">
        <v>83</v>
      </c>
      <c r="F1759" s="1736">
        <v>28</v>
      </c>
      <c r="G1759" s="1736">
        <v>0</v>
      </c>
      <c r="H1759" s="1669">
        <f t="shared" si="275"/>
        <v>2629.2000000000003</v>
      </c>
      <c r="I1759" s="1669">
        <f t="shared" si="276"/>
        <v>0</v>
      </c>
      <c r="J1759" s="1669">
        <f t="shared" si="277"/>
        <v>2629.2000000000003</v>
      </c>
      <c r="K1759" s="1708"/>
      <c r="L1759" s="1721"/>
      <c r="M1759" s="1710" t="s">
        <v>1018</v>
      </c>
      <c r="N1759" s="1685"/>
    </row>
    <row r="1760" spans="1:14" ht="24" customHeight="1">
      <c r="A1760" s="1712"/>
      <c r="B1760" s="1673" t="s">
        <v>139</v>
      </c>
      <c r="C1760" s="1674" t="s">
        <v>1781</v>
      </c>
      <c r="D1760" s="1675">
        <f>D1755*0.25</f>
        <v>23.475000000000001</v>
      </c>
      <c r="E1760" s="1676" t="s">
        <v>87</v>
      </c>
      <c r="F1760" s="1736">
        <v>23.89</v>
      </c>
      <c r="G1760" s="1736">
        <v>0</v>
      </c>
      <c r="H1760" s="1669">
        <f t="shared" si="275"/>
        <v>560.81775000000005</v>
      </c>
      <c r="I1760" s="1669">
        <f t="shared" si="276"/>
        <v>0</v>
      </c>
      <c r="J1760" s="1669">
        <f t="shared" si="277"/>
        <v>560.81775000000005</v>
      </c>
      <c r="K1760" s="1708"/>
      <c r="L1760" s="1721"/>
      <c r="M1760" s="1710" t="s">
        <v>660</v>
      </c>
      <c r="N1760" s="1685"/>
    </row>
    <row r="1761" spans="1:14" ht="24" customHeight="1">
      <c r="A1761" s="1712"/>
      <c r="B1761" s="2368" t="s">
        <v>1037</v>
      </c>
      <c r="C1761" s="2370"/>
      <c r="D1761" s="1675"/>
      <c r="E1761" s="1676"/>
      <c r="F1761" s="1669"/>
      <c r="G1761" s="1669"/>
      <c r="H1761" s="1669"/>
      <c r="I1761" s="1669"/>
      <c r="J1761" s="1669"/>
      <c r="K1761" s="1708"/>
      <c r="L1761" s="1721"/>
      <c r="M1761" s="1711"/>
      <c r="N1761" s="1711"/>
    </row>
    <row r="1762" spans="1:14" ht="24" customHeight="1">
      <c r="A1762" s="1712"/>
      <c r="B1762" s="1673" t="s">
        <v>139</v>
      </c>
      <c r="C1762" s="1674" t="s">
        <v>88</v>
      </c>
      <c r="D1762" s="1675">
        <v>345.2</v>
      </c>
      <c r="E1762" s="1676" t="s">
        <v>87</v>
      </c>
      <c r="F1762" s="1736">
        <v>21.4</v>
      </c>
      <c r="G1762" s="1736">
        <v>4.4000000000000004</v>
      </c>
      <c r="H1762" s="1669">
        <f t="shared" si="275"/>
        <v>7387.2799999999988</v>
      </c>
      <c r="I1762" s="1669">
        <f t="shared" si="276"/>
        <v>1518.88</v>
      </c>
      <c r="J1762" s="1669">
        <f>SUM(H1762:I1762)</f>
        <v>8906.16</v>
      </c>
      <c r="K1762" s="1708"/>
      <c r="L1762" s="1721"/>
      <c r="M1762" s="1710" t="s">
        <v>1016</v>
      </c>
      <c r="N1762" s="1685" t="s">
        <v>659</v>
      </c>
    </row>
    <row r="1763" spans="1:14" ht="24" customHeight="1">
      <c r="A1763" s="1712"/>
      <c r="B1763" s="1673" t="s">
        <v>139</v>
      </c>
      <c r="C1763" s="1674" t="s">
        <v>89</v>
      </c>
      <c r="D1763" s="1675">
        <v>1167.2</v>
      </c>
      <c r="E1763" s="1676" t="s">
        <v>87</v>
      </c>
      <c r="F1763" s="1736">
        <v>21.4</v>
      </c>
      <c r="G1763" s="1736">
        <v>3.6</v>
      </c>
      <c r="H1763" s="1669">
        <f t="shared" si="275"/>
        <v>24978.079999999998</v>
      </c>
      <c r="I1763" s="1669">
        <f t="shared" si="276"/>
        <v>4201.92</v>
      </c>
      <c r="J1763" s="1669">
        <f>SUM(H1763:I1763)</f>
        <v>29180</v>
      </c>
      <c r="K1763" s="1708"/>
      <c r="L1763" s="1721"/>
      <c r="M1763" s="1710" t="s">
        <v>1016</v>
      </c>
      <c r="N1763" s="1685" t="s">
        <v>659</v>
      </c>
    </row>
    <row r="1764" spans="1:14" ht="24" customHeight="1">
      <c r="A1764" s="1664"/>
      <c r="B1764" s="1665" t="s">
        <v>139</v>
      </c>
      <c r="C1764" s="1666" t="s">
        <v>91</v>
      </c>
      <c r="D1764" s="1675">
        <v>628.1</v>
      </c>
      <c r="E1764" s="1668" t="s">
        <v>87</v>
      </c>
      <c r="F1764" s="1744">
        <v>21.2</v>
      </c>
      <c r="G1764" s="1744">
        <v>3.1</v>
      </c>
      <c r="H1764" s="1670">
        <f t="shared" si="275"/>
        <v>13315.72</v>
      </c>
      <c r="I1764" s="1670">
        <f t="shared" si="276"/>
        <v>1947.1100000000001</v>
      </c>
      <c r="J1764" s="1670">
        <f>SUM(H1764:I1764)</f>
        <v>15262.83</v>
      </c>
      <c r="K1764" s="1708"/>
      <c r="L1764" s="1721"/>
      <c r="M1764" s="1710" t="s">
        <v>1016</v>
      </c>
      <c r="N1764" s="1711" t="s">
        <v>659</v>
      </c>
    </row>
    <row r="1765" spans="1:14" ht="24" customHeight="1">
      <c r="A1765" s="1712"/>
      <c r="B1765" s="1673" t="s">
        <v>139</v>
      </c>
      <c r="C1765" s="1674" t="s">
        <v>200</v>
      </c>
      <c r="D1765" s="1675">
        <f>SUM(D1762:D1764)*0.03</f>
        <v>64.215000000000003</v>
      </c>
      <c r="E1765" s="1676" t="s">
        <v>87</v>
      </c>
      <c r="F1765" s="1677">
        <v>25.83</v>
      </c>
      <c r="G1765" s="1677">
        <v>0</v>
      </c>
      <c r="H1765" s="1669">
        <f t="shared" si="275"/>
        <v>1658.67345</v>
      </c>
      <c r="I1765" s="1669">
        <f t="shared" si="276"/>
        <v>0</v>
      </c>
      <c r="J1765" s="1669">
        <f>SUM(H1765:I1765)</f>
        <v>1658.67345</v>
      </c>
      <c r="K1765" s="1708"/>
      <c r="L1765" s="1721"/>
      <c r="M1765" s="1710" t="s">
        <v>1019</v>
      </c>
      <c r="N1765" s="1711"/>
    </row>
    <row r="1766" spans="1:14" ht="24" customHeight="1">
      <c r="A1766" s="1712"/>
      <c r="B1766" s="2368" t="s">
        <v>1038</v>
      </c>
      <c r="C1766" s="2370"/>
      <c r="D1766" s="1675"/>
      <c r="E1766" s="1676"/>
      <c r="F1766" s="1669"/>
      <c r="G1766" s="1669"/>
      <c r="H1766" s="1669"/>
      <c r="I1766" s="1669"/>
      <c r="J1766" s="1669"/>
      <c r="K1766" s="1708"/>
      <c r="L1766" s="1721"/>
      <c r="M1766" s="1711"/>
      <c r="N1766" s="1711"/>
    </row>
    <row r="1767" spans="1:14" ht="24" customHeight="1">
      <c r="A1767" s="1712"/>
      <c r="B1767" s="2368" t="s">
        <v>1039</v>
      </c>
      <c r="C1767" s="2370"/>
      <c r="D1767" s="1675"/>
      <c r="E1767" s="1676"/>
      <c r="F1767" s="1669"/>
      <c r="G1767" s="1669"/>
      <c r="H1767" s="1669"/>
      <c r="I1767" s="1669"/>
      <c r="J1767" s="1669"/>
      <c r="K1767" s="1708"/>
      <c r="L1767" s="1721"/>
      <c r="M1767" s="1711"/>
      <c r="N1767" s="1711"/>
    </row>
    <row r="1768" spans="1:14" s="1685" customFormat="1" ht="24" customHeight="1">
      <c r="A1768" s="1712"/>
      <c r="B1768" s="1673" t="s">
        <v>139</v>
      </c>
      <c r="C1768" s="1674" t="s">
        <v>228</v>
      </c>
      <c r="D1768" s="1675">
        <v>14.2</v>
      </c>
      <c r="E1768" s="1676" t="s">
        <v>85</v>
      </c>
      <c r="F1768" s="1736">
        <v>2679.9</v>
      </c>
      <c r="G1768" s="1736">
        <v>519</v>
      </c>
      <c r="H1768" s="1669">
        <f t="shared" ref="H1768:H1786" si="278">F1768*D1768</f>
        <v>38054.58</v>
      </c>
      <c r="I1768" s="1669">
        <f t="shared" ref="I1768:I1786" si="279">G1768*D1768</f>
        <v>7369.7999999999993</v>
      </c>
      <c r="J1768" s="1669">
        <f t="shared" ref="J1768:J1774" si="280">SUM(H1768:I1768)</f>
        <v>45424.380000000005</v>
      </c>
      <c r="K1768" s="1708"/>
      <c r="L1768" s="1721"/>
      <c r="M1768" s="1710" t="s">
        <v>1016</v>
      </c>
      <c r="N1768" s="1711" t="s">
        <v>659</v>
      </c>
    </row>
    <row r="1769" spans="1:14" s="1685" customFormat="1" ht="24" customHeight="1">
      <c r="A1769" s="1702"/>
      <c r="B1769" s="2369" t="s">
        <v>1040</v>
      </c>
      <c r="C1769" s="2373"/>
      <c r="D1769" s="1705">
        <v>95</v>
      </c>
      <c r="E1769" s="1706"/>
      <c r="F1769" s="1707"/>
      <c r="G1769" s="1707"/>
      <c r="H1769" s="1707"/>
      <c r="I1769" s="1707"/>
      <c r="J1769" s="1707"/>
      <c r="K1769" s="1708"/>
      <c r="L1769" s="1721"/>
      <c r="M1769" s="1711"/>
      <c r="N1769" s="1711"/>
    </row>
    <row r="1770" spans="1:14" ht="24" customHeight="1">
      <c r="A1770" s="1712"/>
      <c r="B1770" s="1673" t="s">
        <v>139</v>
      </c>
      <c r="C1770" s="1674" t="s">
        <v>165</v>
      </c>
      <c r="D1770" s="1675">
        <f>D1769</f>
        <v>95</v>
      </c>
      <c r="E1770" s="1676" t="s">
        <v>86</v>
      </c>
      <c r="F1770" s="1736">
        <v>0</v>
      </c>
      <c r="G1770" s="1669">
        <v>121</v>
      </c>
      <c r="H1770" s="1669">
        <f t="shared" si="278"/>
        <v>0</v>
      </c>
      <c r="I1770" s="1669">
        <f t="shared" si="279"/>
        <v>11495</v>
      </c>
      <c r="J1770" s="1669">
        <f t="shared" si="280"/>
        <v>11495</v>
      </c>
      <c r="K1770" s="1708"/>
      <c r="L1770" s="1721"/>
      <c r="M1770" s="1710" t="s">
        <v>1017</v>
      </c>
      <c r="N1770" s="1711" t="s">
        <v>659</v>
      </c>
    </row>
    <row r="1771" spans="1:14" ht="24" customHeight="1">
      <c r="A1771" s="1712"/>
      <c r="B1771" s="1673" t="s">
        <v>139</v>
      </c>
      <c r="C1771" s="1674" t="s">
        <v>198</v>
      </c>
      <c r="D1771" s="1675">
        <f>D1769*0.5</f>
        <v>47.5</v>
      </c>
      <c r="E1771" s="1676" t="s">
        <v>164</v>
      </c>
      <c r="F1771" s="1736">
        <v>400</v>
      </c>
      <c r="G1771" s="1736">
        <v>0</v>
      </c>
      <c r="H1771" s="1669">
        <f t="shared" si="278"/>
        <v>19000</v>
      </c>
      <c r="I1771" s="1669">
        <f t="shared" si="279"/>
        <v>0</v>
      </c>
      <c r="J1771" s="1669">
        <f t="shared" si="280"/>
        <v>19000</v>
      </c>
      <c r="K1771" s="1708"/>
      <c r="L1771" s="1721"/>
      <c r="M1771" s="1710" t="s">
        <v>1018</v>
      </c>
      <c r="N1771" s="1711"/>
    </row>
    <row r="1772" spans="1:14" ht="24" customHeight="1">
      <c r="A1772" s="1712"/>
      <c r="B1772" s="1673" t="s">
        <v>139</v>
      </c>
      <c r="C1772" s="1674" t="s">
        <v>166</v>
      </c>
      <c r="D1772" s="1675">
        <f>D1771*0.3</f>
        <v>14.25</v>
      </c>
      <c r="E1772" s="1676" t="s">
        <v>164</v>
      </c>
      <c r="F1772" s="1736">
        <v>400</v>
      </c>
      <c r="G1772" s="1736">
        <v>0</v>
      </c>
      <c r="H1772" s="1669">
        <f t="shared" si="278"/>
        <v>5700</v>
      </c>
      <c r="I1772" s="1669">
        <f t="shared" si="279"/>
        <v>0</v>
      </c>
      <c r="J1772" s="1669">
        <f t="shared" si="280"/>
        <v>5700</v>
      </c>
      <c r="K1772" s="1708"/>
      <c r="L1772" s="1721"/>
      <c r="M1772" s="1710" t="s">
        <v>1018</v>
      </c>
      <c r="N1772" s="1685"/>
    </row>
    <row r="1773" spans="1:14" ht="24" customHeight="1">
      <c r="A1773" s="1712"/>
      <c r="B1773" s="1673" t="s">
        <v>139</v>
      </c>
      <c r="C1773" s="1674" t="s">
        <v>163</v>
      </c>
      <c r="D1773" s="1675">
        <f>D1769</f>
        <v>95</v>
      </c>
      <c r="E1773" s="1676" t="s">
        <v>83</v>
      </c>
      <c r="F1773" s="1736">
        <v>28</v>
      </c>
      <c r="G1773" s="1736">
        <v>0</v>
      </c>
      <c r="H1773" s="1669">
        <f t="shared" si="278"/>
        <v>2660</v>
      </c>
      <c r="I1773" s="1669">
        <f t="shared" si="279"/>
        <v>0</v>
      </c>
      <c r="J1773" s="1669">
        <f t="shared" si="280"/>
        <v>2660</v>
      </c>
      <c r="K1773" s="1708"/>
      <c r="L1773" s="1721"/>
      <c r="M1773" s="1710" t="s">
        <v>1018</v>
      </c>
      <c r="N1773" s="1685"/>
    </row>
    <row r="1774" spans="1:14" ht="24" customHeight="1">
      <c r="A1774" s="1712"/>
      <c r="B1774" s="1673" t="s">
        <v>139</v>
      </c>
      <c r="C1774" s="1674" t="s">
        <v>1781</v>
      </c>
      <c r="D1774" s="1675">
        <f>D1769*0.25</f>
        <v>23.75</v>
      </c>
      <c r="E1774" s="1676" t="s">
        <v>87</v>
      </c>
      <c r="F1774" s="1736">
        <v>23.89</v>
      </c>
      <c r="G1774" s="1736">
        <v>0</v>
      </c>
      <c r="H1774" s="1669">
        <f t="shared" si="278"/>
        <v>567.38750000000005</v>
      </c>
      <c r="I1774" s="1669">
        <f t="shared" si="279"/>
        <v>0</v>
      </c>
      <c r="J1774" s="1669">
        <f t="shared" si="280"/>
        <v>567.38750000000005</v>
      </c>
      <c r="K1774" s="1708"/>
      <c r="L1774" s="1721"/>
      <c r="M1774" s="1710" t="s">
        <v>660</v>
      </c>
      <c r="N1774" s="1685"/>
    </row>
    <row r="1775" spans="1:14" ht="24" customHeight="1">
      <c r="A1775" s="1780"/>
      <c r="B1775" s="1780"/>
      <c r="C1775" s="1827" t="s">
        <v>133</v>
      </c>
      <c r="D1775" s="2365"/>
      <c r="E1775" s="2365"/>
      <c r="F1775" s="2365"/>
      <c r="G1775" s="2365"/>
      <c r="H1775" s="2365"/>
      <c r="I1775" s="2365"/>
      <c r="J1775" s="2365"/>
      <c r="K1775" s="2365"/>
      <c r="L1775" s="1721"/>
      <c r="M1775" s="1710"/>
      <c r="N1775" s="1685"/>
    </row>
    <row r="1776" spans="1:14" ht="24" customHeight="1">
      <c r="A1776" s="1780"/>
      <c r="B1776" s="2366" t="s">
        <v>1769</v>
      </c>
      <c r="C1776" s="2366"/>
      <c r="D1776" s="1828"/>
      <c r="E1776" s="1769"/>
      <c r="F1776" s="1828"/>
      <c r="G1776" s="1828" t="s">
        <v>134</v>
      </c>
      <c r="H1776" s="1828"/>
      <c r="I1776" s="1828"/>
      <c r="J1776" s="1828"/>
      <c r="K1776" s="1828"/>
      <c r="L1776" s="1721"/>
      <c r="M1776" s="1710"/>
      <c r="N1776" s="1685"/>
    </row>
    <row r="1777" spans="1:22" ht="24" customHeight="1">
      <c r="A1777" s="1780"/>
      <c r="B1777" s="2367" t="s">
        <v>1970</v>
      </c>
      <c r="C1777" s="2367"/>
      <c r="D1777" s="1831"/>
      <c r="E1777" s="1832"/>
      <c r="F1777" s="1833"/>
      <c r="G1777" s="1833" t="s">
        <v>1971</v>
      </c>
      <c r="H1777" s="1833"/>
      <c r="I1777" s="1833"/>
      <c r="J1777" s="1833"/>
      <c r="K1777" s="1833"/>
      <c r="L1777" s="1721"/>
      <c r="M1777" s="1710"/>
      <c r="N1777" s="1685"/>
    </row>
    <row r="1778" spans="1:22" ht="24" customHeight="1">
      <c r="A1778" s="1830"/>
      <c r="B1778" s="1828" t="s">
        <v>2031</v>
      </c>
      <c r="C1778" s="1830"/>
      <c r="D1778" s="1830"/>
      <c r="E1778" s="1830"/>
      <c r="F1778" s="1830"/>
      <c r="G1778" s="1828" t="s">
        <v>2031</v>
      </c>
      <c r="H1778" s="1830"/>
      <c r="I1778" s="1830"/>
      <c r="J1778" s="1830"/>
      <c r="K1778" s="1830"/>
      <c r="L1778" s="1721"/>
      <c r="M1778" s="1710"/>
      <c r="N1778" s="1685"/>
    </row>
    <row r="1779" spans="1:22" ht="24" customHeight="1">
      <c r="B1779" s="1721" t="s">
        <v>1984</v>
      </c>
      <c r="C1779" s="1830"/>
      <c r="D1779" s="1685"/>
      <c r="E1779" s="1685"/>
      <c r="G1779" s="1721" t="s">
        <v>1985</v>
      </c>
      <c r="H1779" s="1685"/>
      <c r="I1779" s="1685"/>
      <c r="J1779" s="1685"/>
      <c r="K1779" s="1685"/>
      <c r="L1779" s="1721"/>
      <c r="M1779" s="1710"/>
      <c r="N1779" s="1685"/>
    </row>
    <row r="1780" spans="1:22" ht="24" customHeight="1">
      <c r="B1780" s="1828" t="s">
        <v>670</v>
      </c>
      <c r="L1780" s="1721"/>
      <c r="M1780" s="1710"/>
      <c r="N1780" s="1685"/>
    </row>
    <row r="1781" spans="1:22" ht="24" customHeight="1">
      <c r="B1781" s="1721" t="s">
        <v>1972</v>
      </c>
      <c r="L1781" s="1721"/>
      <c r="M1781" s="1710"/>
      <c r="N1781" s="1685"/>
    </row>
    <row r="1782" spans="1:22" ht="24" customHeight="1">
      <c r="A1782" s="1712"/>
      <c r="B1782" s="2368" t="s">
        <v>1041</v>
      </c>
      <c r="C1782" s="2370"/>
      <c r="D1782" s="1675"/>
      <c r="E1782" s="1676"/>
      <c r="F1782" s="1669"/>
      <c r="G1782" s="1669"/>
      <c r="H1782" s="1669"/>
      <c r="I1782" s="1669"/>
      <c r="J1782" s="1669"/>
      <c r="K1782" s="1708"/>
      <c r="L1782" s="1721"/>
      <c r="M1782" s="1711"/>
      <c r="N1782" s="1711"/>
    </row>
    <row r="1783" spans="1:22" ht="24" customHeight="1">
      <c r="A1783" s="1712"/>
      <c r="B1783" s="1673" t="s">
        <v>139</v>
      </c>
      <c r="C1783" s="1674" t="s">
        <v>88</v>
      </c>
      <c r="D1783" s="1675">
        <v>288.60000000000002</v>
      </c>
      <c r="E1783" s="1676" t="s">
        <v>87</v>
      </c>
      <c r="F1783" s="1677">
        <v>21.4</v>
      </c>
      <c r="G1783" s="1677">
        <v>4.4000000000000004</v>
      </c>
      <c r="H1783" s="1669">
        <f t="shared" si="278"/>
        <v>6176.04</v>
      </c>
      <c r="I1783" s="1669">
        <f t="shared" si="279"/>
        <v>1269.8400000000001</v>
      </c>
      <c r="J1783" s="1669">
        <f>SUM(H1783:I1783)</f>
        <v>7445.88</v>
      </c>
      <c r="K1783" s="1708"/>
      <c r="L1783" s="1721"/>
      <c r="M1783" s="1710" t="s">
        <v>1016</v>
      </c>
      <c r="N1783" s="1711" t="s">
        <v>659</v>
      </c>
    </row>
    <row r="1784" spans="1:22" ht="24" customHeight="1">
      <c r="A1784" s="1664"/>
      <c r="B1784" s="1665" t="s">
        <v>139</v>
      </c>
      <c r="C1784" s="1666" t="s">
        <v>89</v>
      </c>
      <c r="D1784" s="1675">
        <v>1118.7</v>
      </c>
      <c r="E1784" s="1668" t="s">
        <v>87</v>
      </c>
      <c r="F1784" s="1744">
        <v>21.4</v>
      </c>
      <c r="G1784" s="1744">
        <v>3.6</v>
      </c>
      <c r="H1784" s="1670">
        <f t="shared" si="278"/>
        <v>23940.18</v>
      </c>
      <c r="I1784" s="1670">
        <f t="shared" si="279"/>
        <v>4027.32</v>
      </c>
      <c r="J1784" s="1670">
        <f>SUM(H1784:I1784)</f>
        <v>27967.5</v>
      </c>
      <c r="K1784" s="1708"/>
      <c r="L1784" s="1721"/>
      <c r="M1784" s="1710" t="s">
        <v>1016</v>
      </c>
      <c r="N1784" s="1711" t="s">
        <v>659</v>
      </c>
    </row>
    <row r="1785" spans="1:22" ht="24" customHeight="1">
      <c r="A1785" s="1712"/>
      <c r="B1785" s="1673" t="s">
        <v>139</v>
      </c>
      <c r="C1785" s="1674" t="s">
        <v>1014</v>
      </c>
      <c r="D1785" s="1675">
        <v>841.5</v>
      </c>
      <c r="E1785" s="1676" t="s">
        <v>87</v>
      </c>
      <c r="F1785" s="1677">
        <v>21.2</v>
      </c>
      <c r="G1785" s="1677">
        <v>3.1</v>
      </c>
      <c r="H1785" s="1669">
        <f t="shared" si="278"/>
        <v>17839.8</v>
      </c>
      <c r="I1785" s="1669">
        <f t="shared" si="279"/>
        <v>2608.65</v>
      </c>
      <c r="J1785" s="1669">
        <f>SUM(H1785:I1785)</f>
        <v>20448.45</v>
      </c>
      <c r="K1785" s="1708"/>
      <c r="L1785" s="1721"/>
      <c r="M1785" s="1710" t="s">
        <v>1016</v>
      </c>
      <c r="N1785" s="1711" t="s">
        <v>659</v>
      </c>
    </row>
    <row r="1786" spans="1:22" ht="24" customHeight="1">
      <c r="A1786" s="1712"/>
      <c r="B1786" s="1673" t="s">
        <v>139</v>
      </c>
      <c r="C1786" s="1674" t="s">
        <v>200</v>
      </c>
      <c r="D1786" s="1675">
        <f>SUM(D1783:D1785)*0.03</f>
        <v>67.463999999999999</v>
      </c>
      <c r="E1786" s="1676" t="s">
        <v>87</v>
      </c>
      <c r="F1786" s="1677">
        <v>25.83</v>
      </c>
      <c r="G1786" s="1677">
        <v>0</v>
      </c>
      <c r="H1786" s="1669">
        <f t="shared" si="278"/>
        <v>1742.59512</v>
      </c>
      <c r="I1786" s="1669">
        <f t="shared" si="279"/>
        <v>0</v>
      </c>
      <c r="J1786" s="1669">
        <f>SUM(H1786:I1786)</f>
        <v>1742.59512</v>
      </c>
      <c r="K1786" s="1708"/>
      <c r="L1786" s="1721"/>
      <c r="M1786" s="1710" t="s">
        <v>1019</v>
      </c>
      <c r="N1786" s="1711"/>
    </row>
    <row r="1787" spans="1:22" ht="24" customHeight="1">
      <c r="A1787" s="1715"/>
      <c r="B1787" s="1716"/>
      <c r="C1787" s="1717"/>
      <c r="D1787" s="1718"/>
      <c r="E1787" s="1719"/>
      <c r="F1787" s="1751"/>
      <c r="G1787" s="1751"/>
      <c r="H1787" s="1720"/>
      <c r="I1787" s="1720"/>
      <c r="J1787" s="1720"/>
      <c r="K1787" s="1752"/>
      <c r="L1787" s="1721"/>
      <c r="M1787" s="1710"/>
      <c r="N1787" s="1711"/>
    </row>
    <row r="1788" spans="1:22" ht="24" customHeight="1" thickBot="1">
      <c r="A1788" s="1722"/>
      <c r="B1788" s="1753"/>
      <c r="C1788" s="1724" t="str">
        <f>"รวมราคา "&amp;B1596</f>
        <v>รวมราคา งานโครงสร้างชั้น 8</v>
      </c>
      <c r="D1788" s="1725"/>
      <c r="E1788" s="1726"/>
      <c r="F1788" s="1727"/>
      <c r="G1788" s="1727"/>
      <c r="H1788" s="1727">
        <f>SUM(H1597:H1786)</f>
        <v>3556707.0799900014</v>
      </c>
      <c r="I1788" s="1727">
        <f>SUM(I1597:I1786)</f>
        <v>696794.26000000013</v>
      </c>
      <c r="J1788" s="1727">
        <f>SUM(J1597:J1786)</f>
        <v>4253501.3399900002</v>
      </c>
      <c r="K1788" s="1728"/>
      <c r="L1788" s="1729"/>
      <c r="M1788" s="1701"/>
      <c r="N1788" s="1701"/>
      <c r="Q1788" s="1685"/>
      <c r="R1788" s="1685"/>
      <c r="V1788" s="1711">
        <v>45.276000000000003</v>
      </c>
    </row>
    <row r="1789" spans="1:22" ht="24" customHeight="1" thickTop="1">
      <c r="A1789" s="1791">
        <v>1.1100000000000001</v>
      </c>
      <c r="B1789" s="2374" t="s">
        <v>1029</v>
      </c>
      <c r="C1789" s="2375"/>
      <c r="D1789" s="1731"/>
      <c r="E1789" s="1732"/>
      <c r="F1789" s="1733"/>
      <c r="G1789" s="1733"/>
      <c r="H1789" s="1733"/>
      <c r="I1789" s="1733"/>
      <c r="J1789" s="1733"/>
      <c r="K1789" s="1734"/>
      <c r="L1789" s="1729"/>
      <c r="M1789" s="1701"/>
      <c r="N1789" s="1701"/>
      <c r="Q1789" s="1685"/>
      <c r="R1789" s="1685"/>
      <c r="V1789" s="1711">
        <v>100.352</v>
      </c>
    </row>
    <row r="1790" spans="1:22" s="1685" customFormat="1" ht="24" customHeight="1">
      <c r="A1790" s="1702"/>
      <c r="B1790" s="2369" t="s">
        <v>245</v>
      </c>
      <c r="C1790" s="2373"/>
      <c r="D1790" s="1705"/>
      <c r="E1790" s="1706"/>
      <c r="F1790" s="1707"/>
      <c r="G1790" s="1707"/>
      <c r="H1790" s="1707"/>
      <c r="I1790" s="1707"/>
      <c r="J1790" s="1707"/>
      <c r="K1790" s="1709"/>
      <c r="L1790" s="1721"/>
      <c r="M1790" s="1711"/>
      <c r="N1790" s="1711"/>
      <c r="O1790" s="1711"/>
      <c r="P1790" s="1711"/>
      <c r="Q1790" s="1711"/>
      <c r="R1790" s="1711"/>
      <c r="V1790" s="1685">
        <v>117.69799999999999</v>
      </c>
    </row>
    <row r="1791" spans="1:22" ht="24" customHeight="1">
      <c r="A1791" s="1712"/>
      <c r="B1791" s="1673" t="s">
        <v>139</v>
      </c>
      <c r="C1791" s="1674" t="s">
        <v>97</v>
      </c>
      <c r="D1791" s="1675">
        <v>1017</v>
      </c>
      <c r="E1791" s="1676" t="s">
        <v>86</v>
      </c>
      <c r="F1791" s="1669">
        <v>430</v>
      </c>
      <c r="G1791" s="1677">
        <v>0</v>
      </c>
      <c r="H1791" s="1669">
        <f t="shared" ref="H1791:H1806" si="281">F1791*D1791</f>
        <v>437310</v>
      </c>
      <c r="I1791" s="1669">
        <f t="shared" ref="I1791:I1806" si="282">G1791*D1791</f>
        <v>0</v>
      </c>
      <c r="J1791" s="1669">
        <f t="shared" ref="J1791:J1799" si="283">SUM(H1791:I1791)</f>
        <v>437310</v>
      </c>
      <c r="K1791" s="1679"/>
      <c r="L1791" s="1708" t="s">
        <v>1893</v>
      </c>
      <c r="M1791" s="1710" t="s">
        <v>1871</v>
      </c>
      <c r="N1791" s="1711" t="s">
        <v>663</v>
      </c>
      <c r="V1791" s="1711">
        <v>72.912000000000006</v>
      </c>
    </row>
    <row r="1792" spans="1:22" ht="24" customHeight="1">
      <c r="A1792" s="1702"/>
      <c r="B1792" s="2369" t="s">
        <v>423</v>
      </c>
      <c r="C1792" s="2373"/>
      <c r="D1792" s="1705"/>
      <c r="E1792" s="1706"/>
      <c r="F1792" s="1707"/>
      <c r="G1792" s="1707"/>
      <c r="H1792" s="1707">
        <f t="shared" si="281"/>
        <v>0</v>
      </c>
      <c r="I1792" s="1707">
        <f t="shared" si="282"/>
        <v>0</v>
      </c>
      <c r="J1792" s="1707">
        <f t="shared" si="283"/>
        <v>0</v>
      </c>
      <c r="K1792" s="1709"/>
      <c r="L1792" s="1721"/>
      <c r="M1792" s="1711"/>
      <c r="N1792" s="1711"/>
      <c r="V1792" s="1711">
        <v>91.532000000000011</v>
      </c>
    </row>
    <row r="1793" spans="1:22" ht="24" customHeight="1">
      <c r="A1793" s="1712"/>
      <c r="B1793" s="1673" t="s">
        <v>139</v>
      </c>
      <c r="C1793" s="1674" t="s">
        <v>228</v>
      </c>
      <c r="D1793" s="1675">
        <v>264.5</v>
      </c>
      <c r="E1793" s="1676" t="s">
        <v>85</v>
      </c>
      <c r="F1793" s="1677">
        <v>2679.9</v>
      </c>
      <c r="G1793" s="1677">
        <v>519</v>
      </c>
      <c r="H1793" s="1669">
        <f t="shared" si="281"/>
        <v>708833.55</v>
      </c>
      <c r="I1793" s="1669">
        <f t="shared" si="282"/>
        <v>137275.5</v>
      </c>
      <c r="J1793" s="1669">
        <f t="shared" si="283"/>
        <v>846109.05</v>
      </c>
      <c r="K1793" s="1679"/>
      <c r="L1793" s="1708"/>
      <c r="M1793" s="1710" t="s">
        <v>1016</v>
      </c>
      <c r="N1793" s="1711" t="s">
        <v>659</v>
      </c>
      <c r="V1793" s="1711">
        <v>835.548</v>
      </c>
    </row>
    <row r="1794" spans="1:22" ht="24" customHeight="1">
      <c r="A1794" s="1712"/>
      <c r="B1794" s="1748" t="s">
        <v>225</v>
      </c>
      <c r="C1794" s="1674"/>
      <c r="D1794" s="1675">
        <v>1074.7</v>
      </c>
      <c r="E1794" s="1676"/>
      <c r="F1794" s="1677"/>
      <c r="G1794" s="1677"/>
      <c r="H1794" s="1669"/>
      <c r="I1794" s="1669"/>
      <c r="J1794" s="1669"/>
      <c r="K1794" s="1679"/>
      <c r="L1794" s="1708"/>
      <c r="M1794" s="1710"/>
      <c r="N1794" s="1711"/>
      <c r="V1794" s="1711">
        <v>1154.636</v>
      </c>
    </row>
    <row r="1795" spans="1:22" ht="24" customHeight="1">
      <c r="A1795" s="1712"/>
      <c r="B1795" s="1673" t="s">
        <v>139</v>
      </c>
      <c r="C1795" s="1674" t="s">
        <v>165</v>
      </c>
      <c r="D1795" s="1675">
        <f>D1794</f>
        <v>1074.7</v>
      </c>
      <c r="E1795" s="1676" t="s">
        <v>86</v>
      </c>
      <c r="F1795" s="1669"/>
      <c r="G1795" s="1669">
        <v>121</v>
      </c>
      <c r="H1795" s="1669">
        <f t="shared" si="281"/>
        <v>0</v>
      </c>
      <c r="I1795" s="1669">
        <f t="shared" si="282"/>
        <v>130038.70000000001</v>
      </c>
      <c r="J1795" s="1669">
        <f t="shared" si="283"/>
        <v>130038.70000000001</v>
      </c>
      <c r="K1795" s="1708"/>
      <c r="L1795" s="1721"/>
      <c r="M1795" s="1710" t="s">
        <v>1017</v>
      </c>
      <c r="N1795" s="1711" t="s">
        <v>659</v>
      </c>
      <c r="V1795" s="1711">
        <v>1117.396</v>
      </c>
    </row>
    <row r="1796" spans="1:22" ht="24" customHeight="1">
      <c r="A1796" s="1712"/>
      <c r="B1796" s="1673" t="s">
        <v>139</v>
      </c>
      <c r="C1796" s="1674" t="s">
        <v>198</v>
      </c>
      <c r="D1796" s="1675">
        <f>D1794*0.5</f>
        <v>537.35</v>
      </c>
      <c r="E1796" s="1676" t="s">
        <v>164</v>
      </c>
      <c r="F1796" s="1669">
        <v>400</v>
      </c>
      <c r="G1796" s="1669"/>
      <c r="H1796" s="1669">
        <f t="shared" si="281"/>
        <v>214940</v>
      </c>
      <c r="I1796" s="1669">
        <f t="shared" si="282"/>
        <v>0</v>
      </c>
      <c r="J1796" s="1669">
        <f t="shared" si="283"/>
        <v>214940</v>
      </c>
      <c r="K1796" s="1708"/>
      <c r="L1796" s="1721"/>
      <c r="M1796" s="1710" t="s">
        <v>1018</v>
      </c>
      <c r="N1796" s="1711"/>
      <c r="V1796" s="1711">
        <v>130.04599999999999</v>
      </c>
    </row>
    <row r="1797" spans="1:22" ht="24" customHeight="1">
      <c r="A1797" s="1712"/>
      <c r="B1797" s="1673" t="s">
        <v>139</v>
      </c>
      <c r="C1797" s="1674" t="s">
        <v>166</v>
      </c>
      <c r="D1797" s="1675">
        <f>D1796*0.3</f>
        <v>161.20500000000001</v>
      </c>
      <c r="E1797" s="1676" t="s">
        <v>164</v>
      </c>
      <c r="F1797" s="1669">
        <v>400</v>
      </c>
      <c r="G1797" s="1669">
        <v>0</v>
      </c>
      <c r="H1797" s="1669">
        <f t="shared" si="281"/>
        <v>64482.000000000007</v>
      </c>
      <c r="I1797" s="1669">
        <f t="shared" si="282"/>
        <v>0</v>
      </c>
      <c r="J1797" s="1669">
        <f t="shared" si="283"/>
        <v>64482.000000000007</v>
      </c>
      <c r="K1797" s="1708"/>
      <c r="L1797" s="1721"/>
      <c r="M1797" s="1710" t="s">
        <v>1018</v>
      </c>
      <c r="N1797" s="1711"/>
      <c r="V1797" s="1711">
        <v>15495.563999999998</v>
      </c>
    </row>
    <row r="1798" spans="1:22" ht="24" customHeight="1">
      <c r="A1798" s="1712"/>
      <c r="B1798" s="1673" t="s">
        <v>139</v>
      </c>
      <c r="C1798" s="1674" t="s">
        <v>163</v>
      </c>
      <c r="D1798" s="1675">
        <f>D1794</f>
        <v>1074.7</v>
      </c>
      <c r="E1798" s="1676" t="s">
        <v>83</v>
      </c>
      <c r="F1798" s="1669">
        <v>28</v>
      </c>
      <c r="G1798" s="1669">
        <v>0</v>
      </c>
      <c r="H1798" s="1669">
        <f t="shared" si="281"/>
        <v>30091.600000000002</v>
      </c>
      <c r="I1798" s="1669">
        <f t="shared" si="282"/>
        <v>0</v>
      </c>
      <c r="J1798" s="1669">
        <f t="shared" si="283"/>
        <v>30091.600000000002</v>
      </c>
      <c r="K1798" s="1708"/>
      <c r="L1798" s="1721"/>
      <c r="M1798" s="1710" t="s">
        <v>1018</v>
      </c>
      <c r="N1798" s="1711"/>
      <c r="V1798" s="1711">
        <v>871.02399999999989</v>
      </c>
    </row>
    <row r="1799" spans="1:22" ht="24" customHeight="1">
      <c r="A1799" s="1712"/>
      <c r="B1799" s="1673" t="s">
        <v>139</v>
      </c>
      <c r="C1799" s="1674" t="s">
        <v>1781</v>
      </c>
      <c r="D1799" s="1675">
        <f>D1794*0.25</f>
        <v>268.67500000000001</v>
      </c>
      <c r="E1799" s="1676" t="s">
        <v>87</v>
      </c>
      <c r="F1799" s="1736">
        <v>23.89</v>
      </c>
      <c r="G1799" s="1736">
        <v>0</v>
      </c>
      <c r="H1799" s="1669">
        <f t="shared" si="281"/>
        <v>6418.6457500000006</v>
      </c>
      <c r="I1799" s="1669">
        <f t="shared" si="282"/>
        <v>0</v>
      </c>
      <c r="J1799" s="1669">
        <f t="shared" si="283"/>
        <v>6418.6457500000006</v>
      </c>
      <c r="K1799" s="1708"/>
      <c r="L1799" s="1721"/>
      <c r="M1799" s="1710" t="s">
        <v>660</v>
      </c>
      <c r="N1799" s="1711"/>
      <c r="V1799" s="1711">
        <v>1235.3879999999999</v>
      </c>
    </row>
    <row r="1800" spans="1:22" ht="24" customHeight="1">
      <c r="A1800" s="1712"/>
      <c r="B1800" s="2368" t="s">
        <v>246</v>
      </c>
      <c r="C1800" s="2370"/>
      <c r="D1800" s="1675"/>
      <c r="E1800" s="1676"/>
      <c r="F1800" s="1669"/>
      <c r="G1800" s="1669"/>
      <c r="H1800" s="1669"/>
      <c r="I1800" s="1669"/>
      <c r="J1800" s="1669"/>
      <c r="K1800" s="1708"/>
      <c r="L1800" s="1721"/>
      <c r="M1800" s="1711"/>
      <c r="N1800" s="1711"/>
      <c r="V1800" s="1711">
        <v>1117.396</v>
      </c>
    </row>
    <row r="1801" spans="1:22" ht="24" customHeight="1">
      <c r="A1801" s="1712"/>
      <c r="B1801" s="1673" t="s">
        <v>139</v>
      </c>
      <c r="C1801" s="1674" t="s">
        <v>88</v>
      </c>
      <c r="D1801" s="1675">
        <v>1573.1</v>
      </c>
      <c r="E1801" s="1676" t="s">
        <v>87</v>
      </c>
      <c r="F1801" s="1677">
        <v>21.4</v>
      </c>
      <c r="G1801" s="1677">
        <v>4.4000000000000004</v>
      </c>
      <c r="H1801" s="1669">
        <f t="shared" si="281"/>
        <v>33664.339999999997</v>
      </c>
      <c r="I1801" s="1669">
        <f t="shared" si="282"/>
        <v>6921.64</v>
      </c>
      <c r="J1801" s="1669">
        <f t="shared" ref="J1801:J1806" si="284">SUM(H1801:I1801)</f>
        <v>40585.979999999996</v>
      </c>
      <c r="K1801" s="1708"/>
      <c r="L1801" s="1721"/>
      <c r="M1801" s="1710" t="s">
        <v>1016</v>
      </c>
      <c r="N1801" s="1711" t="s">
        <v>659</v>
      </c>
      <c r="V1801" s="1711">
        <v>5057.29</v>
      </c>
    </row>
    <row r="1802" spans="1:22" ht="24" customHeight="1">
      <c r="A1802" s="1712"/>
      <c r="B1802" s="1673" t="s">
        <v>139</v>
      </c>
      <c r="C1802" s="1674" t="s">
        <v>89</v>
      </c>
      <c r="D1802" s="1675">
        <v>28333.9</v>
      </c>
      <c r="E1802" s="1676" t="s">
        <v>87</v>
      </c>
      <c r="F1802" s="1677">
        <v>21.4</v>
      </c>
      <c r="G1802" s="1677">
        <v>3.6</v>
      </c>
      <c r="H1802" s="1669">
        <f t="shared" si="281"/>
        <v>606345.46</v>
      </c>
      <c r="I1802" s="1669">
        <f t="shared" si="282"/>
        <v>102002.04000000001</v>
      </c>
      <c r="J1802" s="1669">
        <f t="shared" si="284"/>
        <v>708347.5</v>
      </c>
      <c r="K1802" s="1708"/>
      <c r="L1802" s="1721"/>
      <c r="M1802" s="1710" t="s">
        <v>1016</v>
      </c>
      <c r="N1802" s="1711" t="s">
        <v>659</v>
      </c>
      <c r="T1802" s="1793"/>
      <c r="V1802" s="1711"/>
    </row>
    <row r="1803" spans="1:22" ht="24" customHeight="1">
      <c r="A1803" s="1712"/>
      <c r="B1803" s="1673" t="s">
        <v>139</v>
      </c>
      <c r="C1803" s="1674" t="s">
        <v>90</v>
      </c>
      <c r="D1803" s="1675">
        <v>9135.2000000000007</v>
      </c>
      <c r="E1803" s="1676" t="s">
        <v>87</v>
      </c>
      <c r="F1803" s="1677">
        <v>21.2</v>
      </c>
      <c r="G1803" s="1677">
        <v>3.6</v>
      </c>
      <c r="H1803" s="1669">
        <f t="shared" si="281"/>
        <v>193666.24000000002</v>
      </c>
      <c r="I1803" s="1669">
        <f t="shared" si="282"/>
        <v>32886.720000000001</v>
      </c>
      <c r="J1803" s="1669">
        <f t="shared" si="284"/>
        <v>226552.96000000002</v>
      </c>
      <c r="K1803" s="1708"/>
      <c r="L1803" s="1721"/>
      <c r="M1803" s="1710" t="s">
        <v>1016</v>
      </c>
      <c r="N1803" s="1711" t="s">
        <v>659</v>
      </c>
      <c r="T1803" s="1793"/>
      <c r="V1803" s="1711"/>
    </row>
    <row r="1804" spans="1:22" ht="24" customHeight="1">
      <c r="A1804" s="1712"/>
      <c r="B1804" s="1673" t="s">
        <v>139</v>
      </c>
      <c r="C1804" s="1674" t="s">
        <v>91</v>
      </c>
      <c r="D1804" s="1675">
        <v>1362.7</v>
      </c>
      <c r="E1804" s="1676" t="s">
        <v>87</v>
      </c>
      <c r="F1804" s="1677">
        <v>21.2</v>
      </c>
      <c r="G1804" s="1677">
        <v>3.1</v>
      </c>
      <c r="H1804" s="1669">
        <f t="shared" si="281"/>
        <v>28889.24</v>
      </c>
      <c r="I1804" s="1669">
        <f t="shared" si="282"/>
        <v>4224.37</v>
      </c>
      <c r="J1804" s="1669">
        <f t="shared" si="284"/>
        <v>33113.61</v>
      </c>
      <c r="K1804" s="1708"/>
      <c r="L1804" s="1721"/>
      <c r="M1804" s="1710" t="s">
        <v>1016</v>
      </c>
      <c r="N1804" s="1711" t="s">
        <v>659</v>
      </c>
    </row>
    <row r="1805" spans="1:22" ht="24" customHeight="1">
      <c r="A1805" s="1664"/>
      <c r="B1805" s="1665" t="s">
        <v>139</v>
      </c>
      <c r="C1805" s="1666" t="s">
        <v>1014</v>
      </c>
      <c r="D1805" s="1667">
        <v>1779.7</v>
      </c>
      <c r="E1805" s="1668" t="s">
        <v>87</v>
      </c>
      <c r="F1805" s="1744">
        <v>21.2</v>
      </c>
      <c r="G1805" s="1744">
        <v>3.1</v>
      </c>
      <c r="H1805" s="1670">
        <f t="shared" si="281"/>
        <v>37729.64</v>
      </c>
      <c r="I1805" s="1670">
        <f t="shared" si="282"/>
        <v>5517.0700000000006</v>
      </c>
      <c r="J1805" s="1669">
        <f t="shared" si="284"/>
        <v>43246.71</v>
      </c>
      <c r="K1805" s="1708"/>
      <c r="L1805" s="1721"/>
      <c r="M1805" s="1710" t="s">
        <v>1016</v>
      </c>
      <c r="N1805" s="1711" t="s">
        <v>659</v>
      </c>
    </row>
    <row r="1806" spans="1:22" s="1685" customFormat="1" ht="24" customHeight="1">
      <c r="A1806" s="1712"/>
      <c r="B1806" s="1673" t="s">
        <v>139</v>
      </c>
      <c r="C1806" s="1674" t="s">
        <v>200</v>
      </c>
      <c r="D1806" s="1675">
        <f>SUM(D1801:D1805)*0.03</f>
        <v>1265.5379999999998</v>
      </c>
      <c r="E1806" s="1676" t="s">
        <v>87</v>
      </c>
      <c r="F1806" s="1677">
        <v>25.83</v>
      </c>
      <c r="G1806" s="1677">
        <v>0</v>
      </c>
      <c r="H1806" s="1669">
        <f t="shared" si="281"/>
        <v>32688.846539999991</v>
      </c>
      <c r="I1806" s="1669">
        <f t="shared" si="282"/>
        <v>0</v>
      </c>
      <c r="J1806" s="1678">
        <f t="shared" si="284"/>
        <v>32688.846539999991</v>
      </c>
      <c r="K1806" s="1708"/>
      <c r="L1806" s="1721"/>
      <c r="M1806" s="1710" t="s">
        <v>1019</v>
      </c>
      <c r="N1806" s="1711"/>
    </row>
    <row r="1807" spans="1:22" s="1685" customFormat="1" ht="24" customHeight="1">
      <c r="A1807" s="1780"/>
      <c r="B1807" s="1780"/>
      <c r="C1807" s="1827" t="s">
        <v>133</v>
      </c>
      <c r="D1807" s="2365"/>
      <c r="E1807" s="2365"/>
      <c r="F1807" s="2365"/>
      <c r="G1807" s="2365"/>
      <c r="H1807" s="2365"/>
      <c r="I1807" s="2365"/>
      <c r="J1807" s="2365"/>
      <c r="K1807" s="2365"/>
      <c r="L1807" s="1721"/>
      <c r="M1807" s="1710"/>
      <c r="N1807" s="1711"/>
    </row>
    <row r="1808" spans="1:22" s="1685" customFormat="1" ht="24" customHeight="1">
      <c r="A1808" s="1780"/>
      <c r="B1808" s="2366" t="s">
        <v>1769</v>
      </c>
      <c r="C1808" s="2366"/>
      <c r="D1808" s="1828"/>
      <c r="E1808" s="1769"/>
      <c r="F1808" s="1828"/>
      <c r="G1808" s="1828" t="s">
        <v>134</v>
      </c>
      <c r="H1808" s="1828"/>
      <c r="I1808" s="1828"/>
      <c r="J1808" s="1828"/>
      <c r="K1808" s="1828"/>
      <c r="L1808" s="1721"/>
      <c r="M1808" s="1710"/>
      <c r="N1808" s="1711"/>
    </row>
    <row r="1809" spans="1:14" s="1685" customFormat="1" ht="24" customHeight="1">
      <c r="A1809" s="1780"/>
      <c r="B1809" s="2367" t="s">
        <v>1970</v>
      </c>
      <c r="C1809" s="2367"/>
      <c r="D1809" s="1831"/>
      <c r="E1809" s="1832"/>
      <c r="F1809" s="1833"/>
      <c r="G1809" s="1833" t="s">
        <v>1971</v>
      </c>
      <c r="H1809" s="1833"/>
      <c r="I1809" s="1833"/>
      <c r="J1809" s="1833"/>
      <c r="K1809" s="1833"/>
      <c r="L1809" s="1721"/>
      <c r="M1809" s="1710"/>
      <c r="N1809" s="1711"/>
    </row>
    <row r="1810" spans="1:14" s="1685" customFormat="1" ht="24" customHeight="1">
      <c r="A1810" s="1830"/>
      <c r="B1810" s="1828" t="s">
        <v>2031</v>
      </c>
      <c r="C1810" s="1830"/>
      <c r="D1810" s="1830"/>
      <c r="E1810" s="1830"/>
      <c r="F1810" s="1830"/>
      <c r="G1810" s="1828" t="s">
        <v>2031</v>
      </c>
      <c r="H1810" s="1830"/>
      <c r="I1810" s="1830"/>
      <c r="J1810" s="1830"/>
      <c r="K1810" s="1830"/>
      <c r="L1810" s="1721"/>
      <c r="M1810" s="1710"/>
      <c r="N1810" s="1711"/>
    </row>
    <row r="1811" spans="1:14" s="1685" customFormat="1" ht="24" customHeight="1">
      <c r="B1811" s="1721" t="s">
        <v>1984</v>
      </c>
      <c r="C1811" s="1830"/>
      <c r="G1811" s="1721" t="s">
        <v>1985</v>
      </c>
      <c r="L1811" s="1721"/>
      <c r="M1811" s="1710"/>
      <c r="N1811" s="1711"/>
    </row>
    <row r="1812" spans="1:14" s="1685" customFormat="1" ht="24" customHeight="1">
      <c r="B1812" s="1828" t="s">
        <v>670</v>
      </c>
      <c r="D1812" s="1686"/>
      <c r="E1812" s="1824"/>
      <c r="G1812" s="1834"/>
      <c r="H1812" s="1834"/>
      <c r="I1812" s="1834"/>
      <c r="J1812" s="1834"/>
      <c r="K1812" s="1762"/>
      <c r="L1812" s="1721"/>
      <c r="M1812" s="1710"/>
      <c r="N1812" s="1711"/>
    </row>
    <row r="1813" spans="1:14" s="1685" customFormat="1" ht="24" customHeight="1">
      <c r="B1813" s="1721" t="s">
        <v>1972</v>
      </c>
      <c r="D1813" s="1686"/>
      <c r="E1813" s="1824"/>
      <c r="G1813" s="1834"/>
      <c r="H1813" s="1834"/>
      <c r="I1813" s="1834"/>
      <c r="J1813" s="1834"/>
      <c r="K1813" s="1762"/>
      <c r="L1813" s="1721"/>
      <c r="M1813" s="1710"/>
      <c r="N1813" s="1711"/>
    </row>
    <row r="1814" spans="1:14" s="1685" customFormat="1" ht="24" customHeight="1">
      <c r="A1814" s="1712"/>
      <c r="B1814" s="2368" t="s">
        <v>247</v>
      </c>
      <c r="C1814" s="2370"/>
      <c r="D1814" s="1675"/>
      <c r="E1814" s="1676"/>
      <c r="F1814" s="1669"/>
      <c r="G1814" s="1669"/>
      <c r="H1814" s="1669"/>
      <c r="I1814" s="1669"/>
      <c r="J1814" s="1678"/>
      <c r="K1814" s="1708"/>
      <c r="L1814" s="1721"/>
      <c r="M1814" s="1711"/>
      <c r="N1814" s="1711"/>
    </row>
    <row r="1815" spans="1:14" ht="24" customHeight="1">
      <c r="A1815" s="1712"/>
      <c r="B1815" s="2368" t="s">
        <v>415</v>
      </c>
      <c r="C1815" s="2370"/>
      <c r="D1815" s="1675"/>
      <c r="E1815" s="1676"/>
      <c r="F1815" s="1669"/>
      <c r="G1815" s="1669"/>
      <c r="H1815" s="1669"/>
      <c r="I1815" s="1669"/>
      <c r="J1815" s="1678"/>
      <c r="K1815" s="1708"/>
      <c r="L1815" s="1721"/>
      <c r="M1815" s="1711"/>
      <c r="N1815" s="1711"/>
    </row>
    <row r="1816" spans="1:14" ht="24" customHeight="1">
      <c r="A1816" s="1712"/>
      <c r="B1816" s="1673" t="s">
        <v>139</v>
      </c>
      <c r="C1816" s="1674" t="s">
        <v>228</v>
      </c>
      <c r="D1816" s="1675">
        <v>53.1</v>
      </c>
      <c r="E1816" s="1676" t="s">
        <v>85</v>
      </c>
      <c r="F1816" s="1736">
        <v>2679.9</v>
      </c>
      <c r="G1816" s="1736">
        <v>519</v>
      </c>
      <c r="H1816" s="1669">
        <f t="shared" ref="H1816:H1822" si="285">F1816*D1816</f>
        <v>142302.69</v>
      </c>
      <c r="I1816" s="1669">
        <f t="shared" ref="I1816:I1822" si="286">G1816*D1816</f>
        <v>27558.9</v>
      </c>
      <c r="J1816" s="1678">
        <f t="shared" ref="J1816:J1822" si="287">SUM(H1816:I1816)</f>
        <v>169861.59</v>
      </c>
      <c r="K1816" s="1708"/>
      <c r="L1816" s="1721"/>
      <c r="M1816" s="1710" t="s">
        <v>1016</v>
      </c>
      <c r="N1816" s="1711" t="s">
        <v>659</v>
      </c>
    </row>
    <row r="1817" spans="1:14" ht="24" customHeight="1">
      <c r="A1817" s="1712"/>
      <c r="B1817" s="2368" t="s">
        <v>226</v>
      </c>
      <c r="C1817" s="2370"/>
      <c r="D1817" s="1675">
        <v>294.3</v>
      </c>
      <c r="E1817" s="1676"/>
      <c r="F1817" s="1736"/>
      <c r="G1817" s="1736"/>
      <c r="H1817" s="1669"/>
      <c r="I1817" s="1669"/>
      <c r="J1817" s="1678"/>
      <c r="K1817" s="1708"/>
      <c r="L1817" s="1721"/>
      <c r="M1817" s="1711"/>
      <c r="N1817" s="1711"/>
    </row>
    <row r="1818" spans="1:14" ht="24" customHeight="1">
      <c r="A1818" s="1702"/>
      <c r="B1818" s="1703" t="s">
        <v>139</v>
      </c>
      <c r="C1818" s="1743" t="s">
        <v>165</v>
      </c>
      <c r="D1818" s="1705">
        <f>D1817</f>
        <v>294.3</v>
      </c>
      <c r="E1818" s="1706" t="s">
        <v>86</v>
      </c>
      <c r="F1818" s="1742">
        <v>0</v>
      </c>
      <c r="G1818" s="1707">
        <v>121</v>
      </c>
      <c r="H1818" s="1707">
        <f t="shared" si="285"/>
        <v>0</v>
      </c>
      <c r="I1818" s="1707">
        <f t="shared" si="286"/>
        <v>35610.300000000003</v>
      </c>
      <c r="J1818" s="1669">
        <f t="shared" si="287"/>
        <v>35610.300000000003</v>
      </c>
      <c r="K1818" s="1708"/>
      <c r="L1818" s="1721"/>
      <c r="M1818" s="1710" t="s">
        <v>1017</v>
      </c>
      <c r="N1818" s="1711" t="s">
        <v>659</v>
      </c>
    </row>
    <row r="1819" spans="1:14" ht="24" customHeight="1">
      <c r="A1819" s="1712"/>
      <c r="B1819" s="1673" t="s">
        <v>139</v>
      </c>
      <c r="C1819" s="1674" t="s">
        <v>198</v>
      </c>
      <c r="D1819" s="1675">
        <f>D1817*0.5</f>
        <v>147.15</v>
      </c>
      <c r="E1819" s="1676" t="s">
        <v>164</v>
      </c>
      <c r="F1819" s="1736">
        <v>400</v>
      </c>
      <c r="G1819" s="1736">
        <v>0</v>
      </c>
      <c r="H1819" s="1669">
        <f t="shared" si="285"/>
        <v>58860</v>
      </c>
      <c r="I1819" s="1669">
        <f t="shared" si="286"/>
        <v>0</v>
      </c>
      <c r="J1819" s="1669">
        <f t="shared" si="287"/>
        <v>58860</v>
      </c>
      <c r="K1819" s="1708"/>
      <c r="L1819" s="1721"/>
      <c r="M1819" s="1710" t="s">
        <v>1018</v>
      </c>
      <c r="N1819" s="1711"/>
    </row>
    <row r="1820" spans="1:14" ht="24" customHeight="1">
      <c r="A1820" s="1712"/>
      <c r="B1820" s="1673" t="s">
        <v>139</v>
      </c>
      <c r="C1820" s="1674" t="s">
        <v>166</v>
      </c>
      <c r="D1820" s="1675">
        <f>D1819*0.3</f>
        <v>44.145000000000003</v>
      </c>
      <c r="E1820" s="1676" t="s">
        <v>164</v>
      </c>
      <c r="F1820" s="1736">
        <v>400</v>
      </c>
      <c r="G1820" s="1736">
        <v>0</v>
      </c>
      <c r="H1820" s="1669">
        <f t="shared" si="285"/>
        <v>17658</v>
      </c>
      <c r="I1820" s="1669">
        <f t="shared" si="286"/>
        <v>0</v>
      </c>
      <c r="J1820" s="1669">
        <f t="shared" si="287"/>
        <v>17658</v>
      </c>
      <c r="K1820" s="1708"/>
      <c r="L1820" s="1721"/>
      <c r="M1820" s="1710" t="s">
        <v>1018</v>
      </c>
      <c r="N1820" s="1685"/>
    </row>
    <row r="1821" spans="1:14" ht="24" customHeight="1">
      <c r="A1821" s="1664"/>
      <c r="B1821" s="1665" t="s">
        <v>139</v>
      </c>
      <c r="C1821" s="1666" t="s">
        <v>163</v>
      </c>
      <c r="D1821" s="1667">
        <f>D1817</f>
        <v>294.3</v>
      </c>
      <c r="E1821" s="1668" t="s">
        <v>83</v>
      </c>
      <c r="F1821" s="1745">
        <v>28</v>
      </c>
      <c r="G1821" s="1745">
        <v>0</v>
      </c>
      <c r="H1821" s="1670">
        <f t="shared" si="285"/>
        <v>8240.4</v>
      </c>
      <c r="I1821" s="1670">
        <f t="shared" si="286"/>
        <v>0</v>
      </c>
      <c r="J1821" s="1670">
        <f t="shared" si="287"/>
        <v>8240.4</v>
      </c>
      <c r="K1821" s="1746"/>
      <c r="L1821" s="1721"/>
      <c r="M1821" s="1710" t="s">
        <v>1018</v>
      </c>
      <c r="N1821" s="1685"/>
    </row>
    <row r="1822" spans="1:14" ht="24" customHeight="1">
      <c r="A1822" s="1712"/>
      <c r="B1822" s="1673" t="s">
        <v>139</v>
      </c>
      <c r="C1822" s="1674" t="s">
        <v>1781</v>
      </c>
      <c r="D1822" s="1675">
        <f>D1817*0.25</f>
        <v>73.575000000000003</v>
      </c>
      <c r="E1822" s="1676" t="s">
        <v>87</v>
      </c>
      <c r="F1822" s="1736">
        <v>23.89</v>
      </c>
      <c r="G1822" s="1736">
        <v>0</v>
      </c>
      <c r="H1822" s="1669">
        <f t="shared" si="285"/>
        <v>1757.7067500000001</v>
      </c>
      <c r="I1822" s="1669">
        <f t="shared" si="286"/>
        <v>0</v>
      </c>
      <c r="J1822" s="1669">
        <f t="shared" si="287"/>
        <v>1757.7067500000001</v>
      </c>
      <c r="K1822" s="1708"/>
      <c r="L1822" s="1721"/>
      <c r="M1822" s="1710" t="s">
        <v>660</v>
      </c>
      <c r="N1822" s="1685"/>
    </row>
    <row r="1823" spans="1:14" ht="24" customHeight="1">
      <c r="A1823" s="1712"/>
      <c r="B1823" s="2368" t="s">
        <v>248</v>
      </c>
      <c r="C1823" s="2370"/>
      <c r="D1823" s="1675"/>
      <c r="E1823" s="1676"/>
      <c r="F1823" s="1669"/>
      <c r="G1823" s="1669"/>
      <c r="H1823" s="1669"/>
      <c r="I1823" s="1669"/>
      <c r="J1823" s="1669"/>
      <c r="K1823" s="1708"/>
      <c r="L1823" s="1721"/>
      <c r="M1823" s="1711"/>
      <c r="N1823" s="1711"/>
    </row>
    <row r="1824" spans="1:14" ht="24" customHeight="1">
      <c r="A1824" s="1712"/>
      <c r="B1824" s="1673" t="s">
        <v>139</v>
      </c>
      <c r="C1824" s="1674" t="s">
        <v>88</v>
      </c>
      <c r="D1824" s="1675">
        <v>1650.5</v>
      </c>
      <c r="E1824" s="1676" t="s">
        <v>87</v>
      </c>
      <c r="F1824" s="1736">
        <v>21.4</v>
      </c>
      <c r="G1824" s="1736">
        <v>4.4000000000000004</v>
      </c>
      <c r="H1824" s="1669">
        <f>F1824*D1824</f>
        <v>35320.699999999997</v>
      </c>
      <c r="I1824" s="1669">
        <f>G1824*D1824</f>
        <v>7262.2000000000007</v>
      </c>
      <c r="J1824" s="1669">
        <f>SUM(H1824:I1824)</f>
        <v>42582.899999999994</v>
      </c>
      <c r="K1824" s="1708"/>
      <c r="L1824" s="1721"/>
      <c r="M1824" s="1710" t="s">
        <v>1016</v>
      </c>
      <c r="N1824" s="1685" t="s">
        <v>659</v>
      </c>
    </row>
    <row r="1825" spans="1:14" ht="24" customHeight="1">
      <c r="A1825" s="1712"/>
      <c r="B1825" s="1673" t="s">
        <v>139</v>
      </c>
      <c r="C1825" s="1674" t="s">
        <v>1014</v>
      </c>
      <c r="D1825" s="1675">
        <v>8035.9</v>
      </c>
      <c r="E1825" s="1676" t="s">
        <v>87</v>
      </c>
      <c r="F1825" s="1736">
        <v>21.2</v>
      </c>
      <c r="G1825" s="1736">
        <v>3.1</v>
      </c>
      <c r="H1825" s="1669">
        <f>F1825*D1825</f>
        <v>170361.08</v>
      </c>
      <c r="I1825" s="1669">
        <f>G1825*D1825</f>
        <v>24911.29</v>
      </c>
      <c r="J1825" s="1669">
        <f>SUM(H1825:I1825)</f>
        <v>195272.37</v>
      </c>
      <c r="K1825" s="1708"/>
      <c r="L1825" s="1721"/>
      <c r="M1825" s="1710" t="s">
        <v>1016</v>
      </c>
      <c r="N1825" s="1685" t="s">
        <v>659</v>
      </c>
    </row>
    <row r="1826" spans="1:14" ht="24" customHeight="1">
      <c r="A1826" s="1712"/>
      <c r="B1826" s="1673" t="s">
        <v>139</v>
      </c>
      <c r="C1826" s="1674" t="s">
        <v>200</v>
      </c>
      <c r="D1826" s="1675">
        <f>SUM(D1824:D1825)*0.03</f>
        <v>290.59199999999998</v>
      </c>
      <c r="E1826" s="1676" t="s">
        <v>87</v>
      </c>
      <c r="F1826" s="1677">
        <v>25.83</v>
      </c>
      <c r="G1826" s="1677">
        <v>0</v>
      </c>
      <c r="H1826" s="1669">
        <f>F1826*D1826</f>
        <v>7505.9913599999991</v>
      </c>
      <c r="I1826" s="1669">
        <f>G1826*D1826</f>
        <v>0</v>
      </c>
      <c r="J1826" s="1669">
        <f>SUM(H1826:I1826)</f>
        <v>7505.9913599999991</v>
      </c>
      <c r="K1826" s="1708"/>
      <c r="L1826" s="1721"/>
      <c r="M1826" s="1710" t="s">
        <v>1019</v>
      </c>
      <c r="N1826" s="1711"/>
    </row>
    <row r="1827" spans="1:14" ht="24" customHeight="1">
      <c r="A1827" s="1712"/>
      <c r="B1827" s="2368" t="s">
        <v>250</v>
      </c>
      <c r="C1827" s="2370"/>
      <c r="D1827" s="1675"/>
      <c r="E1827" s="1676"/>
      <c r="F1827" s="1669"/>
      <c r="G1827" s="1669"/>
      <c r="H1827" s="1669"/>
      <c r="I1827" s="1669"/>
      <c r="J1827" s="1669"/>
      <c r="K1827" s="1708"/>
      <c r="L1827" s="1721"/>
      <c r="M1827" s="1711"/>
      <c r="N1827" s="1711"/>
    </row>
    <row r="1828" spans="1:14" ht="24" customHeight="1">
      <c r="A1828" s="1712"/>
      <c r="B1828" s="2368" t="s">
        <v>422</v>
      </c>
      <c r="C1828" s="2370"/>
      <c r="D1828" s="1675"/>
      <c r="E1828" s="1676"/>
      <c r="F1828" s="1669"/>
      <c r="G1828" s="1669"/>
      <c r="H1828" s="1669"/>
      <c r="I1828" s="1669"/>
      <c r="J1828" s="1669"/>
      <c r="K1828" s="1708"/>
      <c r="L1828" s="1721"/>
      <c r="M1828" s="1711"/>
      <c r="N1828" s="1711"/>
    </row>
    <row r="1829" spans="1:14" ht="24" customHeight="1">
      <c r="A1829" s="1712"/>
      <c r="B1829" s="1673" t="s">
        <v>139</v>
      </c>
      <c r="C1829" s="1674" t="s">
        <v>228</v>
      </c>
      <c r="D1829" s="1675">
        <v>3.9</v>
      </c>
      <c r="E1829" s="1676" t="s">
        <v>85</v>
      </c>
      <c r="F1829" s="1736">
        <v>2679.9</v>
      </c>
      <c r="G1829" s="1736">
        <v>519</v>
      </c>
      <c r="H1829" s="1669">
        <f>F1829*D1829</f>
        <v>10451.61</v>
      </c>
      <c r="I1829" s="1669">
        <f>G1829*D1829</f>
        <v>2024.1</v>
      </c>
      <c r="J1829" s="1669">
        <f>SUM(H1829:I1829)</f>
        <v>12475.710000000001</v>
      </c>
      <c r="K1829" s="1708"/>
      <c r="L1829" s="1721"/>
      <c r="M1829" s="1710" t="s">
        <v>1016</v>
      </c>
      <c r="N1829" s="1711" t="s">
        <v>659</v>
      </c>
    </row>
    <row r="1830" spans="1:14" ht="24" customHeight="1">
      <c r="A1830" s="1712"/>
      <c r="B1830" s="2368" t="s">
        <v>227</v>
      </c>
      <c r="C1830" s="2370"/>
      <c r="D1830" s="1675">
        <v>34.5</v>
      </c>
      <c r="E1830" s="1676"/>
      <c r="F1830" s="1669"/>
      <c r="G1830" s="1669"/>
      <c r="H1830" s="1669"/>
      <c r="I1830" s="1669"/>
      <c r="J1830" s="1669"/>
      <c r="K1830" s="1708"/>
      <c r="L1830" s="1721"/>
      <c r="M1830" s="1711"/>
      <c r="N1830" s="1711"/>
    </row>
    <row r="1831" spans="1:14" ht="24" customHeight="1">
      <c r="A1831" s="1702"/>
      <c r="B1831" s="1703" t="s">
        <v>139</v>
      </c>
      <c r="C1831" s="1743" t="s">
        <v>165</v>
      </c>
      <c r="D1831" s="1705">
        <f>D1830</f>
        <v>34.5</v>
      </c>
      <c r="E1831" s="1706" t="s">
        <v>86</v>
      </c>
      <c r="F1831" s="1707"/>
      <c r="G1831" s="1707">
        <v>121</v>
      </c>
      <c r="H1831" s="1707">
        <f t="shared" ref="H1831:H1848" si="288">F1831*D1831</f>
        <v>0</v>
      </c>
      <c r="I1831" s="1707">
        <f t="shared" ref="I1831:I1848" si="289">G1831*D1831</f>
        <v>4174.5</v>
      </c>
      <c r="J1831" s="1707">
        <f t="shared" ref="J1831:J1843" si="290">SUM(H1831:I1831)</f>
        <v>4174.5</v>
      </c>
      <c r="K1831" s="1709"/>
      <c r="L1831" s="1721"/>
      <c r="M1831" s="1710" t="s">
        <v>1017</v>
      </c>
      <c r="N1831" s="1711" t="s">
        <v>659</v>
      </c>
    </row>
    <row r="1832" spans="1:14" ht="24" customHeight="1">
      <c r="A1832" s="1712"/>
      <c r="B1832" s="1673" t="s">
        <v>139</v>
      </c>
      <c r="C1832" s="1674" t="s">
        <v>198</v>
      </c>
      <c r="D1832" s="1675">
        <f>D1830*0.5</f>
        <v>17.25</v>
      </c>
      <c r="E1832" s="1676" t="s">
        <v>164</v>
      </c>
      <c r="F1832" s="1669">
        <v>400</v>
      </c>
      <c r="G1832" s="1669"/>
      <c r="H1832" s="1669">
        <f t="shared" si="288"/>
        <v>6900</v>
      </c>
      <c r="I1832" s="1669">
        <f t="shared" si="289"/>
        <v>0</v>
      </c>
      <c r="J1832" s="1669">
        <f t="shared" si="290"/>
        <v>6900</v>
      </c>
      <c r="K1832" s="1708"/>
      <c r="L1832" s="1721"/>
      <c r="M1832" s="1710" t="s">
        <v>1018</v>
      </c>
      <c r="N1832" s="1711"/>
    </row>
    <row r="1833" spans="1:14" ht="24" customHeight="1">
      <c r="A1833" s="1712"/>
      <c r="B1833" s="1673" t="s">
        <v>139</v>
      </c>
      <c r="C1833" s="1674" t="s">
        <v>166</v>
      </c>
      <c r="D1833" s="1675">
        <f>D1832*0.3</f>
        <v>5.1749999999999998</v>
      </c>
      <c r="E1833" s="1676" t="s">
        <v>164</v>
      </c>
      <c r="F1833" s="1669">
        <v>400</v>
      </c>
      <c r="G1833" s="1669">
        <v>0</v>
      </c>
      <c r="H1833" s="1669">
        <f t="shared" si="288"/>
        <v>2070</v>
      </c>
      <c r="I1833" s="1669">
        <f t="shared" si="289"/>
        <v>0</v>
      </c>
      <c r="J1833" s="1669">
        <f t="shared" si="290"/>
        <v>2070</v>
      </c>
      <c r="K1833" s="1708"/>
      <c r="L1833" s="1721"/>
      <c r="M1833" s="1710" t="s">
        <v>1018</v>
      </c>
      <c r="N1833" s="1711"/>
    </row>
    <row r="1834" spans="1:14" ht="24" customHeight="1">
      <c r="A1834" s="1712"/>
      <c r="B1834" s="1673" t="s">
        <v>139</v>
      </c>
      <c r="C1834" s="1674" t="s">
        <v>252</v>
      </c>
      <c r="D1834" s="1675">
        <v>37</v>
      </c>
      <c r="E1834" s="1676" t="s">
        <v>83</v>
      </c>
      <c r="F1834" s="1669">
        <v>28</v>
      </c>
      <c r="G1834" s="1669">
        <v>0</v>
      </c>
      <c r="H1834" s="1669">
        <f t="shared" si="288"/>
        <v>1036</v>
      </c>
      <c r="I1834" s="1669">
        <f t="shared" si="289"/>
        <v>0</v>
      </c>
      <c r="J1834" s="1669">
        <f t="shared" si="290"/>
        <v>1036</v>
      </c>
      <c r="K1834" s="1708"/>
      <c r="L1834" s="1721"/>
      <c r="M1834" s="1710" t="s">
        <v>1018</v>
      </c>
      <c r="N1834" s="1711"/>
    </row>
    <row r="1835" spans="1:14" ht="24" customHeight="1">
      <c r="A1835" s="1712"/>
      <c r="B1835" s="1673" t="s">
        <v>139</v>
      </c>
      <c r="C1835" s="1674" t="s">
        <v>1781</v>
      </c>
      <c r="D1835" s="1675">
        <f>D1830*0.25</f>
        <v>8.625</v>
      </c>
      <c r="E1835" s="1676" t="s">
        <v>87</v>
      </c>
      <c r="F1835" s="1736">
        <v>23.89</v>
      </c>
      <c r="G1835" s="1736">
        <v>0</v>
      </c>
      <c r="H1835" s="1669">
        <f t="shared" si="288"/>
        <v>206.05125000000001</v>
      </c>
      <c r="I1835" s="1669">
        <f t="shared" si="289"/>
        <v>0</v>
      </c>
      <c r="J1835" s="1669">
        <f t="shared" si="290"/>
        <v>206.05125000000001</v>
      </c>
      <c r="K1835" s="1708"/>
      <c r="L1835" s="1721"/>
      <c r="M1835" s="1710" t="s">
        <v>660</v>
      </c>
      <c r="N1835" s="1711"/>
    </row>
    <row r="1836" spans="1:14" ht="24" customHeight="1">
      <c r="A1836" s="1780"/>
      <c r="B1836" s="1780"/>
      <c r="C1836" s="1827" t="s">
        <v>133</v>
      </c>
      <c r="D1836" s="2365"/>
      <c r="E1836" s="2365"/>
      <c r="F1836" s="2365"/>
      <c r="G1836" s="2365"/>
      <c r="H1836" s="2365"/>
      <c r="I1836" s="2365"/>
      <c r="J1836" s="2365"/>
      <c r="K1836" s="2365"/>
      <c r="L1836" s="1721"/>
      <c r="M1836" s="1710"/>
      <c r="N1836" s="1711"/>
    </row>
    <row r="1837" spans="1:14" ht="24" customHeight="1">
      <c r="A1837" s="1780"/>
      <c r="B1837" s="2366" t="s">
        <v>1769</v>
      </c>
      <c r="C1837" s="2366"/>
      <c r="D1837" s="1828"/>
      <c r="E1837" s="1769"/>
      <c r="F1837" s="1828"/>
      <c r="G1837" s="1828" t="s">
        <v>134</v>
      </c>
      <c r="H1837" s="1828"/>
      <c r="I1837" s="1828"/>
      <c r="J1837" s="1828"/>
      <c r="K1837" s="1828"/>
      <c r="L1837" s="1721"/>
      <c r="M1837" s="1710"/>
      <c r="N1837" s="1711"/>
    </row>
    <row r="1838" spans="1:14" ht="24" customHeight="1">
      <c r="A1838" s="1780"/>
      <c r="B1838" s="2367" t="s">
        <v>1970</v>
      </c>
      <c r="C1838" s="2367"/>
      <c r="D1838" s="1831"/>
      <c r="E1838" s="1832"/>
      <c r="F1838" s="1833"/>
      <c r="G1838" s="1833" t="s">
        <v>1971</v>
      </c>
      <c r="H1838" s="1833"/>
      <c r="I1838" s="1833"/>
      <c r="J1838" s="1833"/>
      <c r="K1838" s="1833"/>
      <c r="L1838" s="1721"/>
      <c r="M1838" s="1710"/>
      <c r="N1838" s="1711"/>
    </row>
    <row r="1839" spans="1:14" ht="24" customHeight="1">
      <c r="A1839" s="1830"/>
      <c r="B1839" s="1828" t="s">
        <v>2031</v>
      </c>
      <c r="C1839" s="1830"/>
      <c r="D1839" s="1830"/>
      <c r="E1839" s="1830"/>
      <c r="F1839" s="1830"/>
      <c r="G1839" s="1828" t="s">
        <v>2031</v>
      </c>
      <c r="H1839" s="1830"/>
      <c r="I1839" s="1830"/>
      <c r="J1839" s="1830"/>
      <c r="K1839" s="1830"/>
      <c r="L1839" s="1721"/>
      <c r="M1839" s="1710"/>
      <c r="N1839" s="1711"/>
    </row>
    <row r="1840" spans="1:14" ht="24" customHeight="1">
      <c r="B1840" s="1721" t="s">
        <v>1984</v>
      </c>
      <c r="C1840" s="1830"/>
      <c r="D1840" s="1685"/>
      <c r="E1840" s="1685"/>
      <c r="G1840" s="1721" t="s">
        <v>1985</v>
      </c>
      <c r="H1840" s="1685"/>
      <c r="I1840" s="1685"/>
      <c r="J1840" s="1685"/>
      <c r="K1840" s="1685"/>
      <c r="L1840" s="1721"/>
      <c r="M1840" s="1710"/>
      <c r="N1840" s="1711"/>
    </row>
    <row r="1841" spans="1:14" ht="24" customHeight="1">
      <c r="B1841" s="1828" t="s">
        <v>670</v>
      </c>
      <c r="L1841" s="1721"/>
      <c r="M1841" s="1710"/>
      <c r="N1841" s="1711"/>
    </row>
    <row r="1842" spans="1:14" ht="24" customHeight="1">
      <c r="B1842" s="1721" t="s">
        <v>1972</v>
      </c>
      <c r="L1842" s="1721"/>
      <c r="M1842" s="1710"/>
      <c r="N1842" s="1711"/>
    </row>
    <row r="1843" spans="1:14" ht="24" customHeight="1">
      <c r="A1843" s="1712"/>
      <c r="B1843" s="2368" t="s">
        <v>251</v>
      </c>
      <c r="C1843" s="2370"/>
      <c r="D1843" s="1675"/>
      <c r="E1843" s="1676"/>
      <c r="F1843" s="1669"/>
      <c r="G1843" s="1669"/>
      <c r="H1843" s="1669">
        <f t="shared" si="288"/>
        <v>0</v>
      </c>
      <c r="I1843" s="1669">
        <f t="shared" si="289"/>
        <v>0</v>
      </c>
      <c r="J1843" s="1669">
        <f t="shared" si="290"/>
        <v>0</v>
      </c>
      <c r="K1843" s="1708"/>
      <c r="L1843" s="1721"/>
      <c r="M1843" s="1711"/>
      <c r="N1843" s="1711"/>
    </row>
    <row r="1844" spans="1:14" ht="24" customHeight="1">
      <c r="A1844" s="1712"/>
      <c r="B1844" s="1673" t="s">
        <v>139</v>
      </c>
      <c r="C1844" s="1674" t="s">
        <v>88</v>
      </c>
      <c r="D1844" s="1675">
        <v>132.5</v>
      </c>
      <c r="E1844" s="1676" t="s">
        <v>87</v>
      </c>
      <c r="F1844" s="1677">
        <v>21.4</v>
      </c>
      <c r="G1844" s="1677">
        <v>4.4000000000000004</v>
      </c>
      <c r="H1844" s="1669">
        <f t="shared" si="288"/>
        <v>2835.5</v>
      </c>
      <c r="I1844" s="1669">
        <f t="shared" si="289"/>
        <v>583</v>
      </c>
      <c r="J1844" s="1669">
        <f>SUM(H1844:I1844)</f>
        <v>3418.5</v>
      </c>
      <c r="K1844" s="1708"/>
      <c r="L1844" s="1721"/>
      <c r="M1844" s="1710" t="s">
        <v>1016</v>
      </c>
      <c r="N1844" s="1711" t="s">
        <v>659</v>
      </c>
    </row>
    <row r="1845" spans="1:14" ht="24" customHeight="1">
      <c r="A1845" s="1712"/>
      <c r="B1845" s="1673" t="s">
        <v>139</v>
      </c>
      <c r="C1845" s="1674" t="s">
        <v>89</v>
      </c>
      <c r="D1845" s="1675">
        <v>45.3</v>
      </c>
      <c r="E1845" s="1676" t="s">
        <v>87</v>
      </c>
      <c r="F1845" s="1677">
        <v>21.4</v>
      </c>
      <c r="G1845" s="1677">
        <v>3.6</v>
      </c>
      <c r="H1845" s="1669">
        <f t="shared" si="288"/>
        <v>969.41999999999985</v>
      </c>
      <c r="I1845" s="1669">
        <f t="shared" si="289"/>
        <v>163.07999999999998</v>
      </c>
      <c r="J1845" s="1669">
        <f>SUM(H1845:I1845)</f>
        <v>1132.4999999999998</v>
      </c>
      <c r="K1845" s="1708"/>
      <c r="L1845" s="1721"/>
      <c r="M1845" s="1710" t="s">
        <v>1016</v>
      </c>
      <c r="N1845" s="1711" t="s">
        <v>659</v>
      </c>
    </row>
    <row r="1846" spans="1:14" ht="24" customHeight="1">
      <c r="A1846" s="1712"/>
      <c r="B1846" s="1673" t="s">
        <v>139</v>
      </c>
      <c r="C1846" s="1674" t="s">
        <v>90</v>
      </c>
      <c r="D1846" s="1675">
        <v>495.9</v>
      </c>
      <c r="E1846" s="1676" t="s">
        <v>87</v>
      </c>
      <c r="F1846" s="1677">
        <v>21.2</v>
      </c>
      <c r="G1846" s="1677">
        <v>3.6</v>
      </c>
      <c r="H1846" s="1669">
        <f t="shared" si="288"/>
        <v>10513.08</v>
      </c>
      <c r="I1846" s="1669">
        <f t="shared" si="289"/>
        <v>1785.24</v>
      </c>
      <c r="J1846" s="1669">
        <f>SUM(H1846:I1846)</f>
        <v>12298.32</v>
      </c>
      <c r="K1846" s="1708"/>
      <c r="L1846" s="1721"/>
      <c r="M1846" s="1710" t="s">
        <v>1016</v>
      </c>
      <c r="N1846" s="1711" t="s">
        <v>659</v>
      </c>
    </row>
    <row r="1847" spans="1:14" ht="24" customHeight="1">
      <c r="A1847" s="1712"/>
      <c r="B1847" s="1673" t="s">
        <v>139</v>
      </c>
      <c r="C1847" s="1674" t="s">
        <v>91</v>
      </c>
      <c r="D1847" s="1675">
        <v>163.9</v>
      </c>
      <c r="E1847" s="1676" t="s">
        <v>87</v>
      </c>
      <c r="F1847" s="1677">
        <v>21.2</v>
      </c>
      <c r="G1847" s="1677">
        <v>3.1</v>
      </c>
      <c r="H1847" s="1669">
        <f t="shared" si="288"/>
        <v>3474.68</v>
      </c>
      <c r="I1847" s="1669">
        <f t="shared" si="289"/>
        <v>508.09000000000003</v>
      </c>
      <c r="J1847" s="1669">
        <f>SUM(H1847:I1847)</f>
        <v>3982.77</v>
      </c>
      <c r="K1847" s="1708"/>
      <c r="L1847" s="1721"/>
      <c r="M1847" s="1710" t="s">
        <v>1016</v>
      </c>
      <c r="N1847" s="1711" t="s">
        <v>659</v>
      </c>
    </row>
    <row r="1848" spans="1:14" s="1685" customFormat="1" ht="24" customHeight="1">
      <c r="A1848" s="1712"/>
      <c r="B1848" s="1673" t="s">
        <v>139</v>
      </c>
      <c r="C1848" s="1674" t="s">
        <v>200</v>
      </c>
      <c r="D1848" s="1675">
        <f>SUM(D1844:D1847)*0.03</f>
        <v>25.128</v>
      </c>
      <c r="E1848" s="1676" t="s">
        <v>87</v>
      </c>
      <c r="F1848" s="1677">
        <v>25.83</v>
      </c>
      <c r="G1848" s="1677">
        <v>0</v>
      </c>
      <c r="H1848" s="1669">
        <f t="shared" si="288"/>
        <v>649.05624</v>
      </c>
      <c r="I1848" s="1669">
        <f t="shared" si="289"/>
        <v>0</v>
      </c>
      <c r="J1848" s="1669">
        <f>SUM(H1848:I1848)</f>
        <v>649.05624</v>
      </c>
      <c r="K1848" s="1708"/>
      <c r="L1848" s="1721"/>
      <c r="M1848" s="1710" t="s">
        <v>1019</v>
      </c>
      <c r="N1848" s="1711"/>
    </row>
    <row r="1849" spans="1:14" ht="24" customHeight="1">
      <c r="A1849" s="1712"/>
      <c r="B1849" s="2368" t="s">
        <v>249</v>
      </c>
      <c r="C1849" s="2370"/>
      <c r="D1849" s="1675"/>
      <c r="E1849" s="1676"/>
      <c r="F1849" s="1669"/>
      <c r="G1849" s="1669"/>
      <c r="H1849" s="1669"/>
      <c r="I1849" s="1669"/>
      <c r="J1849" s="1669"/>
      <c r="K1849" s="1708"/>
      <c r="L1849" s="1721"/>
      <c r="M1849" s="1711"/>
      <c r="N1849" s="1711"/>
    </row>
    <row r="1850" spans="1:14" ht="24" customHeight="1">
      <c r="A1850" s="1712"/>
      <c r="B1850" s="2368" t="s">
        <v>394</v>
      </c>
      <c r="C1850" s="2370"/>
      <c r="D1850" s="1675"/>
      <c r="E1850" s="1676"/>
      <c r="F1850" s="1669"/>
      <c r="G1850" s="1669"/>
      <c r="H1850" s="1669"/>
      <c r="I1850" s="1669"/>
      <c r="J1850" s="1669"/>
      <c r="K1850" s="1708"/>
      <c r="L1850" s="1721"/>
      <c r="M1850" s="1711"/>
      <c r="N1850" s="1711"/>
    </row>
    <row r="1851" spans="1:14" ht="24" customHeight="1">
      <c r="A1851" s="1712"/>
      <c r="B1851" s="2368" t="s">
        <v>416</v>
      </c>
      <c r="C1851" s="2370"/>
      <c r="D1851" s="1675"/>
      <c r="E1851" s="1676"/>
      <c r="F1851" s="1669"/>
      <c r="G1851" s="1669"/>
      <c r="H1851" s="1669"/>
      <c r="I1851" s="1669"/>
      <c r="J1851" s="1669"/>
      <c r="K1851" s="1708"/>
      <c r="L1851" s="1721"/>
      <c r="M1851" s="1711"/>
      <c r="N1851" s="1711"/>
    </row>
    <row r="1852" spans="1:14" ht="24" customHeight="1">
      <c r="A1852" s="1712"/>
      <c r="B1852" s="1673" t="s">
        <v>139</v>
      </c>
      <c r="C1852" s="1674" t="s">
        <v>228</v>
      </c>
      <c r="D1852" s="1675">
        <v>4.5</v>
      </c>
      <c r="E1852" s="1676" t="s">
        <v>85</v>
      </c>
      <c r="F1852" s="1736">
        <v>2679.9</v>
      </c>
      <c r="G1852" s="1736">
        <v>519</v>
      </c>
      <c r="H1852" s="1669">
        <f t="shared" ref="H1852:H1863" si="291">F1852*D1852</f>
        <v>12059.550000000001</v>
      </c>
      <c r="I1852" s="1669">
        <f t="shared" ref="I1852:I1863" si="292">G1852*D1852</f>
        <v>2335.5</v>
      </c>
      <c r="J1852" s="1669">
        <f t="shared" ref="J1852:J1858" si="293">SUM(H1852:I1852)</f>
        <v>14395.050000000001</v>
      </c>
      <c r="K1852" s="1708"/>
      <c r="L1852" s="1721"/>
      <c r="M1852" s="1710" t="s">
        <v>1016</v>
      </c>
      <c r="N1852" s="1711" t="s">
        <v>664</v>
      </c>
    </row>
    <row r="1853" spans="1:14" ht="24" customHeight="1">
      <c r="A1853" s="1712"/>
      <c r="B1853" s="2368" t="s">
        <v>418</v>
      </c>
      <c r="C1853" s="2370"/>
      <c r="D1853" s="1675">
        <v>22.5</v>
      </c>
      <c r="E1853" s="1676"/>
      <c r="F1853" s="1669"/>
      <c r="G1853" s="1669"/>
      <c r="H1853" s="1669"/>
      <c r="I1853" s="1669"/>
      <c r="J1853" s="1669"/>
      <c r="K1853" s="1708"/>
      <c r="L1853" s="1721"/>
      <c r="M1853" s="1711"/>
      <c r="N1853" s="1711"/>
    </row>
    <row r="1854" spans="1:14" ht="24" customHeight="1">
      <c r="A1854" s="1712"/>
      <c r="B1854" s="1673" t="s">
        <v>139</v>
      </c>
      <c r="C1854" s="1674" t="s">
        <v>165</v>
      </c>
      <c r="D1854" s="1675">
        <f>D1853</f>
        <v>22.5</v>
      </c>
      <c r="E1854" s="1676" t="s">
        <v>86</v>
      </c>
      <c r="F1854" s="1669"/>
      <c r="G1854" s="1669">
        <v>121</v>
      </c>
      <c r="H1854" s="1669">
        <f t="shared" si="291"/>
        <v>0</v>
      </c>
      <c r="I1854" s="1669">
        <f t="shared" si="292"/>
        <v>2722.5</v>
      </c>
      <c r="J1854" s="1669">
        <f t="shared" si="293"/>
        <v>2722.5</v>
      </c>
      <c r="K1854" s="1708"/>
      <c r="L1854" s="1721"/>
      <c r="M1854" s="1710" t="s">
        <v>1017</v>
      </c>
      <c r="N1854" s="1711" t="s">
        <v>664</v>
      </c>
    </row>
    <row r="1855" spans="1:14" ht="24" customHeight="1">
      <c r="A1855" s="1712"/>
      <c r="B1855" s="1673" t="s">
        <v>139</v>
      </c>
      <c r="C1855" s="1674" t="s">
        <v>198</v>
      </c>
      <c r="D1855" s="1675">
        <f>D1853*0.5</f>
        <v>11.25</v>
      </c>
      <c r="E1855" s="1676" t="s">
        <v>164</v>
      </c>
      <c r="F1855" s="1669">
        <v>400</v>
      </c>
      <c r="G1855" s="1669"/>
      <c r="H1855" s="1669">
        <f t="shared" si="291"/>
        <v>4500</v>
      </c>
      <c r="I1855" s="1669">
        <f t="shared" si="292"/>
        <v>0</v>
      </c>
      <c r="J1855" s="1669">
        <f t="shared" si="293"/>
        <v>4500</v>
      </c>
      <c r="K1855" s="1708"/>
      <c r="L1855" s="1721"/>
      <c r="M1855" s="1710" t="s">
        <v>1018</v>
      </c>
      <c r="N1855" s="1711"/>
    </row>
    <row r="1856" spans="1:14" ht="24" customHeight="1">
      <c r="A1856" s="1712"/>
      <c r="B1856" s="1673" t="s">
        <v>139</v>
      </c>
      <c r="C1856" s="1674" t="s">
        <v>166</v>
      </c>
      <c r="D1856" s="1675">
        <f>D1855*0.3</f>
        <v>3.375</v>
      </c>
      <c r="E1856" s="1676" t="s">
        <v>164</v>
      </c>
      <c r="F1856" s="1669">
        <v>400</v>
      </c>
      <c r="G1856" s="1669">
        <v>0</v>
      </c>
      <c r="H1856" s="1669">
        <f t="shared" si="291"/>
        <v>1350</v>
      </c>
      <c r="I1856" s="1669">
        <f t="shared" si="292"/>
        <v>0</v>
      </c>
      <c r="J1856" s="1669">
        <f t="shared" si="293"/>
        <v>1350</v>
      </c>
      <c r="K1856" s="1708"/>
      <c r="L1856" s="1721"/>
      <c r="M1856" s="1710" t="s">
        <v>1018</v>
      </c>
      <c r="N1856" s="1711"/>
    </row>
    <row r="1857" spans="1:14" ht="24" customHeight="1">
      <c r="A1857" s="1712"/>
      <c r="B1857" s="1673" t="s">
        <v>139</v>
      </c>
      <c r="C1857" s="1674" t="s">
        <v>163</v>
      </c>
      <c r="D1857" s="1675">
        <f>D1853</f>
        <v>22.5</v>
      </c>
      <c r="E1857" s="1676" t="s">
        <v>83</v>
      </c>
      <c r="F1857" s="1669">
        <v>28</v>
      </c>
      <c r="G1857" s="1669">
        <v>0</v>
      </c>
      <c r="H1857" s="1669">
        <f t="shared" si="291"/>
        <v>630</v>
      </c>
      <c r="I1857" s="1669">
        <f t="shared" si="292"/>
        <v>0</v>
      </c>
      <c r="J1857" s="1669">
        <f t="shared" si="293"/>
        <v>630</v>
      </c>
      <c r="K1857" s="1708"/>
      <c r="L1857" s="1721"/>
      <c r="M1857" s="1710" t="s">
        <v>1018</v>
      </c>
      <c r="N1857" s="1711"/>
    </row>
    <row r="1858" spans="1:14" ht="24" customHeight="1">
      <c r="A1858" s="1712"/>
      <c r="B1858" s="1673" t="s">
        <v>139</v>
      </c>
      <c r="C1858" s="1674" t="s">
        <v>1781</v>
      </c>
      <c r="D1858" s="1675">
        <f>D1853*0.25</f>
        <v>5.625</v>
      </c>
      <c r="E1858" s="1676" t="s">
        <v>87</v>
      </c>
      <c r="F1858" s="1736">
        <v>23.89</v>
      </c>
      <c r="G1858" s="1736">
        <v>0</v>
      </c>
      <c r="H1858" s="1669">
        <f t="shared" si="291"/>
        <v>134.38124999999999</v>
      </c>
      <c r="I1858" s="1669">
        <f t="shared" si="292"/>
        <v>0</v>
      </c>
      <c r="J1858" s="1669">
        <f t="shared" si="293"/>
        <v>134.38124999999999</v>
      </c>
      <c r="K1858" s="1708"/>
      <c r="L1858" s="1721"/>
      <c r="M1858" s="1710" t="s">
        <v>660</v>
      </c>
      <c r="N1858" s="1711"/>
    </row>
    <row r="1859" spans="1:14" ht="24" customHeight="1">
      <c r="A1859" s="1712"/>
      <c r="B1859" s="2368" t="s">
        <v>417</v>
      </c>
      <c r="C1859" s="2370"/>
      <c r="D1859" s="1675"/>
      <c r="E1859" s="1676"/>
      <c r="F1859" s="1669"/>
      <c r="G1859" s="1669"/>
      <c r="H1859" s="1669"/>
      <c r="I1859" s="1669"/>
      <c r="J1859" s="1669"/>
      <c r="K1859" s="1708"/>
      <c r="L1859" s="1721"/>
      <c r="M1859" s="1711"/>
      <c r="N1859" s="1711"/>
    </row>
    <row r="1860" spans="1:14" ht="24" customHeight="1">
      <c r="A1860" s="1712"/>
      <c r="B1860" s="1673" t="s">
        <v>139</v>
      </c>
      <c r="C1860" s="1674" t="s">
        <v>88</v>
      </c>
      <c r="D1860" s="1675">
        <v>168.6</v>
      </c>
      <c r="E1860" s="1676" t="s">
        <v>87</v>
      </c>
      <c r="F1860" s="1677">
        <v>21.4</v>
      </c>
      <c r="G1860" s="1677">
        <v>4.4000000000000004</v>
      </c>
      <c r="H1860" s="1669">
        <f t="shared" si="291"/>
        <v>3608.0399999999995</v>
      </c>
      <c r="I1860" s="1669">
        <f t="shared" si="292"/>
        <v>741.84</v>
      </c>
      <c r="J1860" s="1669">
        <f>SUM(H1860:I1860)</f>
        <v>4349.8799999999992</v>
      </c>
      <c r="K1860" s="1708"/>
      <c r="L1860" s="1721"/>
      <c r="M1860" s="1710" t="s">
        <v>1016</v>
      </c>
      <c r="N1860" s="1711" t="s">
        <v>659</v>
      </c>
    </row>
    <row r="1861" spans="1:14" ht="24" customHeight="1">
      <c r="A1861" s="1712"/>
      <c r="B1861" s="1673" t="s">
        <v>139</v>
      </c>
      <c r="C1861" s="1674" t="s">
        <v>89</v>
      </c>
      <c r="D1861" s="1675">
        <v>100.4</v>
      </c>
      <c r="E1861" s="1676" t="s">
        <v>87</v>
      </c>
      <c r="F1861" s="1677">
        <v>21.4</v>
      </c>
      <c r="G1861" s="1677">
        <v>3.6</v>
      </c>
      <c r="H1861" s="1669">
        <f t="shared" si="291"/>
        <v>2148.56</v>
      </c>
      <c r="I1861" s="1669">
        <f t="shared" si="292"/>
        <v>361.44000000000005</v>
      </c>
      <c r="J1861" s="1669">
        <f>SUM(H1861:I1861)</f>
        <v>2510</v>
      </c>
      <c r="K1861" s="1708"/>
      <c r="L1861" s="1721"/>
      <c r="M1861" s="1710" t="s">
        <v>1016</v>
      </c>
      <c r="N1861" s="1711" t="s">
        <v>659</v>
      </c>
    </row>
    <row r="1862" spans="1:14" ht="24" customHeight="1">
      <c r="A1862" s="1712"/>
      <c r="B1862" s="1673" t="s">
        <v>139</v>
      </c>
      <c r="C1862" s="1674" t="s">
        <v>90</v>
      </c>
      <c r="D1862" s="1675">
        <v>280.89999999999998</v>
      </c>
      <c r="E1862" s="1676" t="s">
        <v>87</v>
      </c>
      <c r="F1862" s="1677">
        <v>21.2</v>
      </c>
      <c r="G1862" s="1677">
        <v>3.6</v>
      </c>
      <c r="H1862" s="1669">
        <f t="shared" si="291"/>
        <v>5955.079999999999</v>
      </c>
      <c r="I1862" s="1669">
        <f t="shared" si="292"/>
        <v>1011.2399999999999</v>
      </c>
      <c r="J1862" s="1669">
        <f>SUM(H1862:I1862)</f>
        <v>6966.3199999999988</v>
      </c>
      <c r="K1862" s="1708"/>
      <c r="L1862" s="1721"/>
      <c r="M1862" s="1710" t="s">
        <v>1016</v>
      </c>
      <c r="N1862" s="1711" t="s">
        <v>659</v>
      </c>
    </row>
    <row r="1863" spans="1:14" ht="24" customHeight="1">
      <c r="A1863" s="1712"/>
      <c r="B1863" s="1673" t="s">
        <v>139</v>
      </c>
      <c r="C1863" s="1674" t="s">
        <v>200</v>
      </c>
      <c r="D1863" s="1675">
        <f>SUM(D1860:D1862)*0.03</f>
        <v>16.497</v>
      </c>
      <c r="E1863" s="1676" t="s">
        <v>87</v>
      </c>
      <c r="F1863" s="1677">
        <v>25.83</v>
      </c>
      <c r="G1863" s="1677">
        <v>0</v>
      </c>
      <c r="H1863" s="1669">
        <f t="shared" si="291"/>
        <v>426.11750999999998</v>
      </c>
      <c r="I1863" s="1669">
        <f t="shared" si="292"/>
        <v>0</v>
      </c>
      <c r="J1863" s="1669">
        <f>SUM(H1863:I1863)</f>
        <v>426.11750999999998</v>
      </c>
      <c r="K1863" s="1708"/>
      <c r="L1863" s="1721"/>
      <c r="M1863" s="1710" t="s">
        <v>1019</v>
      </c>
      <c r="N1863" s="1711"/>
    </row>
    <row r="1864" spans="1:14" ht="24" customHeight="1">
      <c r="A1864" s="1712"/>
      <c r="B1864" s="2368" t="s">
        <v>395</v>
      </c>
      <c r="C1864" s="2370"/>
      <c r="D1864" s="1675"/>
      <c r="E1864" s="1676"/>
      <c r="F1864" s="1669"/>
      <c r="G1864" s="1669"/>
      <c r="H1864" s="1669"/>
      <c r="I1864" s="1669"/>
      <c r="J1864" s="1669"/>
      <c r="K1864" s="1708"/>
      <c r="L1864" s="1721"/>
      <c r="M1864" s="1711"/>
      <c r="N1864" s="1711"/>
    </row>
    <row r="1865" spans="1:14" ht="24" customHeight="1">
      <c r="A1865" s="1702"/>
      <c r="B1865" s="2369" t="s">
        <v>420</v>
      </c>
      <c r="C1865" s="2373"/>
      <c r="D1865" s="1705"/>
      <c r="E1865" s="1706"/>
      <c r="F1865" s="1707"/>
      <c r="G1865" s="1707"/>
      <c r="H1865" s="1707"/>
      <c r="I1865" s="1707"/>
      <c r="J1865" s="1707"/>
      <c r="K1865" s="1709"/>
      <c r="L1865" s="1721"/>
      <c r="M1865" s="1711"/>
      <c r="N1865" s="1711"/>
    </row>
    <row r="1866" spans="1:14" ht="24" customHeight="1">
      <c r="A1866" s="1780"/>
      <c r="B1866" s="1780"/>
      <c r="C1866" s="1827" t="s">
        <v>133</v>
      </c>
      <c r="D1866" s="2365"/>
      <c r="E1866" s="2365"/>
      <c r="F1866" s="2365"/>
      <c r="G1866" s="2365"/>
      <c r="H1866" s="2365"/>
      <c r="I1866" s="2365"/>
      <c r="J1866" s="2365"/>
      <c r="K1866" s="2365"/>
      <c r="L1866" s="1721"/>
      <c r="M1866" s="1711"/>
      <c r="N1866" s="1711"/>
    </row>
    <row r="1867" spans="1:14" ht="24" customHeight="1">
      <c r="A1867" s="1780"/>
      <c r="B1867" s="2366" t="s">
        <v>1769</v>
      </c>
      <c r="C1867" s="2366"/>
      <c r="D1867" s="1828"/>
      <c r="E1867" s="1769"/>
      <c r="F1867" s="1828"/>
      <c r="G1867" s="1828" t="s">
        <v>134</v>
      </c>
      <c r="H1867" s="1828"/>
      <c r="I1867" s="1828"/>
      <c r="J1867" s="1828"/>
      <c r="K1867" s="1828"/>
      <c r="L1867" s="1721"/>
      <c r="M1867" s="1711"/>
      <c r="N1867" s="1711"/>
    </row>
    <row r="1868" spans="1:14" ht="24" customHeight="1">
      <c r="A1868" s="1780"/>
      <c r="B1868" s="2367" t="s">
        <v>1970</v>
      </c>
      <c r="C1868" s="2367"/>
      <c r="D1868" s="1831"/>
      <c r="E1868" s="1832"/>
      <c r="F1868" s="1833"/>
      <c r="G1868" s="1833" t="s">
        <v>1971</v>
      </c>
      <c r="H1868" s="1833"/>
      <c r="I1868" s="1833"/>
      <c r="J1868" s="1833"/>
      <c r="K1868" s="1833"/>
      <c r="L1868" s="1721"/>
      <c r="M1868" s="1711"/>
      <c r="N1868" s="1711"/>
    </row>
    <row r="1869" spans="1:14" ht="24" customHeight="1">
      <c r="A1869" s="1830"/>
      <c r="B1869" s="1828" t="s">
        <v>2031</v>
      </c>
      <c r="C1869" s="1830"/>
      <c r="D1869" s="1830"/>
      <c r="E1869" s="1830"/>
      <c r="F1869" s="1830"/>
      <c r="G1869" s="1828" t="s">
        <v>2031</v>
      </c>
      <c r="H1869" s="1830"/>
      <c r="I1869" s="1830"/>
      <c r="J1869" s="1830"/>
      <c r="K1869" s="1830"/>
      <c r="L1869" s="1721"/>
      <c r="M1869" s="1711"/>
      <c r="N1869" s="1711"/>
    </row>
    <row r="1870" spans="1:14" ht="24" customHeight="1">
      <c r="B1870" s="1721" t="s">
        <v>1984</v>
      </c>
      <c r="C1870" s="1830"/>
      <c r="D1870" s="1685"/>
      <c r="E1870" s="1685"/>
      <c r="G1870" s="1721" t="s">
        <v>1985</v>
      </c>
      <c r="H1870" s="1685"/>
      <c r="I1870" s="1685"/>
      <c r="J1870" s="1685"/>
      <c r="K1870" s="1685"/>
      <c r="L1870" s="1721"/>
      <c r="M1870" s="1711"/>
      <c r="N1870" s="1711"/>
    </row>
    <row r="1871" spans="1:14" ht="24" customHeight="1">
      <c r="B1871" s="1828" t="s">
        <v>670</v>
      </c>
      <c r="L1871" s="1721"/>
      <c r="M1871" s="1711"/>
      <c r="N1871" s="1711"/>
    </row>
    <row r="1872" spans="1:14" ht="24" customHeight="1">
      <c r="B1872" s="1721" t="s">
        <v>1972</v>
      </c>
      <c r="L1872" s="1721"/>
      <c r="M1872" s="1711"/>
      <c r="N1872" s="1711"/>
    </row>
    <row r="1873" spans="1:14" ht="24" customHeight="1">
      <c r="A1873" s="1712"/>
      <c r="B1873" s="1673" t="s">
        <v>139</v>
      </c>
      <c r="C1873" s="1674" t="s">
        <v>228</v>
      </c>
      <c r="D1873" s="1675">
        <v>5.5</v>
      </c>
      <c r="E1873" s="1676" t="s">
        <v>85</v>
      </c>
      <c r="F1873" s="1736">
        <v>2679.9</v>
      </c>
      <c r="G1873" s="1736">
        <v>519</v>
      </c>
      <c r="H1873" s="1669">
        <f t="shared" ref="H1873:H1884" si="294">F1873*D1873</f>
        <v>14739.45</v>
      </c>
      <c r="I1873" s="1669">
        <f t="shared" ref="I1873:I1884" si="295">G1873*D1873</f>
        <v>2854.5</v>
      </c>
      <c r="J1873" s="1669">
        <f t="shared" ref="J1873:J1879" si="296">SUM(H1873:I1873)</f>
        <v>17593.95</v>
      </c>
      <c r="K1873" s="1708"/>
      <c r="L1873" s="1721"/>
      <c r="M1873" s="1710" t="s">
        <v>1016</v>
      </c>
      <c r="N1873" s="1711" t="s">
        <v>664</v>
      </c>
    </row>
    <row r="1874" spans="1:14" ht="24" customHeight="1">
      <c r="A1874" s="1712"/>
      <c r="B1874" s="2368" t="s">
        <v>421</v>
      </c>
      <c r="C1874" s="2370"/>
      <c r="D1874" s="1675">
        <v>28.6</v>
      </c>
      <c r="E1874" s="1676"/>
      <c r="F1874" s="1669"/>
      <c r="G1874" s="1669"/>
      <c r="H1874" s="1669"/>
      <c r="I1874" s="1669"/>
      <c r="J1874" s="1669"/>
      <c r="K1874" s="1708"/>
      <c r="L1874" s="1721"/>
      <c r="M1874" s="1711"/>
      <c r="N1874" s="1711"/>
    </row>
    <row r="1875" spans="1:14" ht="24" customHeight="1">
      <c r="A1875" s="1712"/>
      <c r="B1875" s="1673" t="s">
        <v>139</v>
      </c>
      <c r="C1875" s="1674" t="s">
        <v>165</v>
      </c>
      <c r="D1875" s="1675">
        <f>D1874</f>
        <v>28.6</v>
      </c>
      <c r="E1875" s="1676" t="s">
        <v>86</v>
      </c>
      <c r="F1875" s="1669"/>
      <c r="G1875" s="1669">
        <v>121</v>
      </c>
      <c r="H1875" s="1669">
        <f t="shared" si="294"/>
        <v>0</v>
      </c>
      <c r="I1875" s="1669">
        <f t="shared" si="295"/>
        <v>3460.6000000000004</v>
      </c>
      <c r="J1875" s="1669">
        <f t="shared" si="296"/>
        <v>3460.6000000000004</v>
      </c>
      <c r="K1875" s="1708"/>
      <c r="L1875" s="1721"/>
      <c r="M1875" s="1710" t="s">
        <v>1017</v>
      </c>
      <c r="N1875" s="1711" t="s">
        <v>664</v>
      </c>
    </row>
    <row r="1876" spans="1:14" ht="24" customHeight="1">
      <c r="A1876" s="1712"/>
      <c r="B1876" s="1673" t="s">
        <v>139</v>
      </c>
      <c r="C1876" s="1674" t="s">
        <v>198</v>
      </c>
      <c r="D1876" s="1675">
        <f>D1874*0.5</f>
        <v>14.3</v>
      </c>
      <c r="E1876" s="1676" t="s">
        <v>164</v>
      </c>
      <c r="F1876" s="1669">
        <v>400</v>
      </c>
      <c r="G1876" s="1669"/>
      <c r="H1876" s="1669">
        <f t="shared" si="294"/>
        <v>5720</v>
      </c>
      <c r="I1876" s="1669">
        <f t="shared" si="295"/>
        <v>0</v>
      </c>
      <c r="J1876" s="1669">
        <f t="shared" si="296"/>
        <v>5720</v>
      </c>
      <c r="K1876" s="1708"/>
      <c r="L1876" s="1721"/>
      <c r="M1876" s="1710" t="s">
        <v>1018</v>
      </c>
      <c r="N1876" s="1711"/>
    </row>
    <row r="1877" spans="1:14" ht="24" customHeight="1">
      <c r="A1877" s="1712"/>
      <c r="B1877" s="1673" t="s">
        <v>139</v>
      </c>
      <c r="C1877" s="1674" t="s">
        <v>166</v>
      </c>
      <c r="D1877" s="1675">
        <f>D1876*0.3</f>
        <v>4.29</v>
      </c>
      <c r="E1877" s="1676" t="s">
        <v>164</v>
      </c>
      <c r="F1877" s="1669">
        <v>400</v>
      </c>
      <c r="G1877" s="1669">
        <v>0</v>
      </c>
      <c r="H1877" s="1669">
        <f t="shared" si="294"/>
        <v>1716</v>
      </c>
      <c r="I1877" s="1669">
        <f t="shared" si="295"/>
        <v>0</v>
      </c>
      <c r="J1877" s="1669">
        <f t="shared" si="296"/>
        <v>1716</v>
      </c>
      <c r="K1877" s="1708"/>
      <c r="L1877" s="1721"/>
      <c r="M1877" s="1710" t="s">
        <v>1018</v>
      </c>
      <c r="N1877" s="1711"/>
    </row>
    <row r="1878" spans="1:14" ht="24" customHeight="1">
      <c r="A1878" s="1712"/>
      <c r="B1878" s="1673" t="s">
        <v>139</v>
      </c>
      <c r="C1878" s="1674" t="s">
        <v>163</v>
      </c>
      <c r="D1878" s="1675">
        <f>D1874</f>
        <v>28.6</v>
      </c>
      <c r="E1878" s="1676" t="s">
        <v>83</v>
      </c>
      <c r="F1878" s="1669">
        <v>28</v>
      </c>
      <c r="G1878" s="1669">
        <v>0</v>
      </c>
      <c r="H1878" s="1669">
        <f t="shared" si="294"/>
        <v>800.80000000000007</v>
      </c>
      <c r="I1878" s="1669">
        <f t="shared" si="295"/>
        <v>0</v>
      </c>
      <c r="J1878" s="1669">
        <f t="shared" si="296"/>
        <v>800.80000000000007</v>
      </c>
      <c r="K1878" s="1708"/>
      <c r="L1878" s="1721"/>
      <c r="M1878" s="1710" t="s">
        <v>1018</v>
      </c>
      <c r="N1878" s="1711"/>
    </row>
    <row r="1879" spans="1:14" ht="24" customHeight="1">
      <c r="A1879" s="1712"/>
      <c r="B1879" s="1673" t="s">
        <v>139</v>
      </c>
      <c r="C1879" s="1674" t="s">
        <v>1781</v>
      </c>
      <c r="D1879" s="1675">
        <f>D1874*0.25</f>
        <v>7.15</v>
      </c>
      <c r="E1879" s="1676" t="s">
        <v>87</v>
      </c>
      <c r="F1879" s="1736">
        <v>23.89</v>
      </c>
      <c r="G1879" s="1736">
        <v>0</v>
      </c>
      <c r="H1879" s="1669">
        <f t="shared" si="294"/>
        <v>170.8135</v>
      </c>
      <c r="I1879" s="1669">
        <f t="shared" si="295"/>
        <v>0</v>
      </c>
      <c r="J1879" s="1669">
        <f t="shared" si="296"/>
        <v>170.8135</v>
      </c>
      <c r="K1879" s="1708"/>
      <c r="L1879" s="1721"/>
      <c r="M1879" s="1710" t="s">
        <v>660</v>
      </c>
      <c r="N1879" s="1711"/>
    </row>
    <row r="1880" spans="1:14" ht="24" customHeight="1">
      <c r="A1880" s="1712"/>
      <c r="B1880" s="2368" t="s">
        <v>419</v>
      </c>
      <c r="C1880" s="2370"/>
      <c r="D1880" s="1675"/>
      <c r="E1880" s="1676"/>
      <c r="F1880" s="1669"/>
      <c r="G1880" s="1669"/>
      <c r="H1880" s="1669"/>
      <c r="I1880" s="1669"/>
      <c r="J1880" s="1669"/>
      <c r="K1880" s="1708"/>
      <c r="L1880" s="1721"/>
      <c r="M1880" s="1711"/>
      <c r="N1880" s="1711"/>
    </row>
    <row r="1881" spans="1:14" s="1685" customFormat="1" ht="24" customHeight="1">
      <c r="A1881" s="1712"/>
      <c r="B1881" s="1673" t="s">
        <v>139</v>
      </c>
      <c r="C1881" s="1674" t="s">
        <v>88</v>
      </c>
      <c r="D1881" s="1675">
        <v>240.5</v>
      </c>
      <c r="E1881" s="1676" t="s">
        <v>87</v>
      </c>
      <c r="F1881" s="1677">
        <v>21.4</v>
      </c>
      <c r="G1881" s="1677">
        <v>4.4000000000000004</v>
      </c>
      <c r="H1881" s="1669">
        <f t="shared" si="294"/>
        <v>5146.7</v>
      </c>
      <c r="I1881" s="1669">
        <f t="shared" si="295"/>
        <v>1058.2</v>
      </c>
      <c r="J1881" s="1669">
        <f>SUM(H1881:I1881)</f>
        <v>6204.9</v>
      </c>
      <c r="K1881" s="1708"/>
      <c r="L1881" s="1721"/>
      <c r="M1881" s="1710" t="s">
        <v>1016</v>
      </c>
      <c r="N1881" s="1711" t="s">
        <v>659</v>
      </c>
    </row>
    <row r="1882" spans="1:14" s="1685" customFormat="1" ht="24" customHeight="1">
      <c r="A1882" s="1712"/>
      <c r="B1882" s="1673" t="s">
        <v>139</v>
      </c>
      <c r="C1882" s="1674" t="s">
        <v>89</v>
      </c>
      <c r="D1882" s="1675">
        <v>117.7</v>
      </c>
      <c r="E1882" s="1676" t="s">
        <v>87</v>
      </c>
      <c r="F1882" s="1677">
        <v>21.4</v>
      </c>
      <c r="G1882" s="1677">
        <v>3.6</v>
      </c>
      <c r="H1882" s="1669">
        <f t="shared" si="294"/>
        <v>2518.7799999999997</v>
      </c>
      <c r="I1882" s="1669">
        <f t="shared" si="295"/>
        <v>423.72</v>
      </c>
      <c r="J1882" s="1669">
        <f>SUM(H1882:I1882)</f>
        <v>2942.5</v>
      </c>
      <c r="K1882" s="1708"/>
      <c r="L1882" s="1721"/>
      <c r="M1882" s="1710" t="s">
        <v>1016</v>
      </c>
      <c r="N1882" s="1711" t="s">
        <v>659</v>
      </c>
    </row>
    <row r="1883" spans="1:14" s="1685" customFormat="1" ht="24" customHeight="1">
      <c r="A1883" s="1664"/>
      <c r="B1883" s="1665" t="s">
        <v>139</v>
      </c>
      <c r="C1883" s="1666" t="s">
        <v>90</v>
      </c>
      <c r="D1883" s="1667">
        <v>433.5</v>
      </c>
      <c r="E1883" s="1668" t="s">
        <v>87</v>
      </c>
      <c r="F1883" s="1744">
        <v>21.2</v>
      </c>
      <c r="G1883" s="1744">
        <v>3.6</v>
      </c>
      <c r="H1883" s="1670">
        <f t="shared" si="294"/>
        <v>9190.1999999999989</v>
      </c>
      <c r="I1883" s="1670">
        <f t="shared" si="295"/>
        <v>1560.6000000000001</v>
      </c>
      <c r="J1883" s="1670">
        <f>SUM(H1883:I1883)</f>
        <v>10750.8</v>
      </c>
      <c r="K1883" s="1746"/>
      <c r="L1883" s="1721"/>
      <c r="M1883" s="1710" t="s">
        <v>1016</v>
      </c>
      <c r="N1883" s="1711" t="s">
        <v>659</v>
      </c>
    </row>
    <row r="1884" spans="1:14" s="1685" customFormat="1" ht="24" customHeight="1">
      <c r="A1884" s="1712"/>
      <c r="B1884" s="1673" t="s">
        <v>139</v>
      </c>
      <c r="C1884" s="1674" t="s">
        <v>200</v>
      </c>
      <c r="D1884" s="1675">
        <f>SUM(D1881:D1883)*0.03</f>
        <v>23.751000000000001</v>
      </c>
      <c r="E1884" s="1676" t="s">
        <v>87</v>
      </c>
      <c r="F1884" s="1677">
        <v>25.83</v>
      </c>
      <c r="G1884" s="1677">
        <v>0</v>
      </c>
      <c r="H1884" s="1669">
        <f t="shared" si="294"/>
        <v>613.48833000000002</v>
      </c>
      <c r="I1884" s="1669">
        <f t="shared" si="295"/>
        <v>0</v>
      </c>
      <c r="J1884" s="1669">
        <f>SUM(H1884:I1884)</f>
        <v>613.48833000000002</v>
      </c>
      <c r="K1884" s="1708"/>
      <c r="L1884" s="1721"/>
      <c r="M1884" s="1710" t="s">
        <v>1019</v>
      </c>
      <c r="N1884" s="1711"/>
    </row>
    <row r="1885" spans="1:14" s="1685" customFormat="1" ht="24" customHeight="1">
      <c r="A1885" s="1712"/>
      <c r="B1885" s="1748" t="s">
        <v>1051</v>
      </c>
      <c r="C1885" s="1674"/>
      <c r="D1885" s="1675"/>
      <c r="E1885" s="1676"/>
      <c r="F1885" s="1677"/>
      <c r="G1885" s="1677"/>
      <c r="H1885" s="1669"/>
      <c r="I1885" s="1669"/>
      <c r="J1885" s="1669"/>
      <c r="K1885" s="1708"/>
      <c r="L1885" s="1721"/>
      <c r="M1885" s="1710"/>
      <c r="N1885" s="1711"/>
    </row>
    <row r="1886" spans="1:14" ht="24" customHeight="1">
      <c r="A1886" s="1712"/>
      <c r="B1886" s="2368" t="s">
        <v>1052</v>
      </c>
      <c r="C1886" s="2370"/>
      <c r="D1886" s="1675"/>
      <c r="E1886" s="1676"/>
      <c r="F1886" s="1669"/>
      <c r="G1886" s="1669"/>
      <c r="H1886" s="1669"/>
      <c r="I1886" s="1669"/>
      <c r="J1886" s="1669"/>
      <c r="K1886" s="1708"/>
      <c r="L1886" s="1721"/>
      <c r="M1886" s="1711"/>
      <c r="N1886" s="1711"/>
    </row>
    <row r="1887" spans="1:14" ht="24" customHeight="1">
      <c r="A1887" s="1712"/>
      <c r="B1887" s="1673" t="s">
        <v>139</v>
      </c>
      <c r="C1887" s="1674" t="s">
        <v>228</v>
      </c>
      <c r="D1887" s="1675">
        <v>4.5</v>
      </c>
      <c r="E1887" s="1676" t="s">
        <v>85</v>
      </c>
      <c r="F1887" s="1736">
        <v>2679.9</v>
      </c>
      <c r="G1887" s="1736">
        <v>519</v>
      </c>
      <c r="H1887" s="1669">
        <f t="shared" ref="H1887:H1905" si="297">F1887*D1887</f>
        <v>12059.550000000001</v>
      </c>
      <c r="I1887" s="1669">
        <f t="shared" ref="I1887:I1905" si="298">G1887*D1887</f>
        <v>2335.5</v>
      </c>
      <c r="J1887" s="1669">
        <f t="shared" ref="J1887:J1893" si="299">SUM(H1887:I1887)</f>
        <v>14395.050000000001</v>
      </c>
      <c r="K1887" s="1708"/>
      <c r="L1887" s="1721"/>
      <c r="M1887" s="1710" t="s">
        <v>1016</v>
      </c>
      <c r="N1887" s="1711" t="s">
        <v>664</v>
      </c>
    </row>
    <row r="1888" spans="1:14" ht="24" customHeight="1">
      <c r="A1888" s="1712"/>
      <c r="B1888" s="2368" t="s">
        <v>1053</v>
      </c>
      <c r="C1888" s="2370"/>
      <c r="D1888" s="1675">
        <v>20.8</v>
      </c>
      <c r="E1888" s="1676"/>
      <c r="F1888" s="1669"/>
      <c r="G1888" s="1669"/>
      <c r="H1888" s="1669"/>
      <c r="I1888" s="1669"/>
      <c r="J1888" s="1669"/>
      <c r="K1888" s="1708"/>
      <c r="L1888" s="1721"/>
      <c r="M1888" s="1711"/>
      <c r="N1888" s="1711"/>
    </row>
    <row r="1889" spans="1:14" ht="24" customHeight="1">
      <c r="A1889" s="1712"/>
      <c r="B1889" s="1673" t="s">
        <v>139</v>
      </c>
      <c r="C1889" s="1674" t="s">
        <v>165</v>
      </c>
      <c r="D1889" s="1675">
        <f>D1888</f>
        <v>20.8</v>
      </c>
      <c r="E1889" s="1676" t="s">
        <v>86</v>
      </c>
      <c r="F1889" s="1669"/>
      <c r="G1889" s="1669">
        <v>121</v>
      </c>
      <c r="H1889" s="1669">
        <f t="shared" si="297"/>
        <v>0</v>
      </c>
      <c r="I1889" s="1669">
        <f t="shared" si="298"/>
        <v>2516.8000000000002</v>
      </c>
      <c r="J1889" s="1669">
        <f t="shared" si="299"/>
        <v>2516.8000000000002</v>
      </c>
      <c r="K1889" s="1708"/>
      <c r="L1889" s="1721"/>
      <c r="M1889" s="1710" t="s">
        <v>1017</v>
      </c>
      <c r="N1889" s="1711" t="s">
        <v>664</v>
      </c>
    </row>
    <row r="1890" spans="1:14" ht="24" customHeight="1">
      <c r="A1890" s="1712"/>
      <c r="B1890" s="1673" t="s">
        <v>139</v>
      </c>
      <c r="C1890" s="1674" t="s">
        <v>198</v>
      </c>
      <c r="D1890" s="1675">
        <f>D1888*0.5</f>
        <v>10.4</v>
      </c>
      <c r="E1890" s="1676" t="s">
        <v>164</v>
      </c>
      <c r="F1890" s="1669">
        <v>400</v>
      </c>
      <c r="G1890" s="1669"/>
      <c r="H1890" s="1669">
        <f t="shared" si="297"/>
        <v>4160</v>
      </c>
      <c r="I1890" s="1669">
        <f t="shared" si="298"/>
        <v>0</v>
      </c>
      <c r="J1890" s="1669">
        <f t="shared" si="299"/>
        <v>4160</v>
      </c>
      <c r="K1890" s="1708"/>
      <c r="L1890" s="1721"/>
      <c r="M1890" s="1710" t="s">
        <v>1018</v>
      </c>
      <c r="N1890" s="1711"/>
    </row>
    <row r="1891" spans="1:14" ht="24" customHeight="1">
      <c r="A1891" s="1712"/>
      <c r="B1891" s="1673" t="s">
        <v>139</v>
      </c>
      <c r="C1891" s="1674" t="s">
        <v>166</v>
      </c>
      <c r="D1891" s="1675">
        <f>D1890*0.3</f>
        <v>3.12</v>
      </c>
      <c r="E1891" s="1676" t="s">
        <v>164</v>
      </c>
      <c r="F1891" s="1669">
        <v>400</v>
      </c>
      <c r="G1891" s="1669">
        <v>0</v>
      </c>
      <c r="H1891" s="1669">
        <f t="shared" si="297"/>
        <v>1248</v>
      </c>
      <c r="I1891" s="1669">
        <f t="shared" si="298"/>
        <v>0</v>
      </c>
      <c r="J1891" s="1669">
        <f t="shared" si="299"/>
        <v>1248</v>
      </c>
      <c r="K1891" s="1708"/>
      <c r="L1891" s="1721"/>
      <c r="M1891" s="1710" t="s">
        <v>1018</v>
      </c>
      <c r="N1891" s="1711"/>
    </row>
    <row r="1892" spans="1:14" ht="24" customHeight="1">
      <c r="A1892" s="1702"/>
      <c r="B1892" s="1703" t="s">
        <v>139</v>
      </c>
      <c r="C1892" s="1743" t="s">
        <v>163</v>
      </c>
      <c r="D1892" s="1705">
        <f>D1888</f>
        <v>20.8</v>
      </c>
      <c r="E1892" s="1706" t="s">
        <v>83</v>
      </c>
      <c r="F1892" s="1707">
        <v>28</v>
      </c>
      <c r="G1892" s="1707">
        <v>0</v>
      </c>
      <c r="H1892" s="1707">
        <f t="shared" si="297"/>
        <v>582.4</v>
      </c>
      <c r="I1892" s="1707">
        <f t="shared" si="298"/>
        <v>0</v>
      </c>
      <c r="J1892" s="1707">
        <f t="shared" si="299"/>
        <v>582.4</v>
      </c>
      <c r="K1892" s="1709"/>
      <c r="L1892" s="1721"/>
      <c r="M1892" s="1710" t="s">
        <v>1018</v>
      </c>
      <c r="N1892" s="1711"/>
    </row>
    <row r="1893" spans="1:14" ht="24" customHeight="1">
      <c r="A1893" s="1712"/>
      <c r="B1893" s="1673" t="s">
        <v>139</v>
      </c>
      <c r="C1893" s="1674" t="s">
        <v>1781</v>
      </c>
      <c r="D1893" s="1675">
        <f>D1888*0.25</f>
        <v>5.2</v>
      </c>
      <c r="E1893" s="1676" t="s">
        <v>87</v>
      </c>
      <c r="F1893" s="1736">
        <v>23.89</v>
      </c>
      <c r="G1893" s="1736">
        <v>0</v>
      </c>
      <c r="H1893" s="1669">
        <f t="shared" si="297"/>
        <v>124.22800000000001</v>
      </c>
      <c r="I1893" s="1669">
        <f t="shared" si="298"/>
        <v>0</v>
      </c>
      <c r="J1893" s="1669">
        <f t="shared" si="299"/>
        <v>124.22800000000001</v>
      </c>
      <c r="K1893" s="1708"/>
      <c r="L1893" s="1721"/>
      <c r="M1893" s="1710" t="s">
        <v>660</v>
      </c>
      <c r="N1893" s="1711"/>
    </row>
    <row r="1894" spans="1:14" ht="24" customHeight="1">
      <c r="A1894" s="1780"/>
      <c r="B1894" s="1780"/>
      <c r="C1894" s="1827" t="s">
        <v>133</v>
      </c>
      <c r="D1894" s="2365"/>
      <c r="E1894" s="2365"/>
      <c r="F1894" s="2365"/>
      <c r="G1894" s="2365"/>
      <c r="H1894" s="2365"/>
      <c r="I1894" s="2365"/>
      <c r="J1894" s="2365"/>
      <c r="K1894" s="2365"/>
      <c r="L1894" s="1721"/>
      <c r="M1894" s="1710"/>
      <c r="N1894" s="1711"/>
    </row>
    <row r="1895" spans="1:14" ht="24" customHeight="1">
      <c r="A1895" s="1780"/>
      <c r="B1895" s="2366" t="s">
        <v>1769</v>
      </c>
      <c r="C1895" s="2366"/>
      <c r="D1895" s="1828"/>
      <c r="E1895" s="1769"/>
      <c r="F1895" s="1828"/>
      <c r="G1895" s="1828" t="s">
        <v>134</v>
      </c>
      <c r="H1895" s="1828"/>
      <c r="I1895" s="1828"/>
      <c r="J1895" s="1828"/>
      <c r="K1895" s="1828"/>
      <c r="L1895" s="1721"/>
      <c r="M1895" s="1710"/>
      <c r="N1895" s="1711"/>
    </row>
    <row r="1896" spans="1:14" ht="24" customHeight="1">
      <c r="A1896" s="1780"/>
      <c r="B1896" s="2367" t="s">
        <v>1970</v>
      </c>
      <c r="C1896" s="2367"/>
      <c r="D1896" s="1831"/>
      <c r="E1896" s="1832"/>
      <c r="F1896" s="1833"/>
      <c r="G1896" s="1833" t="s">
        <v>1971</v>
      </c>
      <c r="H1896" s="1833"/>
      <c r="I1896" s="1833"/>
      <c r="J1896" s="1833"/>
      <c r="K1896" s="1833"/>
      <c r="L1896" s="1721"/>
      <c r="M1896" s="1710"/>
      <c r="N1896" s="1711"/>
    </row>
    <row r="1897" spans="1:14" ht="24" customHeight="1">
      <c r="A1897" s="1830"/>
      <c r="B1897" s="1828" t="s">
        <v>2031</v>
      </c>
      <c r="C1897" s="1830"/>
      <c r="D1897" s="1830"/>
      <c r="E1897" s="1830"/>
      <c r="F1897" s="1830"/>
      <c r="G1897" s="1828" t="s">
        <v>2031</v>
      </c>
      <c r="H1897" s="1830"/>
      <c r="I1897" s="1830"/>
      <c r="J1897" s="1830"/>
      <c r="K1897" s="1830"/>
      <c r="L1897" s="1721"/>
      <c r="M1897" s="1710"/>
      <c r="N1897" s="1711"/>
    </row>
    <row r="1898" spans="1:14" ht="24" customHeight="1">
      <c r="B1898" s="1721" t="s">
        <v>1984</v>
      </c>
      <c r="C1898" s="1830"/>
      <c r="D1898" s="1685"/>
      <c r="E1898" s="1685"/>
      <c r="G1898" s="1721" t="s">
        <v>1985</v>
      </c>
      <c r="H1898" s="1685"/>
      <c r="I1898" s="1685"/>
      <c r="J1898" s="1685"/>
      <c r="K1898" s="1685"/>
      <c r="L1898" s="1721"/>
      <c r="M1898" s="1710"/>
      <c r="N1898" s="1711"/>
    </row>
    <row r="1899" spans="1:14" ht="24" customHeight="1">
      <c r="B1899" s="1828" t="s">
        <v>670</v>
      </c>
      <c r="L1899" s="1721"/>
      <c r="M1899" s="1710"/>
      <c r="N1899" s="1711"/>
    </row>
    <row r="1900" spans="1:14" ht="24" customHeight="1">
      <c r="B1900" s="1721" t="s">
        <v>1972</v>
      </c>
      <c r="L1900" s="1721"/>
      <c r="M1900" s="1710"/>
      <c r="N1900" s="1711"/>
    </row>
    <row r="1901" spans="1:14" s="1685" customFormat="1" ht="24" customHeight="1">
      <c r="A1901" s="1712"/>
      <c r="B1901" s="2368" t="s">
        <v>1054</v>
      </c>
      <c r="C1901" s="2370"/>
      <c r="D1901" s="1675"/>
      <c r="E1901" s="1676"/>
      <c r="F1901" s="1669"/>
      <c r="G1901" s="1669"/>
      <c r="H1901" s="1669"/>
      <c r="I1901" s="1669"/>
      <c r="J1901" s="1669"/>
      <c r="K1901" s="1708"/>
      <c r="L1901" s="1721"/>
      <c r="M1901" s="1711"/>
      <c r="N1901" s="1711"/>
    </row>
    <row r="1902" spans="1:14" s="1685" customFormat="1" ht="24" customHeight="1">
      <c r="A1902" s="1712"/>
      <c r="B1902" s="1673" t="s">
        <v>139</v>
      </c>
      <c r="C1902" s="1674" t="s">
        <v>88</v>
      </c>
      <c r="D1902" s="1675">
        <v>168</v>
      </c>
      <c r="E1902" s="1676" t="s">
        <v>87</v>
      </c>
      <c r="F1902" s="1677">
        <v>21.4</v>
      </c>
      <c r="G1902" s="1677">
        <v>4.4000000000000004</v>
      </c>
      <c r="H1902" s="1669">
        <f t="shared" si="297"/>
        <v>3595.2</v>
      </c>
      <c r="I1902" s="1669">
        <f t="shared" si="298"/>
        <v>739.2</v>
      </c>
      <c r="J1902" s="1669">
        <f>SUM(H1902:I1902)</f>
        <v>4334.3999999999996</v>
      </c>
      <c r="K1902" s="1708"/>
      <c r="L1902" s="1721"/>
      <c r="M1902" s="1710" t="s">
        <v>1016</v>
      </c>
      <c r="N1902" s="1711" t="s">
        <v>659</v>
      </c>
    </row>
    <row r="1903" spans="1:14" s="1685" customFormat="1" ht="24" customHeight="1">
      <c r="A1903" s="1712"/>
      <c r="B1903" s="1673" t="s">
        <v>139</v>
      </c>
      <c r="C1903" s="1674" t="s">
        <v>89</v>
      </c>
      <c r="D1903" s="1675">
        <v>72.900000000000006</v>
      </c>
      <c r="E1903" s="1676" t="s">
        <v>87</v>
      </c>
      <c r="F1903" s="1677">
        <v>21.4</v>
      </c>
      <c r="G1903" s="1677">
        <v>3.6</v>
      </c>
      <c r="H1903" s="1669">
        <f t="shared" si="297"/>
        <v>1560.06</v>
      </c>
      <c r="I1903" s="1669">
        <f t="shared" si="298"/>
        <v>262.44000000000005</v>
      </c>
      <c r="J1903" s="1669">
        <f>SUM(H1903:I1903)</f>
        <v>1822.5</v>
      </c>
      <c r="K1903" s="1708"/>
      <c r="L1903" s="1721"/>
      <c r="M1903" s="1710" t="s">
        <v>1016</v>
      </c>
      <c r="N1903" s="1711" t="s">
        <v>659</v>
      </c>
    </row>
    <row r="1904" spans="1:14" ht="24" customHeight="1">
      <c r="A1904" s="1664"/>
      <c r="B1904" s="1665" t="s">
        <v>139</v>
      </c>
      <c r="C1904" s="1666" t="s">
        <v>90</v>
      </c>
      <c r="D1904" s="1667">
        <v>222.9</v>
      </c>
      <c r="E1904" s="1668" t="s">
        <v>87</v>
      </c>
      <c r="F1904" s="1744">
        <v>21.2</v>
      </c>
      <c r="G1904" s="1744">
        <v>3.6</v>
      </c>
      <c r="H1904" s="1670">
        <f t="shared" si="297"/>
        <v>4725.4799999999996</v>
      </c>
      <c r="I1904" s="1669">
        <f t="shared" si="298"/>
        <v>802.44</v>
      </c>
      <c r="J1904" s="1669">
        <f>SUM(H1904:I1904)</f>
        <v>5527.92</v>
      </c>
      <c r="K1904" s="1708"/>
      <c r="L1904" s="1721"/>
      <c r="M1904" s="1710" t="s">
        <v>1016</v>
      </c>
      <c r="N1904" s="1711" t="s">
        <v>659</v>
      </c>
    </row>
    <row r="1905" spans="1:14" ht="24" customHeight="1">
      <c r="A1905" s="1712"/>
      <c r="B1905" s="1673" t="s">
        <v>139</v>
      </c>
      <c r="C1905" s="1674" t="s">
        <v>200</v>
      </c>
      <c r="D1905" s="1675">
        <f>SUM(D1902:D1904)*0.03</f>
        <v>13.914</v>
      </c>
      <c r="E1905" s="1676" t="s">
        <v>87</v>
      </c>
      <c r="F1905" s="1677">
        <v>25.83</v>
      </c>
      <c r="G1905" s="1677">
        <v>0</v>
      </c>
      <c r="H1905" s="1669">
        <f t="shared" si="297"/>
        <v>359.39861999999999</v>
      </c>
      <c r="I1905" s="1678">
        <f t="shared" si="298"/>
        <v>0</v>
      </c>
      <c r="J1905" s="1669">
        <f>SUM(H1905:I1905)</f>
        <v>359.39861999999999</v>
      </c>
      <c r="K1905" s="1708"/>
      <c r="L1905" s="1721"/>
      <c r="M1905" s="1710" t="s">
        <v>1019</v>
      </c>
      <c r="N1905" s="1711"/>
    </row>
    <row r="1906" spans="1:14" s="1781" customFormat="1" ht="24" customHeight="1">
      <c r="A1906" s="1712"/>
      <c r="B1906" s="2368" t="s">
        <v>1063</v>
      </c>
      <c r="C1906" s="2368"/>
      <c r="D1906" s="1794"/>
      <c r="E1906" s="1795"/>
      <c r="F1906" s="1796"/>
      <c r="G1906" s="1797"/>
      <c r="H1906" s="1736"/>
      <c r="I1906" s="1736"/>
      <c r="J1906" s="1736"/>
      <c r="K1906" s="1708"/>
      <c r="L1906" s="1721"/>
      <c r="M1906" s="1779"/>
      <c r="N1906" s="1780"/>
    </row>
    <row r="1907" spans="1:14" s="1769" customFormat="1" ht="24" customHeight="1">
      <c r="A1907" s="1737"/>
      <c r="B1907" s="1672" t="s">
        <v>107</v>
      </c>
      <c r="C1907" s="1764" t="s">
        <v>1064</v>
      </c>
      <c r="D1907" s="1765">
        <v>3150</v>
      </c>
      <c r="E1907" s="1766" t="s">
        <v>87</v>
      </c>
      <c r="F1907" s="1767">
        <v>31</v>
      </c>
      <c r="G1907" s="1767">
        <v>10</v>
      </c>
      <c r="H1907" s="1736">
        <f>+F1907*D1907</f>
        <v>97650</v>
      </c>
      <c r="I1907" s="1736">
        <f>+G1907*D1907</f>
        <v>31500</v>
      </c>
      <c r="J1907" s="1736">
        <f>+H1907+I1907</f>
        <v>129150</v>
      </c>
      <c r="K1907" s="1708"/>
      <c r="L1907" s="1721"/>
      <c r="M1907" s="1779"/>
      <c r="N1907" s="1768">
        <v>145.80000000000001</v>
      </c>
    </row>
    <row r="1908" spans="1:14" s="1769" customFormat="1" ht="24" customHeight="1">
      <c r="A1908" s="1737"/>
      <c r="B1908" s="1672" t="s">
        <v>107</v>
      </c>
      <c r="C1908" s="1764" t="s">
        <v>1862</v>
      </c>
      <c r="D1908" s="1765">
        <v>398</v>
      </c>
      <c r="E1908" s="1766" t="s">
        <v>87</v>
      </c>
      <c r="F1908" s="1767">
        <v>31</v>
      </c>
      <c r="G1908" s="1767">
        <v>10</v>
      </c>
      <c r="H1908" s="1736">
        <f>+F1908*D1908</f>
        <v>12338</v>
      </c>
      <c r="I1908" s="1736">
        <f>+G1908*D1908</f>
        <v>3980</v>
      </c>
      <c r="J1908" s="1736">
        <f>+H1908+I1908</f>
        <v>16318</v>
      </c>
      <c r="K1908" s="1708"/>
      <c r="L1908" s="1721"/>
      <c r="M1908" s="1779"/>
      <c r="N1908" s="1768"/>
    </row>
    <row r="1909" spans="1:14" s="1769" customFormat="1" ht="24" customHeight="1">
      <c r="A1909" s="1798"/>
      <c r="B1909" s="1672" t="s">
        <v>107</v>
      </c>
      <c r="C1909" s="1764" t="s">
        <v>1863</v>
      </c>
      <c r="D1909" s="1765">
        <v>246</v>
      </c>
      <c r="E1909" s="1766" t="s">
        <v>87</v>
      </c>
      <c r="F1909" s="1767">
        <v>31</v>
      </c>
      <c r="G1909" s="1767">
        <v>10</v>
      </c>
      <c r="H1909" s="1736">
        <f>+F1909*D1909</f>
        <v>7626</v>
      </c>
      <c r="I1909" s="1736">
        <f>+G1909*D1909</f>
        <v>2460</v>
      </c>
      <c r="J1909" s="1736">
        <f>+H1909+I1909</f>
        <v>10086</v>
      </c>
      <c r="K1909" s="1708"/>
      <c r="L1909" s="1721"/>
      <c r="M1909" s="1779"/>
      <c r="N1909" s="1768"/>
    </row>
    <row r="1910" spans="1:14" s="1769" customFormat="1" ht="24" customHeight="1">
      <c r="A1910" s="1798"/>
      <c r="B1910" s="1773" t="s">
        <v>107</v>
      </c>
      <c r="C1910" s="1799" t="s">
        <v>1065</v>
      </c>
      <c r="D1910" s="1800">
        <v>3632</v>
      </c>
      <c r="E1910" s="1801" t="s">
        <v>87</v>
      </c>
      <c r="F1910" s="1802">
        <v>31</v>
      </c>
      <c r="G1910" s="1802">
        <v>10</v>
      </c>
      <c r="H1910" s="1745">
        <f>+F1910*D1910</f>
        <v>112592</v>
      </c>
      <c r="I1910" s="1745">
        <f>+G1910*D1910</f>
        <v>36320</v>
      </c>
      <c r="J1910" s="1745">
        <f>+H1910+I1910</f>
        <v>148912</v>
      </c>
      <c r="K1910" s="1746"/>
      <c r="L1910" s="1721"/>
      <c r="M1910" s="1710" t="s">
        <v>1021</v>
      </c>
      <c r="N1910" s="1768">
        <v>401.4</v>
      </c>
    </row>
    <row r="1911" spans="1:14" ht="24" customHeight="1">
      <c r="A1911" s="1712"/>
      <c r="B1911" s="1673" t="s">
        <v>107</v>
      </c>
      <c r="C1911" s="1713" t="s">
        <v>424</v>
      </c>
      <c r="D1911" s="1675">
        <v>327</v>
      </c>
      <c r="E1911" s="1676" t="s">
        <v>86</v>
      </c>
      <c r="F1911" s="1669">
        <v>53</v>
      </c>
      <c r="G1911" s="1669">
        <v>30</v>
      </c>
      <c r="H1911" s="1669">
        <f>F1911*D1911</f>
        <v>17331</v>
      </c>
      <c r="I1911" s="1669">
        <f>G1911*D1911</f>
        <v>9810</v>
      </c>
      <c r="J1911" s="1669">
        <f>SUM(H1911:I1911)</f>
        <v>27141</v>
      </c>
      <c r="K1911" s="1761"/>
      <c r="M1911" s="1763" t="s">
        <v>643</v>
      </c>
      <c r="N1911" s="1711" t="s">
        <v>664</v>
      </c>
    </row>
    <row r="1912" spans="1:14" ht="24" customHeight="1">
      <c r="A1912" s="1712"/>
      <c r="B1912" s="2368" t="s">
        <v>1030</v>
      </c>
      <c r="C1912" s="2370"/>
      <c r="D1912" s="1675"/>
      <c r="E1912" s="1676"/>
      <c r="F1912" s="1669"/>
      <c r="G1912" s="1669"/>
      <c r="H1912" s="1669"/>
      <c r="I1912" s="1669"/>
      <c r="J1912" s="1669"/>
      <c r="K1912" s="1708"/>
      <c r="L1912" s="1721"/>
      <c r="M1912" s="1711"/>
      <c r="N1912" s="1711"/>
    </row>
    <row r="1913" spans="1:14" ht="24" customHeight="1">
      <c r="A1913" s="1712"/>
      <c r="B1913" s="2368" t="s">
        <v>1031</v>
      </c>
      <c r="C1913" s="2370"/>
      <c r="D1913" s="1675"/>
      <c r="E1913" s="1676"/>
      <c r="F1913" s="1669"/>
      <c r="G1913" s="1669"/>
      <c r="H1913" s="1669"/>
      <c r="I1913" s="1669"/>
      <c r="J1913" s="1669"/>
      <c r="K1913" s="1708"/>
      <c r="L1913" s="1721"/>
      <c r="M1913" s="1711"/>
      <c r="N1913" s="1711"/>
    </row>
    <row r="1914" spans="1:14" s="1769" customFormat="1" ht="24" customHeight="1">
      <c r="A1914" s="1798"/>
      <c r="B1914" s="1672" t="s">
        <v>139</v>
      </c>
      <c r="C1914" s="1764" t="s">
        <v>228</v>
      </c>
      <c r="D1914" s="1765">
        <v>15.9</v>
      </c>
      <c r="E1914" s="1766" t="s">
        <v>85</v>
      </c>
      <c r="F1914" s="1767">
        <v>2679.9</v>
      </c>
      <c r="G1914" s="1767">
        <v>519</v>
      </c>
      <c r="H1914" s="1736">
        <f t="shared" ref="H1914:H1936" si="300">F1914*D1914</f>
        <v>42610.41</v>
      </c>
      <c r="I1914" s="1736">
        <f t="shared" ref="I1914:I1936" si="301">G1914*D1914</f>
        <v>8252.1</v>
      </c>
      <c r="J1914" s="1736">
        <f t="shared" ref="J1914:J1920" si="302">SUM(H1914:I1914)</f>
        <v>50862.51</v>
      </c>
      <c r="K1914" s="1708"/>
      <c r="L1914" s="1721"/>
      <c r="M1914" s="1779" t="s">
        <v>1016</v>
      </c>
      <c r="N1914" s="1768" t="s">
        <v>659</v>
      </c>
    </row>
    <row r="1915" spans="1:14" s="1769" customFormat="1" ht="24" customHeight="1">
      <c r="A1915" s="1798"/>
      <c r="B1915" s="1771" t="s">
        <v>1033</v>
      </c>
      <c r="C1915" s="1764"/>
      <c r="D1915" s="1765">
        <v>65.400000000000006</v>
      </c>
      <c r="E1915" s="1766"/>
      <c r="F1915" s="1767"/>
      <c r="G1915" s="1767"/>
      <c r="H1915" s="1736"/>
      <c r="I1915" s="1736"/>
      <c r="J1915" s="1736"/>
      <c r="K1915" s="1708"/>
      <c r="L1915" s="1721"/>
      <c r="M1915" s="1779"/>
      <c r="N1915" s="1768"/>
    </row>
    <row r="1916" spans="1:14" ht="24" customHeight="1">
      <c r="A1916" s="1712"/>
      <c r="B1916" s="1673" t="s">
        <v>139</v>
      </c>
      <c r="C1916" s="1674" t="s">
        <v>165</v>
      </c>
      <c r="D1916" s="1675">
        <f>D1915</f>
        <v>65.400000000000006</v>
      </c>
      <c r="E1916" s="1676" t="s">
        <v>86</v>
      </c>
      <c r="F1916" s="1736">
        <v>0</v>
      </c>
      <c r="G1916" s="1669">
        <v>121</v>
      </c>
      <c r="H1916" s="1669">
        <f t="shared" si="300"/>
        <v>0</v>
      </c>
      <c r="I1916" s="1669">
        <f t="shared" si="301"/>
        <v>7913.4000000000005</v>
      </c>
      <c r="J1916" s="1669">
        <f t="shared" si="302"/>
        <v>7913.4000000000005</v>
      </c>
      <c r="K1916" s="1708"/>
      <c r="L1916" s="1721"/>
      <c r="M1916" s="1710" t="s">
        <v>1017</v>
      </c>
      <c r="N1916" s="1711" t="s">
        <v>659</v>
      </c>
    </row>
    <row r="1917" spans="1:14" ht="24" customHeight="1">
      <c r="A1917" s="1712"/>
      <c r="B1917" s="1673" t="s">
        <v>139</v>
      </c>
      <c r="C1917" s="1674" t="s">
        <v>198</v>
      </c>
      <c r="D1917" s="1675">
        <f>D1915*0.5</f>
        <v>32.700000000000003</v>
      </c>
      <c r="E1917" s="1676" t="s">
        <v>164</v>
      </c>
      <c r="F1917" s="1736">
        <v>400</v>
      </c>
      <c r="G1917" s="1736">
        <v>0</v>
      </c>
      <c r="H1917" s="1669">
        <f t="shared" si="300"/>
        <v>13080.000000000002</v>
      </c>
      <c r="I1917" s="1669">
        <f t="shared" si="301"/>
        <v>0</v>
      </c>
      <c r="J1917" s="1669">
        <f t="shared" si="302"/>
        <v>13080.000000000002</v>
      </c>
      <c r="K1917" s="1708"/>
      <c r="L1917" s="1721"/>
      <c r="M1917" s="1710" t="s">
        <v>1018</v>
      </c>
      <c r="N1917" s="1711"/>
    </row>
    <row r="1918" spans="1:14" ht="24" customHeight="1">
      <c r="A1918" s="1712"/>
      <c r="B1918" s="1673" t="s">
        <v>139</v>
      </c>
      <c r="C1918" s="1674" t="s">
        <v>166</v>
      </c>
      <c r="D1918" s="1675">
        <f>D1917*0.3</f>
        <v>9.81</v>
      </c>
      <c r="E1918" s="1676" t="s">
        <v>164</v>
      </c>
      <c r="F1918" s="1736">
        <v>400</v>
      </c>
      <c r="G1918" s="1736">
        <v>0</v>
      </c>
      <c r="H1918" s="1669">
        <f t="shared" si="300"/>
        <v>3924</v>
      </c>
      <c r="I1918" s="1669">
        <f t="shared" si="301"/>
        <v>0</v>
      </c>
      <c r="J1918" s="1669">
        <f t="shared" si="302"/>
        <v>3924</v>
      </c>
      <c r="K1918" s="1708"/>
      <c r="L1918" s="1721"/>
      <c r="M1918" s="1710" t="s">
        <v>1018</v>
      </c>
      <c r="N1918" s="1685"/>
    </row>
    <row r="1919" spans="1:14" ht="24" customHeight="1">
      <c r="A1919" s="1712"/>
      <c r="B1919" s="1673" t="s">
        <v>139</v>
      </c>
      <c r="C1919" s="1674" t="s">
        <v>163</v>
      </c>
      <c r="D1919" s="1675">
        <f>D1915</f>
        <v>65.400000000000006</v>
      </c>
      <c r="E1919" s="1676" t="s">
        <v>83</v>
      </c>
      <c r="F1919" s="1736">
        <v>28</v>
      </c>
      <c r="G1919" s="1736">
        <v>0</v>
      </c>
      <c r="H1919" s="1669">
        <f t="shared" si="300"/>
        <v>1831.2000000000003</v>
      </c>
      <c r="I1919" s="1669">
        <f t="shared" si="301"/>
        <v>0</v>
      </c>
      <c r="J1919" s="1669">
        <f t="shared" si="302"/>
        <v>1831.2000000000003</v>
      </c>
      <c r="K1919" s="1708"/>
      <c r="L1919" s="1721"/>
      <c r="M1919" s="1710" t="s">
        <v>1018</v>
      </c>
      <c r="N1919" s="1685"/>
    </row>
    <row r="1920" spans="1:14" ht="24" customHeight="1">
      <c r="A1920" s="1712"/>
      <c r="B1920" s="1673" t="s">
        <v>139</v>
      </c>
      <c r="C1920" s="1674" t="s">
        <v>1781</v>
      </c>
      <c r="D1920" s="1675">
        <f>D1915*0.25</f>
        <v>16.350000000000001</v>
      </c>
      <c r="E1920" s="1676" t="s">
        <v>87</v>
      </c>
      <c r="F1920" s="1736">
        <v>23.89</v>
      </c>
      <c r="G1920" s="1736">
        <v>0</v>
      </c>
      <c r="H1920" s="1669">
        <f t="shared" si="300"/>
        <v>390.60150000000004</v>
      </c>
      <c r="I1920" s="1669">
        <f t="shared" si="301"/>
        <v>0</v>
      </c>
      <c r="J1920" s="1669">
        <f t="shared" si="302"/>
        <v>390.60150000000004</v>
      </c>
      <c r="K1920" s="1708"/>
      <c r="L1920" s="1721"/>
      <c r="M1920" s="1710" t="s">
        <v>660</v>
      </c>
      <c r="N1920" s="1685"/>
    </row>
    <row r="1921" spans="1:14" ht="24" customHeight="1">
      <c r="A1921" s="1712"/>
      <c r="B1921" s="2368" t="s">
        <v>1032</v>
      </c>
      <c r="C1921" s="2370"/>
      <c r="D1921" s="1675"/>
      <c r="E1921" s="1676"/>
      <c r="F1921" s="1669"/>
      <c r="G1921" s="1669"/>
      <c r="H1921" s="1669"/>
      <c r="I1921" s="1669"/>
      <c r="J1921" s="1669"/>
      <c r="K1921" s="1708"/>
      <c r="L1921" s="1721"/>
      <c r="M1921" s="1711"/>
      <c r="N1921" s="1711"/>
    </row>
    <row r="1922" spans="1:14" ht="24" customHeight="1">
      <c r="A1922" s="1712"/>
      <c r="B1922" s="1673" t="s">
        <v>139</v>
      </c>
      <c r="C1922" s="1674" t="s">
        <v>88</v>
      </c>
      <c r="D1922" s="1675">
        <v>326.3</v>
      </c>
      <c r="E1922" s="1676" t="s">
        <v>87</v>
      </c>
      <c r="F1922" s="1677">
        <v>21.4</v>
      </c>
      <c r="G1922" s="1677">
        <v>4.4000000000000004</v>
      </c>
      <c r="H1922" s="1669">
        <f t="shared" si="300"/>
        <v>6982.82</v>
      </c>
      <c r="I1922" s="1669">
        <f t="shared" si="301"/>
        <v>1435.7200000000003</v>
      </c>
      <c r="J1922" s="1669">
        <f t="shared" ref="J1922:J1936" si="303">SUM(H1922:I1922)</f>
        <v>8418.5400000000009</v>
      </c>
      <c r="K1922" s="1708"/>
      <c r="L1922" s="1721"/>
      <c r="M1922" s="1710" t="s">
        <v>1016</v>
      </c>
      <c r="N1922" s="1711" t="s">
        <v>659</v>
      </c>
    </row>
    <row r="1923" spans="1:14" ht="24" customHeight="1">
      <c r="A1923" s="1712"/>
      <c r="B1923" s="1673" t="s">
        <v>139</v>
      </c>
      <c r="C1923" s="1674" t="s">
        <v>89</v>
      </c>
      <c r="D1923" s="1675">
        <v>833.5</v>
      </c>
      <c r="E1923" s="1676" t="s">
        <v>87</v>
      </c>
      <c r="F1923" s="1677">
        <v>21.4</v>
      </c>
      <c r="G1923" s="1677">
        <v>3.6</v>
      </c>
      <c r="H1923" s="1669">
        <f t="shared" si="300"/>
        <v>17836.899999999998</v>
      </c>
      <c r="I1923" s="1669">
        <f t="shared" si="301"/>
        <v>3000.6</v>
      </c>
      <c r="J1923" s="1669">
        <f t="shared" si="303"/>
        <v>20837.499999999996</v>
      </c>
      <c r="K1923" s="1708"/>
      <c r="L1923" s="1721"/>
      <c r="M1923" s="1710" t="s">
        <v>1016</v>
      </c>
      <c r="N1923" s="1711" t="s">
        <v>659</v>
      </c>
    </row>
    <row r="1924" spans="1:14" ht="24" customHeight="1">
      <c r="A1924" s="1664"/>
      <c r="B1924" s="1665" t="s">
        <v>139</v>
      </c>
      <c r="C1924" s="1666" t="s">
        <v>91</v>
      </c>
      <c r="D1924" s="1667">
        <v>757.6</v>
      </c>
      <c r="E1924" s="1668" t="s">
        <v>87</v>
      </c>
      <c r="F1924" s="1744">
        <v>21.2</v>
      </c>
      <c r="G1924" s="1744">
        <v>3.1</v>
      </c>
      <c r="H1924" s="1670">
        <f t="shared" si="300"/>
        <v>16061.12</v>
      </c>
      <c r="I1924" s="1670">
        <f t="shared" si="301"/>
        <v>2348.56</v>
      </c>
      <c r="J1924" s="1669">
        <f t="shared" si="303"/>
        <v>18409.68</v>
      </c>
      <c r="K1924" s="1708"/>
      <c r="L1924" s="1721"/>
      <c r="M1924" s="1710" t="s">
        <v>1016</v>
      </c>
      <c r="N1924" s="1711" t="s">
        <v>659</v>
      </c>
    </row>
    <row r="1925" spans="1:14" s="1685" customFormat="1" ht="24" customHeight="1">
      <c r="A1925" s="1712"/>
      <c r="B1925" s="1673" t="s">
        <v>139</v>
      </c>
      <c r="C1925" s="1674" t="s">
        <v>200</v>
      </c>
      <c r="D1925" s="1675">
        <f>SUM(D1922:D1924)*0.03</f>
        <v>57.521999999999998</v>
      </c>
      <c r="E1925" s="1676" t="s">
        <v>87</v>
      </c>
      <c r="F1925" s="1677">
        <v>25.83</v>
      </c>
      <c r="G1925" s="1677">
        <v>0</v>
      </c>
      <c r="H1925" s="1669">
        <f t="shared" si="300"/>
        <v>1485.7932599999999</v>
      </c>
      <c r="I1925" s="1669">
        <f t="shared" si="301"/>
        <v>0</v>
      </c>
      <c r="J1925" s="1678">
        <f t="shared" si="303"/>
        <v>1485.7932599999999</v>
      </c>
      <c r="K1925" s="1708"/>
      <c r="L1925" s="1721"/>
      <c r="M1925" s="1710" t="s">
        <v>1019</v>
      </c>
      <c r="N1925" s="1711"/>
    </row>
    <row r="1926" spans="1:14" s="1685" customFormat="1" ht="24" customHeight="1">
      <c r="A1926" s="1780"/>
      <c r="B1926" s="1780"/>
      <c r="C1926" s="1827" t="s">
        <v>133</v>
      </c>
      <c r="D1926" s="2365"/>
      <c r="E1926" s="2365"/>
      <c r="F1926" s="2365"/>
      <c r="G1926" s="2365"/>
      <c r="H1926" s="2365"/>
      <c r="I1926" s="2365"/>
      <c r="J1926" s="2365"/>
      <c r="K1926" s="2365"/>
      <c r="L1926" s="1721"/>
      <c r="M1926" s="1710"/>
      <c r="N1926" s="1711"/>
    </row>
    <row r="1927" spans="1:14" s="1685" customFormat="1" ht="24" customHeight="1">
      <c r="A1927" s="1780"/>
      <c r="B1927" s="2366" t="s">
        <v>1769</v>
      </c>
      <c r="C1927" s="2366"/>
      <c r="D1927" s="1828"/>
      <c r="E1927" s="1769"/>
      <c r="F1927" s="1828"/>
      <c r="G1927" s="1828" t="s">
        <v>134</v>
      </c>
      <c r="H1927" s="1828"/>
      <c r="I1927" s="1828"/>
      <c r="J1927" s="1828"/>
      <c r="K1927" s="1828"/>
      <c r="L1927" s="1721"/>
      <c r="M1927" s="1710"/>
      <c r="N1927" s="1711"/>
    </row>
    <row r="1928" spans="1:14" s="1685" customFormat="1" ht="24" customHeight="1">
      <c r="A1928" s="1780"/>
      <c r="B1928" s="2367" t="s">
        <v>1970</v>
      </c>
      <c r="C1928" s="2367"/>
      <c r="D1928" s="1831"/>
      <c r="E1928" s="1832"/>
      <c r="F1928" s="1833"/>
      <c r="G1928" s="1833" t="s">
        <v>1971</v>
      </c>
      <c r="H1928" s="1833"/>
      <c r="I1928" s="1833"/>
      <c r="J1928" s="1833"/>
      <c r="K1928" s="1833"/>
      <c r="L1928" s="1721"/>
      <c r="M1928" s="1710"/>
      <c r="N1928" s="1711"/>
    </row>
    <row r="1929" spans="1:14" s="1685" customFormat="1" ht="24" customHeight="1">
      <c r="A1929" s="1830"/>
      <c r="B1929" s="1828" t="s">
        <v>2031</v>
      </c>
      <c r="C1929" s="1830"/>
      <c r="D1929" s="1830"/>
      <c r="E1929" s="1830"/>
      <c r="F1929" s="1830"/>
      <c r="G1929" s="1828" t="s">
        <v>2031</v>
      </c>
      <c r="H1929" s="1830"/>
      <c r="I1929" s="1830"/>
      <c r="J1929" s="1830"/>
      <c r="K1929" s="1830"/>
      <c r="L1929" s="1721"/>
      <c r="M1929" s="1710"/>
      <c r="N1929" s="1711"/>
    </row>
    <row r="1930" spans="1:14" s="1685" customFormat="1" ht="24" customHeight="1">
      <c r="B1930" s="1721" t="s">
        <v>1984</v>
      </c>
      <c r="C1930" s="1830"/>
      <c r="G1930" s="1721" t="s">
        <v>1985</v>
      </c>
      <c r="L1930" s="1721"/>
      <c r="M1930" s="1710"/>
      <c r="N1930" s="1711"/>
    </row>
    <row r="1931" spans="1:14" s="1685" customFormat="1" ht="24" customHeight="1">
      <c r="B1931" s="1828" t="s">
        <v>670</v>
      </c>
      <c r="D1931" s="1686"/>
      <c r="E1931" s="1824"/>
      <c r="G1931" s="1834"/>
      <c r="H1931" s="1834"/>
      <c r="I1931" s="1834"/>
      <c r="J1931" s="1834"/>
      <c r="K1931" s="1762"/>
      <c r="L1931" s="1721"/>
      <c r="M1931" s="1710"/>
      <c r="N1931" s="1711"/>
    </row>
    <row r="1932" spans="1:14" s="1685" customFormat="1" ht="24" customHeight="1">
      <c r="B1932" s="1721" t="s">
        <v>1972</v>
      </c>
      <c r="D1932" s="1686"/>
      <c r="E1932" s="1824"/>
      <c r="G1932" s="1834"/>
      <c r="H1932" s="1834"/>
      <c r="I1932" s="1834"/>
      <c r="J1932" s="1834"/>
      <c r="K1932" s="1762"/>
      <c r="L1932" s="1721"/>
      <c r="M1932" s="1710"/>
      <c r="N1932" s="1711"/>
    </row>
    <row r="1933" spans="1:14" ht="24" customHeight="1">
      <c r="A1933" s="1712"/>
      <c r="B1933" s="1673" t="s">
        <v>139</v>
      </c>
      <c r="C1933" s="1713" t="s">
        <v>1104</v>
      </c>
      <c r="D1933" s="1675">
        <v>4140</v>
      </c>
      <c r="E1933" s="1676" t="s">
        <v>87</v>
      </c>
      <c r="F1933" s="1669">
        <v>38.799999999999997</v>
      </c>
      <c r="G1933" s="1669">
        <v>12</v>
      </c>
      <c r="H1933" s="1669">
        <f t="shared" si="300"/>
        <v>160632</v>
      </c>
      <c r="I1933" s="1669">
        <f t="shared" si="301"/>
        <v>49680</v>
      </c>
      <c r="J1933" s="1678">
        <f t="shared" si="303"/>
        <v>210312</v>
      </c>
      <c r="K1933" s="1708"/>
      <c r="L1933" s="1721"/>
      <c r="M1933" s="1710" t="s">
        <v>1020</v>
      </c>
      <c r="N1933" s="1711" t="s">
        <v>664</v>
      </c>
    </row>
    <row r="1934" spans="1:14" ht="24" customHeight="1">
      <c r="A1934" s="1712"/>
      <c r="B1934" s="1673" t="s">
        <v>139</v>
      </c>
      <c r="C1934" s="1713" t="s">
        <v>1105</v>
      </c>
      <c r="D1934" s="1675">
        <v>410.4</v>
      </c>
      <c r="E1934" s="1676" t="s">
        <v>87</v>
      </c>
      <c r="F1934" s="1736">
        <v>36.4</v>
      </c>
      <c r="G1934" s="1669">
        <v>12</v>
      </c>
      <c r="H1934" s="1669">
        <f t="shared" si="300"/>
        <v>14938.56</v>
      </c>
      <c r="I1934" s="1669">
        <f t="shared" si="301"/>
        <v>4924.7999999999993</v>
      </c>
      <c r="J1934" s="1678">
        <f t="shared" si="303"/>
        <v>19863.36</v>
      </c>
      <c r="K1934" s="1708"/>
      <c r="L1934" s="1721"/>
      <c r="M1934" s="1710" t="s">
        <v>1020</v>
      </c>
      <c r="N1934" s="1711" t="s">
        <v>664</v>
      </c>
    </row>
    <row r="1935" spans="1:14" ht="24" customHeight="1">
      <c r="A1935" s="1702"/>
      <c r="B1935" s="1703" t="s">
        <v>139</v>
      </c>
      <c r="C1935" s="1704" t="s">
        <v>1207</v>
      </c>
      <c r="D1935" s="1705">
        <v>155.69999999999999</v>
      </c>
      <c r="E1935" s="1706" t="s">
        <v>87</v>
      </c>
      <c r="F1935" s="1707">
        <v>30.1</v>
      </c>
      <c r="G1935" s="1707">
        <v>12</v>
      </c>
      <c r="H1935" s="1707">
        <f t="shared" si="300"/>
        <v>4686.57</v>
      </c>
      <c r="I1935" s="1707">
        <f t="shared" si="301"/>
        <v>1868.3999999999999</v>
      </c>
      <c r="J1935" s="1669">
        <f t="shared" si="303"/>
        <v>6554.9699999999993</v>
      </c>
      <c r="K1935" s="1708"/>
      <c r="L1935" s="1721"/>
      <c r="M1935" s="1710" t="s">
        <v>1020</v>
      </c>
      <c r="N1935" s="1711" t="s">
        <v>664</v>
      </c>
    </row>
    <row r="1936" spans="1:14" ht="24" customHeight="1">
      <c r="A1936" s="1712"/>
      <c r="B1936" s="1673" t="s">
        <v>139</v>
      </c>
      <c r="C1936" s="1674" t="s">
        <v>90</v>
      </c>
      <c r="D1936" s="1675">
        <v>22.8</v>
      </c>
      <c r="E1936" s="1676" t="s">
        <v>87</v>
      </c>
      <c r="F1936" s="1677">
        <v>21.2</v>
      </c>
      <c r="G1936" s="1677">
        <v>3.6</v>
      </c>
      <c r="H1936" s="1669">
        <f t="shared" si="300"/>
        <v>483.36</v>
      </c>
      <c r="I1936" s="1669">
        <f t="shared" si="301"/>
        <v>82.08</v>
      </c>
      <c r="J1936" s="1669">
        <f t="shared" si="303"/>
        <v>565.44000000000005</v>
      </c>
      <c r="K1936" s="1708"/>
      <c r="L1936" s="1721"/>
      <c r="M1936" s="1710" t="s">
        <v>1016</v>
      </c>
      <c r="N1936" s="1711" t="s">
        <v>659</v>
      </c>
    </row>
    <row r="1937" spans="1:14" s="1685" customFormat="1" ht="24" customHeight="1">
      <c r="A1937" s="1712"/>
      <c r="B1937" s="2368" t="s">
        <v>1035</v>
      </c>
      <c r="C1937" s="2370"/>
      <c r="D1937" s="1675"/>
      <c r="E1937" s="1676"/>
      <c r="F1937" s="1669"/>
      <c r="G1937" s="1669"/>
      <c r="H1937" s="1669"/>
      <c r="I1937" s="1669"/>
      <c r="J1937" s="1669"/>
      <c r="K1937" s="1708"/>
      <c r="L1937" s="1721"/>
      <c r="M1937" s="1711"/>
      <c r="N1937" s="1711"/>
    </row>
    <row r="1938" spans="1:14" s="1685" customFormat="1" ht="24" customHeight="1">
      <c r="A1938" s="1712"/>
      <c r="B1938" s="2368" t="s">
        <v>1034</v>
      </c>
      <c r="C1938" s="2370"/>
      <c r="D1938" s="1675"/>
      <c r="E1938" s="1676"/>
      <c r="F1938" s="1669"/>
      <c r="G1938" s="1669"/>
      <c r="H1938" s="1669"/>
      <c r="I1938" s="1669"/>
      <c r="J1938" s="1669"/>
      <c r="K1938" s="1708"/>
      <c r="L1938" s="1721"/>
      <c r="M1938" s="1711"/>
      <c r="N1938" s="1711"/>
    </row>
    <row r="1939" spans="1:14" ht="24" customHeight="1">
      <c r="A1939" s="1712"/>
      <c r="B1939" s="1673" t="s">
        <v>139</v>
      </c>
      <c r="C1939" s="1674" t="s">
        <v>228</v>
      </c>
      <c r="D1939" s="1675">
        <v>17</v>
      </c>
      <c r="E1939" s="1676" t="s">
        <v>85</v>
      </c>
      <c r="F1939" s="1736">
        <v>2679.9</v>
      </c>
      <c r="G1939" s="1736">
        <v>519</v>
      </c>
      <c r="H1939" s="1669">
        <f t="shared" ref="H1939:H1950" si="304">F1939*D1939</f>
        <v>45558.3</v>
      </c>
      <c r="I1939" s="1669">
        <f t="shared" ref="I1939:I1950" si="305">G1939*D1939</f>
        <v>8823</v>
      </c>
      <c r="J1939" s="1669">
        <f t="shared" ref="J1939:J1945" si="306">SUM(H1939:I1939)</f>
        <v>54381.3</v>
      </c>
      <c r="K1939" s="1708"/>
      <c r="L1939" s="1721"/>
      <c r="M1939" s="1710" t="s">
        <v>1016</v>
      </c>
      <c r="N1939" s="1711" t="s">
        <v>659</v>
      </c>
    </row>
    <row r="1940" spans="1:14" ht="24" customHeight="1">
      <c r="A1940" s="1712"/>
      <c r="B1940" s="2368" t="s">
        <v>1036</v>
      </c>
      <c r="C1940" s="2370"/>
      <c r="D1940" s="1675">
        <v>93.9</v>
      </c>
      <c r="E1940" s="1676"/>
      <c r="F1940" s="1669"/>
      <c r="G1940" s="1669"/>
      <c r="H1940" s="1669"/>
      <c r="I1940" s="1669"/>
      <c r="J1940" s="1669"/>
      <c r="K1940" s="1708"/>
      <c r="L1940" s="1721"/>
      <c r="M1940" s="1711"/>
      <c r="N1940" s="1711"/>
    </row>
    <row r="1941" spans="1:14" ht="24" customHeight="1">
      <c r="A1941" s="1712"/>
      <c r="B1941" s="1673" t="s">
        <v>139</v>
      </c>
      <c r="C1941" s="1674" t="s">
        <v>165</v>
      </c>
      <c r="D1941" s="1675">
        <f>D1940</f>
        <v>93.9</v>
      </c>
      <c r="E1941" s="1676" t="s">
        <v>86</v>
      </c>
      <c r="F1941" s="1736">
        <v>0</v>
      </c>
      <c r="G1941" s="1669">
        <v>121</v>
      </c>
      <c r="H1941" s="1669">
        <f t="shared" si="304"/>
        <v>0</v>
      </c>
      <c r="I1941" s="1669">
        <f t="shared" si="305"/>
        <v>11361.900000000001</v>
      </c>
      <c r="J1941" s="1669">
        <f t="shared" si="306"/>
        <v>11361.900000000001</v>
      </c>
      <c r="K1941" s="1708"/>
      <c r="L1941" s="1721"/>
      <c r="M1941" s="1710" t="s">
        <v>1017</v>
      </c>
      <c r="N1941" s="1711" t="s">
        <v>659</v>
      </c>
    </row>
    <row r="1942" spans="1:14" ht="24" customHeight="1">
      <c r="A1942" s="1664"/>
      <c r="B1942" s="1665" t="s">
        <v>139</v>
      </c>
      <c r="C1942" s="1666" t="s">
        <v>198</v>
      </c>
      <c r="D1942" s="1667">
        <f>D1940*0.5</f>
        <v>46.95</v>
      </c>
      <c r="E1942" s="1668" t="s">
        <v>164</v>
      </c>
      <c r="F1942" s="1745">
        <v>400</v>
      </c>
      <c r="G1942" s="1745">
        <v>0</v>
      </c>
      <c r="H1942" s="1670">
        <f t="shared" si="304"/>
        <v>18780</v>
      </c>
      <c r="I1942" s="1670">
        <f t="shared" si="305"/>
        <v>0</v>
      </c>
      <c r="J1942" s="1670">
        <f t="shared" si="306"/>
        <v>18780</v>
      </c>
      <c r="K1942" s="1746"/>
      <c r="L1942" s="1721"/>
      <c r="M1942" s="1710" t="s">
        <v>1018</v>
      </c>
      <c r="N1942" s="1711"/>
    </row>
    <row r="1943" spans="1:14" ht="24" customHeight="1">
      <c r="A1943" s="1712"/>
      <c r="B1943" s="1673" t="s">
        <v>139</v>
      </c>
      <c r="C1943" s="1674" t="s">
        <v>166</v>
      </c>
      <c r="D1943" s="1675">
        <f>D1942*0.3</f>
        <v>14.085000000000001</v>
      </c>
      <c r="E1943" s="1676" t="s">
        <v>164</v>
      </c>
      <c r="F1943" s="1736">
        <v>400</v>
      </c>
      <c r="G1943" s="1736">
        <v>0</v>
      </c>
      <c r="H1943" s="1669">
        <f t="shared" si="304"/>
        <v>5634</v>
      </c>
      <c r="I1943" s="1669">
        <f t="shared" si="305"/>
        <v>0</v>
      </c>
      <c r="J1943" s="1669">
        <f t="shared" si="306"/>
        <v>5634</v>
      </c>
      <c r="K1943" s="1708"/>
      <c r="L1943" s="1721"/>
      <c r="M1943" s="1710" t="s">
        <v>1018</v>
      </c>
      <c r="N1943" s="1685"/>
    </row>
    <row r="1944" spans="1:14" ht="24" customHeight="1">
      <c r="A1944" s="1712"/>
      <c r="B1944" s="1673" t="s">
        <v>139</v>
      </c>
      <c r="C1944" s="1674" t="s">
        <v>163</v>
      </c>
      <c r="D1944" s="1675">
        <f>D1940</f>
        <v>93.9</v>
      </c>
      <c r="E1944" s="1676" t="s">
        <v>83</v>
      </c>
      <c r="F1944" s="1736">
        <v>28</v>
      </c>
      <c r="G1944" s="1736">
        <v>0</v>
      </c>
      <c r="H1944" s="1669">
        <f t="shared" si="304"/>
        <v>2629.2000000000003</v>
      </c>
      <c r="I1944" s="1669">
        <f t="shared" si="305"/>
        <v>0</v>
      </c>
      <c r="J1944" s="1669">
        <f t="shared" si="306"/>
        <v>2629.2000000000003</v>
      </c>
      <c r="K1944" s="1708"/>
      <c r="L1944" s="1721"/>
      <c r="M1944" s="1710" t="s">
        <v>1018</v>
      </c>
      <c r="N1944" s="1685"/>
    </row>
    <row r="1945" spans="1:14" ht="24" customHeight="1">
      <c r="A1945" s="1712"/>
      <c r="B1945" s="1673" t="s">
        <v>139</v>
      </c>
      <c r="C1945" s="1674" t="s">
        <v>1781</v>
      </c>
      <c r="D1945" s="1675">
        <f>D1940*0.25</f>
        <v>23.475000000000001</v>
      </c>
      <c r="E1945" s="1676" t="s">
        <v>87</v>
      </c>
      <c r="F1945" s="1736">
        <v>23.89</v>
      </c>
      <c r="G1945" s="1736">
        <v>0</v>
      </c>
      <c r="H1945" s="1669">
        <f t="shared" si="304"/>
        <v>560.81775000000005</v>
      </c>
      <c r="I1945" s="1669">
        <f t="shared" si="305"/>
        <v>0</v>
      </c>
      <c r="J1945" s="1669">
        <f t="shared" si="306"/>
        <v>560.81775000000005</v>
      </c>
      <c r="K1945" s="1708"/>
      <c r="L1945" s="1721"/>
      <c r="M1945" s="1710" t="s">
        <v>660</v>
      </c>
      <c r="N1945" s="1685"/>
    </row>
    <row r="1946" spans="1:14" ht="24" customHeight="1">
      <c r="A1946" s="1712"/>
      <c r="B1946" s="1748" t="s">
        <v>1037</v>
      </c>
      <c r="C1946" s="1674"/>
      <c r="D1946" s="1675"/>
      <c r="E1946" s="1676"/>
      <c r="F1946" s="1736"/>
      <c r="G1946" s="1736"/>
      <c r="H1946" s="1669"/>
      <c r="I1946" s="1669"/>
      <c r="J1946" s="1669"/>
      <c r="K1946" s="1708"/>
      <c r="L1946" s="1721"/>
      <c r="M1946" s="1710"/>
      <c r="N1946" s="1685"/>
    </row>
    <row r="1947" spans="1:14" ht="24" customHeight="1">
      <c r="A1947" s="1712"/>
      <c r="B1947" s="1673" t="s">
        <v>139</v>
      </c>
      <c r="C1947" s="1674" t="s">
        <v>88</v>
      </c>
      <c r="D1947" s="1675">
        <v>345.2</v>
      </c>
      <c r="E1947" s="1676" t="s">
        <v>87</v>
      </c>
      <c r="F1947" s="1677">
        <v>21.4</v>
      </c>
      <c r="G1947" s="1677">
        <v>4.4000000000000004</v>
      </c>
      <c r="H1947" s="1669">
        <f t="shared" si="304"/>
        <v>7387.2799999999988</v>
      </c>
      <c r="I1947" s="1669">
        <f t="shared" si="305"/>
        <v>1518.88</v>
      </c>
      <c r="J1947" s="1669">
        <f>SUM(H1947:I1947)</f>
        <v>8906.16</v>
      </c>
      <c r="K1947" s="1708"/>
      <c r="L1947" s="1721"/>
      <c r="M1947" s="1710" t="s">
        <v>1016</v>
      </c>
      <c r="N1947" s="1711" t="s">
        <v>659</v>
      </c>
    </row>
    <row r="1948" spans="1:14" ht="24" customHeight="1">
      <c r="A1948" s="1712"/>
      <c r="B1948" s="1673" t="s">
        <v>139</v>
      </c>
      <c r="C1948" s="1674" t="s">
        <v>89</v>
      </c>
      <c r="D1948" s="1718">
        <v>1167.2</v>
      </c>
      <c r="E1948" s="1676" t="s">
        <v>87</v>
      </c>
      <c r="F1948" s="1677">
        <v>21.4</v>
      </c>
      <c r="G1948" s="1677">
        <v>3.6</v>
      </c>
      <c r="H1948" s="1669">
        <f t="shared" si="304"/>
        <v>24978.079999999998</v>
      </c>
      <c r="I1948" s="1669">
        <f t="shared" si="305"/>
        <v>4201.92</v>
      </c>
      <c r="J1948" s="1669">
        <f>SUM(H1948:I1948)</f>
        <v>29180</v>
      </c>
      <c r="K1948" s="1708"/>
      <c r="L1948" s="1721"/>
      <c r="M1948" s="1710" t="s">
        <v>1016</v>
      </c>
      <c r="N1948" s="1711" t="s">
        <v>659</v>
      </c>
    </row>
    <row r="1949" spans="1:14" ht="24" customHeight="1">
      <c r="A1949" s="1712"/>
      <c r="B1949" s="1673" t="s">
        <v>139</v>
      </c>
      <c r="C1949" s="1674" t="s">
        <v>91</v>
      </c>
      <c r="D1949" s="1675">
        <v>628.1</v>
      </c>
      <c r="E1949" s="1676" t="s">
        <v>87</v>
      </c>
      <c r="F1949" s="1677">
        <v>21.2</v>
      </c>
      <c r="G1949" s="1677">
        <v>3.1</v>
      </c>
      <c r="H1949" s="1669">
        <f t="shared" si="304"/>
        <v>13315.72</v>
      </c>
      <c r="I1949" s="1669">
        <f t="shared" si="305"/>
        <v>1947.1100000000001</v>
      </c>
      <c r="J1949" s="1669">
        <f>SUM(H1949:I1949)</f>
        <v>15262.83</v>
      </c>
      <c r="K1949" s="1708"/>
      <c r="L1949" s="1721"/>
      <c r="M1949" s="1710" t="s">
        <v>1016</v>
      </c>
      <c r="N1949" s="1711" t="s">
        <v>659</v>
      </c>
    </row>
    <row r="1950" spans="1:14" ht="24" customHeight="1">
      <c r="A1950" s="1712"/>
      <c r="B1950" s="1673" t="s">
        <v>139</v>
      </c>
      <c r="C1950" s="1674" t="s">
        <v>200</v>
      </c>
      <c r="D1950" s="1675">
        <f>SUM(D1947:D1949)*0.03</f>
        <v>64.215000000000003</v>
      </c>
      <c r="E1950" s="1676" t="s">
        <v>87</v>
      </c>
      <c r="F1950" s="1677">
        <v>25.83</v>
      </c>
      <c r="G1950" s="1677">
        <v>0</v>
      </c>
      <c r="H1950" s="1669">
        <f t="shared" si="304"/>
        <v>1658.67345</v>
      </c>
      <c r="I1950" s="1669">
        <f t="shared" si="305"/>
        <v>0</v>
      </c>
      <c r="J1950" s="1669">
        <f>SUM(H1950:I1950)</f>
        <v>1658.67345</v>
      </c>
      <c r="K1950" s="1708"/>
      <c r="L1950" s="1721"/>
      <c r="M1950" s="1710" t="s">
        <v>1019</v>
      </c>
      <c r="N1950" s="1711"/>
    </row>
    <row r="1951" spans="1:14" ht="24" customHeight="1">
      <c r="A1951" s="1712"/>
      <c r="B1951" s="2368" t="s">
        <v>1038</v>
      </c>
      <c r="C1951" s="2370"/>
      <c r="D1951" s="1675"/>
      <c r="E1951" s="1676"/>
      <c r="F1951" s="1669"/>
      <c r="G1951" s="1669"/>
      <c r="H1951" s="1669"/>
      <c r="I1951" s="1669"/>
      <c r="J1951" s="1669"/>
      <c r="K1951" s="1708"/>
      <c r="L1951" s="1721"/>
      <c r="M1951" s="1711"/>
      <c r="N1951" s="1711"/>
    </row>
    <row r="1952" spans="1:14" ht="24" customHeight="1">
      <c r="A1952" s="1712"/>
      <c r="B1952" s="2368" t="s">
        <v>1039</v>
      </c>
      <c r="C1952" s="2370"/>
      <c r="D1952" s="1675"/>
      <c r="E1952" s="1676"/>
      <c r="F1952" s="1669"/>
      <c r="G1952" s="1669"/>
      <c r="H1952" s="1669"/>
      <c r="I1952" s="1669"/>
      <c r="J1952" s="1669"/>
      <c r="K1952" s="1708"/>
      <c r="L1952" s="1721"/>
      <c r="M1952" s="1711"/>
      <c r="N1952" s="1711"/>
    </row>
    <row r="1953" spans="1:14" s="1685" customFormat="1" ht="24" customHeight="1">
      <c r="A1953" s="1712"/>
      <c r="B1953" s="1673" t="s">
        <v>139</v>
      </c>
      <c r="C1953" s="1674" t="s">
        <v>228</v>
      </c>
      <c r="D1953" s="1675">
        <v>14.2</v>
      </c>
      <c r="E1953" s="1676" t="s">
        <v>85</v>
      </c>
      <c r="F1953" s="1736">
        <v>2679.9</v>
      </c>
      <c r="G1953" s="1736">
        <v>519</v>
      </c>
      <c r="H1953" s="1669">
        <f t="shared" ref="H1953:H1971" si="307">F1953*D1953</f>
        <v>38054.58</v>
      </c>
      <c r="I1953" s="1669">
        <f t="shared" ref="I1953:I1971" si="308">G1953*D1953</f>
        <v>7369.7999999999993</v>
      </c>
      <c r="J1953" s="1669">
        <f t="shared" ref="J1953:J1966" si="309">SUM(H1953:I1953)</f>
        <v>45424.380000000005</v>
      </c>
      <c r="K1953" s="1708"/>
      <c r="L1953" s="1721"/>
      <c r="M1953" s="1710" t="s">
        <v>1016</v>
      </c>
      <c r="N1953" s="1711" t="s">
        <v>659</v>
      </c>
    </row>
    <row r="1954" spans="1:14" s="1685" customFormat="1" ht="24" customHeight="1">
      <c r="A1954" s="1712"/>
      <c r="B1954" s="2368" t="s">
        <v>1040</v>
      </c>
      <c r="C1954" s="2370"/>
      <c r="D1954" s="1675">
        <v>95</v>
      </c>
      <c r="E1954" s="1676"/>
      <c r="F1954" s="1669"/>
      <c r="G1954" s="1669"/>
      <c r="H1954" s="1669"/>
      <c r="I1954" s="1669"/>
      <c r="J1954" s="1669"/>
      <c r="K1954" s="1708"/>
      <c r="L1954" s="1721"/>
      <c r="M1954" s="1711"/>
      <c r="N1954" s="1711"/>
    </row>
    <row r="1955" spans="1:14" s="1685" customFormat="1" ht="24" customHeight="1">
      <c r="A1955" s="1780"/>
      <c r="B1955" s="1780"/>
      <c r="C1955" s="1827" t="s">
        <v>133</v>
      </c>
      <c r="D1955" s="2365"/>
      <c r="E1955" s="2365"/>
      <c r="F1955" s="2365"/>
      <c r="G1955" s="2365"/>
      <c r="H1955" s="2365"/>
      <c r="I1955" s="2365"/>
      <c r="J1955" s="2365"/>
      <c r="K1955" s="2365"/>
      <c r="L1955" s="1721"/>
      <c r="M1955" s="1711"/>
      <c r="N1955" s="1711"/>
    </row>
    <row r="1956" spans="1:14" s="1685" customFormat="1" ht="24" customHeight="1">
      <c r="A1956" s="1780"/>
      <c r="B1956" s="2366" t="s">
        <v>1769</v>
      </c>
      <c r="C1956" s="2366"/>
      <c r="D1956" s="1828"/>
      <c r="E1956" s="1769"/>
      <c r="F1956" s="1828"/>
      <c r="G1956" s="1828" t="s">
        <v>134</v>
      </c>
      <c r="H1956" s="1828"/>
      <c r="I1956" s="1828"/>
      <c r="J1956" s="1828"/>
      <c r="K1956" s="1828"/>
      <c r="L1956" s="1721"/>
      <c r="M1956" s="1711"/>
      <c r="N1956" s="1711"/>
    </row>
    <row r="1957" spans="1:14" s="1685" customFormat="1" ht="24" customHeight="1">
      <c r="A1957" s="1780"/>
      <c r="B1957" s="2367" t="s">
        <v>1970</v>
      </c>
      <c r="C1957" s="2367"/>
      <c r="D1957" s="1831"/>
      <c r="E1957" s="1832"/>
      <c r="F1957" s="1833"/>
      <c r="G1957" s="1833" t="s">
        <v>1971</v>
      </c>
      <c r="H1957" s="1833"/>
      <c r="I1957" s="1833"/>
      <c r="J1957" s="1833"/>
      <c r="K1957" s="1833"/>
      <c r="L1957" s="1721"/>
      <c r="M1957" s="1711"/>
      <c r="N1957" s="1711"/>
    </row>
    <row r="1958" spans="1:14" s="1685" customFormat="1" ht="24" customHeight="1">
      <c r="A1958" s="1830"/>
      <c r="B1958" s="1828" t="s">
        <v>2031</v>
      </c>
      <c r="C1958" s="1830"/>
      <c r="D1958" s="1830"/>
      <c r="E1958" s="1830"/>
      <c r="F1958" s="1830"/>
      <c r="G1958" s="1828" t="s">
        <v>2031</v>
      </c>
      <c r="H1958" s="1830"/>
      <c r="I1958" s="1830"/>
      <c r="J1958" s="1830"/>
      <c r="K1958" s="1830"/>
      <c r="L1958" s="1721"/>
      <c r="M1958" s="1711"/>
      <c r="N1958" s="1711"/>
    </row>
    <row r="1959" spans="1:14" s="1685" customFormat="1" ht="24" customHeight="1">
      <c r="B1959" s="1721" t="s">
        <v>1984</v>
      </c>
      <c r="C1959" s="1830"/>
      <c r="G1959" s="1721" t="s">
        <v>1985</v>
      </c>
      <c r="L1959" s="1721"/>
      <c r="M1959" s="1711"/>
      <c r="N1959" s="1711"/>
    </row>
    <row r="1960" spans="1:14" s="1685" customFormat="1" ht="24" customHeight="1">
      <c r="B1960" s="1828" t="s">
        <v>670</v>
      </c>
      <c r="D1960" s="1686"/>
      <c r="E1960" s="1824"/>
      <c r="G1960" s="1834"/>
      <c r="H1960" s="1834"/>
      <c r="I1960" s="1834"/>
      <c r="J1960" s="1834"/>
      <c r="K1960" s="1762"/>
      <c r="L1960" s="1721"/>
      <c r="M1960" s="1711"/>
      <c r="N1960" s="1711"/>
    </row>
    <row r="1961" spans="1:14" s="1685" customFormat="1" ht="24" customHeight="1">
      <c r="B1961" s="1721" t="s">
        <v>1972</v>
      </c>
      <c r="D1961" s="1686"/>
      <c r="E1961" s="1824"/>
      <c r="G1961" s="1834"/>
      <c r="H1961" s="1834"/>
      <c r="I1961" s="1834"/>
      <c r="J1961" s="1834"/>
      <c r="K1961" s="1762"/>
      <c r="L1961" s="1721"/>
      <c r="M1961" s="1711"/>
      <c r="N1961" s="1711"/>
    </row>
    <row r="1962" spans="1:14" ht="24" customHeight="1">
      <c r="A1962" s="1712"/>
      <c r="B1962" s="1673" t="s">
        <v>139</v>
      </c>
      <c r="C1962" s="1674" t="s">
        <v>165</v>
      </c>
      <c r="D1962" s="1675">
        <f>D1954</f>
        <v>95</v>
      </c>
      <c r="E1962" s="1676" t="s">
        <v>86</v>
      </c>
      <c r="F1962" s="1736">
        <v>0</v>
      </c>
      <c r="G1962" s="1669">
        <v>121</v>
      </c>
      <c r="H1962" s="1669">
        <f t="shared" si="307"/>
        <v>0</v>
      </c>
      <c r="I1962" s="1669">
        <f t="shared" si="308"/>
        <v>11495</v>
      </c>
      <c r="J1962" s="1669">
        <f t="shared" si="309"/>
        <v>11495</v>
      </c>
      <c r="K1962" s="1708"/>
      <c r="L1962" s="1721"/>
      <c r="M1962" s="1710" t="s">
        <v>1017</v>
      </c>
      <c r="N1962" s="1711" t="s">
        <v>659</v>
      </c>
    </row>
    <row r="1963" spans="1:14" ht="24" customHeight="1">
      <c r="A1963" s="1702"/>
      <c r="B1963" s="1703" t="s">
        <v>139</v>
      </c>
      <c r="C1963" s="1743" t="s">
        <v>198</v>
      </c>
      <c r="D1963" s="1705">
        <f>D1954*0.5</f>
        <v>47.5</v>
      </c>
      <c r="E1963" s="1706" t="s">
        <v>164</v>
      </c>
      <c r="F1963" s="1742">
        <v>400</v>
      </c>
      <c r="G1963" s="1742">
        <v>0</v>
      </c>
      <c r="H1963" s="1707">
        <f t="shared" si="307"/>
        <v>19000</v>
      </c>
      <c r="I1963" s="1707">
        <f t="shared" si="308"/>
        <v>0</v>
      </c>
      <c r="J1963" s="1707">
        <f t="shared" si="309"/>
        <v>19000</v>
      </c>
      <c r="K1963" s="1709"/>
      <c r="L1963" s="1721"/>
      <c r="M1963" s="1710" t="s">
        <v>1018</v>
      </c>
      <c r="N1963" s="1711"/>
    </row>
    <row r="1964" spans="1:14" ht="24" customHeight="1">
      <c r="A1964" s="1712"/>
      <c r="B1964" s="1673" t="s">
        <v>139</v>
      </c>
      <c r="C1964" s="1674" t="s">
        <v>166</v>
      </c>
      <c r="D1964" s="1675">
        <f>D1963*0.3</f>
        <v>14.25</v>
      </c>
      <c r="E1964" s="1676" t="s">
        <v>164</v>
      </c>
      <c r="F1964" s="1736">
        <v>400</v>
      </c>
      <c r="G1964" s="1736">
        <v>0</v>
      </c>
      <c r="H1964" s="1669">
        <f t="shared" si="307"/>
        <v>5700</v>
      </c>
      <c r="I1964" s="1669">
        <f t="shared" si="308"/>
        <v>0</v>
      </c>
      <c r="J1964" s="1669">
        <f t="shared" si="309"/>
        <v>5700</v>
      </c>
      <c r="K1964" s="1708"/>
      <c r="L1964" s="1721"/>
      <c r="M1964" s="1710" t="s">
        <v>1018</v>
      </c>
      <c r="N1964" s="1685"/>
    </row>
    <row r="1965" spans="1:14" ht="24" customHeight="1">
      <c r="A1965" s="1712"/>
      <c r="B1965" s="1673" t="s">
        <v>139</v>
      </c>
      <c r="C1965" s="1674" t="s">
        <v>163</v>
      </c>
      <c r="D1965" s="1675">
        <f>D1954</f>
        <v>95</v>
      </c>
      <c r="E1965" s="1676" t="s">
        <v>83</v>
      </c>
      <c r="F1965" s="1736">
        <v>28</v>
      </c>
      <c r="G1965" s="1736">
        <v>0</v>
      </c>
      <c r="H1965" s="1669">
        <f t="shared" si="307"/>
        <v>2660</v>
      </c>
      <c r="I1965" s="1669">
        <f t="shared" si="308"/>
        <v>0</v>
      </c>
      <c r="J1965" s="1669">
        <f t="shared" si="309"/>
        <v>2660</v>
      </c>
      <c r="K1965" s="1708"/>
      <c r="L1965" s="1721"/>
      <c r="M1965" s="1710" t="s">
        <v>1018</v>
      </c>
      <c r="N1965" s="1685"/>
    </row>
    <row r="1966" spans="1:14" ht="24" customHeight="1">
      <c r="A1966" s="1712"/>
      <c r="B1966" s="1673" t="s">
        <v>139</v>
      </c>
      <c r="C1966" s="1674" t="s">
        <v>1781</v>
      </c>
      <c r="D1966" s="1675">
        <f>D1954*0.25</f>
        <v>23.75</v>
      </c>
      <c r="E1966" s="1676" t="s">
        <v>87</v>
      </c>
      <c r="F1966" s="1736">
        <v>23.89</v>
      </c>
      <c r="G1966" s="1736">
        <v>0</v>
      </c>
      <c r="H1966" s="1669">
        <f t="shared" si="307"/>
        <v>567.38750000000005</v>
      </c>
      <c r="I1966" s="1669">
        <f t="shared" si="308"/>
        <v>0</v>
      </c>
      <c r="J1966" s="1669">
        <f t="shared" si="309"/>
        <v>567.38750000000005</v>
      </c>
      <c r="K1966" s="1708"/>
      <c r="L1966" s="1721"/>
      <c r="M1966" s="1710" t="s">
        <v>660</v>
      </c>
      <c r="N1966" s="1685"/>
    </row>
    <row r="1967" spans="1:14" ht="24" customHeight="1">
      <c r="A1967" s="1712"/>
      <c r="B1967" s="2368" t="s">
        <v>1041</v>
      </c>
      <c r="C1967" s="2370"/>
      <c r="D1967" s="1675"/>
      <c r="E1967" s="1676"/>
      <c r="F1967" s="1669"/>
      <c r="G1967" s="1669"/>
      <c r="H1967" s="1669"/>
      <c r="I1967" s="1669"/>
      <c r="J1967" s="1669"/>
      <c r="K1967" s="1708"/>
      <c r="L1967" s="1721"/>
      <c r="M1967" s="1711"/>
      <c r="N1967" s="1711"/>
    </row>
    <row r="1968" spans="1:14" ht="24" customHeight="1">
      <c r="A1968" s="1712"/>
      <c r="B1968" s="1673" t="s">
        <v>139</v>
      </c>
      <c r="C1968" s="1674" t="s">
        <v>88</v>
      </c>
      <c r="D1968" s="1675">
        <v>288.60000000000002</v>
      </c>
      <c r="E1968" s="1676" t="s">
        <v>87</v>
      </c>
      <c r="F1968" s="1677">
        <v>21.4</v>
      </c>
      <c r="G1968" s="1677">
        <v>4.4000000000000004</v>
      </c>
      <c r="H1968" s="1669">
        <f t="shared" si="307"/>
        <v>6176.04</v>
      </c>
      <c r="I1968" s="1669">
        <f t="shared" si="308"/>
        <v>1269.8400000000001</v>
      </c>
      <c r="J1968" s="1669">
        <f>SUM(H1968:I1968)</f>
        <v>7445.88</v>
      </c>
      <c r="K1968" s="1708"/>
      <c r="L1968" s="1721"/>
      <c r="M1968" s="1710" t="s">
        <v>1016</v>
      </c>
      <c r="N1968" s="1711" t="s">
        <v>659</v>
      </c>
    </row>
    <row r="1969" spans="1:14" ht="24" customHeight="1">
      <c r="A1969" s="1712"/>
      <c r="B1969" s="1673" t="s">
        <v>139</v>
      </c>
      <c r="C1969" s="1674" t="s">
        <v>89</v>
      </c>
      <c r="D1969" s="1675">
        <v>1118.7</v>
      </c>
      <c r="E1969" s="1676" t="s">
        <v>87</v>
      </c>
      <c r="F1969" s="1677">
        <v>21.4</v>
      </c>
      <c r="G1969" s="1677">
        <v>3.6</v>
      </c>
      <c r="H1969" s="1669">
        <f t="shared" si="307"/>
        <v>23940.18</v>
      </c>
      <c r="I1969" s="1669">
        <f t="shared" si="308"/>
        <v>4027.32</v>
      </c>
      <c r="J1969" s="1669">
        <f>SUM(H1969:I1969)</f>
        <v>27967.5</v>
      </c>
      <c r="K1969" s="1708"/>
      <c r="L1969" s="1721"/>
      <c r="M1969" s="1710" t="s">
        <v>1016</v>
      </c>
      <c r="N1969" s="1711" t="s">
        <v>659</v>
      </c>
    </row>
    <row r="1970" spans="1:14" ht="24" customHeight="1">
      <c r="A1970" s="1664"/>
      <c r="B1970" s="1665" t="s">
        <v>139</v>
      </c>
      <c r="C1970" s="1666" t="s">
        <v>1014</v>
      </c>
      <c r="D1970" s="1675">
        <v>841.5</v>
      </c>
      <c r="E1970" s="1668" t="s">
        <v>87</v>
      </c>
      <c r="F1970" s="1744">
        <v>21.2</v>
      </c>
      <c r="G1970" s="1744">
        <v>3.1</v>
      </c>
      <c r="H1970" s="1670">
        <f t="shared" si="307"/>
        <v>17839.8</v>
      </c>
      <c r="I1970" s="1670">
        <f t="shared" si="308"/>
        <v>2608.65</v>
      </c>
      <c r="J1970" s="1670">
        <f>SUM(H1970:I1970)</f>
        <v>20448.45</v>
      </c>
      <c r="K1970" s="1746"/>
      <c r="L1970" s="1721"/>
      <c r="M1970" s="1710" t="s">
        <v>1016</v>
      </c>
      <c r="N1970" s="1711" t="s">
        <v>659</v>
      </c>
    </row>
    <row r="1971" spans="1:14" ht="24" customHeight="1">
      <c r="A1971" s="1712"/>
      <c r="B1971" s="1673" t="s">
        <v>139</v>
      </c>
      <c r="C1971" s="1674" t="s">
        <v>200</v>
      </c>
      <c r="D1971" s="1675">
        <f>SUM(D1968:D1970)*0.03</f>
        <v>67.463999999999999</v>
      </c>
      <c r="E1971" s="1676" t="s">
        <v>87</v>
      </c>
      <c r="F1971" s="1677">
        <v>25.83</v>
      </c>
      <c r="G1971" s="1677">
        <v>0</v>
      </c>
      <c r="H1971" s="1669">
        <f t="shared" si="307"/>
        <v>1742.59512</v>
      </c>
      <c r="I1971" s="1669">
        <f t="shared" si="308"/>
        <v>0</v>
      </c>
      <c r="J1971" s="1669">
        <f>SUM(H1971:I1971)</f>
        <v>1742.59512</v>
      </c>
      <c r="K1971" s="1708"/>
      <c r="L1971" s="1721"/>
      <c r="M1971" s="1710" t="s">
        <v>1019</v>
      </c>
      <c r="N1971" s="1711"/>
    </row>
    <row r="1972" spans="1:14" ht="24" customHeight="1">
      <c r="A1972" s="1715"/>
      <c r="B1972" s="1716"/>
      <c r="C1972" s="1717"/>
      <c r="D1972" s="1718"/>
      <c r="E1972" s="1719"/>
      <c r="F1972" s="1751"/>
      <c r="G1972" s="1751"/>
      <c r="H1972" s="1720"/>
      <c r="I1972" s="1720"/>
      <c r="J1972" s="1720"/>
      <c r="K1972" s="1752"/>
      <c r="L1972" s="1721"/>
      <c r="M1972" s="1710"/>
      <c r="N1972" s="1711"/>
    </row>
    <row r="1973" spans="1:14" ht="24" customHeight="1" thickBot="1">
      <c r="A1973" s="1722"/>
      <c r="B1973" s="1753"/>
      <c r="C1973" s="1724" t="str">
        <f>"รวมราคา "&amp;B1789</f>
        <v>รวมราคา งานโครงสร้างชั้น 9</v>
      </c>
      <c r="D1973" s="1725"/>
      <c r="E1973" s="1726"/>
      <c r="F1973" s="1727"/>
      <c r="G1973" s="1727"/>
      <c r="H1973" s="1727">
        <f>SUM(H1790:H1971)</f>
        <v>3744676.7936800015</v>
      </c>
      <c r="I1973" s="1727">
        <f>SUM(I1790:I1971)</f>
        <v>764832.33999999973</v>
      </c>
      <c r="J1973" s="1727">
        <f>SUM(J1790:J1971)</f>
        <v>4509509.133679999</v>
      </c>
      <c r="K1973" s="1728"/>
      <c r="L1973" s="1729"/>
      <c r="M1973" s="1701"/>
      <c r="N1973" s="1701"/>
    </row>
    <row r="1974" spans="1:14" ht="24" customHeight="1" thickTop="1">
      <c r="A1974" s="1791">
        <v>1.1200000000000001</v>
      </c>
      <c r="B1974" s="2374" t="s">
        <v>258</v>
      </c>
      <c r="C1974" s="2375"/>
      <c r="D1974" s="1731"/>
      <c r="E1974" s="1732"/>
      <c r="F1974" s="1733"/>
      <c r="G1974" s="1733"/>
      <c r="H1974" s="1733"/>
      <c r="I1974" s="1733"/>
      <c r="J1974" s="1733"/>
      <c r="K1974" s="1734"/>
      <c r="L1974" s="1729"/>
      <c r="M1974" s="1701"/>
      <c r="N1974" s="1701"/>
    </row>
    <row r="1975" spans="1:14" s="1685" customFormat="1" ht="24" customHeight="1">
      <c r="A1975" s="1702"/>
      <c r="B1975" s="2369" t="s">
        <v>245</v>
      </c>
      <c r="C1975" s="2373"/>
      <c r="D1975" s="1705"/>
      <c r="E1975" s="1706"/>
      <c r="F1975" s="1707"/>
      <c r="G1975" s="1707"/>
      <c r="H1975" s="1707"/>
      <c r="I1975" s="1707"/>
      <c r="J1975" s="1707"/>
      <c r="K1975" s="1709"/>
      <c r="L1975" s="1721"/>
      <c r="M1975" s="1711"/>
      <c r="N1975" s="1711"/>
    </row>
    <row r="1976" spans="1:14" ht="24" customHeight="1">
      <c r="A1976" s="1712"/>
      <c r="B1976" s="1673" t="s">
        <v>139</v>
      </c>
      <c r="C1976" s="1674" t="s">
        <v>97</v>
      </c>
      <c r="D1976" s="1675">
        <v>582.70000000000005</v>
      </c>
      <c r="E1976" s="1676" t="s">
        <v>86</v>
      </c>
      <c r="F1976" s="1669">
        <v>430</v>
      </c>
      <c r="G1976" s="1677">
        <v>0</v>
      </c>
      <c r="H1976" s="1669">
        <f t="shared" ref="H1976:H1998" si="310">F1976*D1976</f>
        <v>250561.00000000003</v>
      </c>
      <c r="I1976" s="1669">
        <f t="shared" ref="I1976:I1998" si="311">G1976*D1976</f>
        <v>0</v>
      </c>
      <c r="J1976" s="1669">
        <f t="shared" ref="J1976:J1984" si="312">SUM(H1976:I1976)</f>
        <v>250561.00000000003</v>
      </c>
      <c r="K1976" s="1679"/>
      <c r="L1976" s="1708" t="s">
        <v>1893</v>
      </c>
      <c r="M1976" s="1710" t="s">
        <v>1871</v>
      </c>
      <c r="N1976" s="1711" t="s">
        <v>663</v>
      </c>
    </row>
    <row r="1977" spans="1:14" ht="24" customHeight="1">
      <c r="A1977" s="1712"/>
      <c r="B1977" s="1748" t="s">
        <v>423</v>
      </c>
      <c r="C1977" s="1674"/>
      <c r="D1977" s="1675"/>
      <c r="E1977" s="1676"/>
      <c r="F1977" s="1677"/>
      <c r="G1977" s="1677"/>
      <c r="H1977" s="1669">
        <f t="shared" si="310"/>
        <v>0</v>
      </c>
      <c r="I1977" s="1669">
        <f t="shared" si="311"/>
        <v>0</v>
      </c>
      <c r="J1977" s="1669">
        <f t="shared" si="312"/>
        <v>0</v>
      </c>
      <c r="K1977" s="1708"/>
      <c r="L1977" s="1721"/>
      <c r="M1977" s="1710"/>
      <c r="N1977" s="1711"/>
    </row>
    <row r="1978" spans="1:14" ht="24" customHeight="1">
      <c r="A1978" s="1712"/>
      <c r="B1978" s="1673" t="s">
        <v>139</v>
      </c>
      <c r="C1978" s="1674" t="s">
        <v>228</v>
      </c>
      <c r="D1978" s="1675">
        <v>172.4</v>
      </c>
      <c r="E1978" s="1676" t="s">
        <v>85</v>
      </c>
      <c r="F1978" s="1736">
        <v>2679.9</v>
      </c>
      <c r="G1978" s="1736">
        <v>519</v>
      </c>
      <c r="H1978" s="1669">
        <f t="shared" si="310"/>
        <v>462014.76</v>
      </c>
      <c r="I1978" s="1669">
        <f t="shared" si="311"/>
        <v>89475.6</v>
      </c>
      <c r="J1978" s="1669">
        <f t="shared" si="312"/>
        <v>551490.36</v>
      </c>
      <c r="K1978" s="1708"/>
      <c r="L1978" s="1721"/>
      <c r="M1978" s="1710" t="s">
        <v>1016</v>
      </c>
      <c r="N1978" s="1711" t="s">
        <v>659</v>
      </c>
    </row>
    <row r="1979" spans="1:14" ht="24" customHeight="1">
      <c r="A1979" s="1712"/>
      <c r="B1979" s="2368" t="s">
        <v>225</v>
      </c>
      <c r="C1979" s="2370"/>
      <c r="D1979" s="1675">
        <v>643.1</v>
      </c>
      <c r="E1979" s="1676"/>
      <c r="F1979" s="1669"/>
      <c r="G1979" s="1669"/>
      <c r="H1979" s="1669"/>
      <c r="I1979" s="1669"/>
      <c r="J1979" s="1669"/>
      <c r="K1979" s="1708"/>
      <c r="L1979" s="1721"/>
      <c r="M1979" s="1711"/>
      <c r="N1979" s="1711"/>
    </row>
    <row r="1980" spans="1:14" ht="24" customHeight="1">
      <c r="A1980" s="1712"/>
      <c r="B1980" s="1673" t="s">
        <v>139</v>
      </c>
      <c r="C1980" s="1674" t="s">
        <v>165</v>
      </c>
      <c r="D1980" s="1675">
        <f>D1979</f>
        <v>643.1</v>
      </c>
      <c r="E1980" s="1676" t="s">
        <v>86</v>
      </c>
      <c r="F1980" s="1669"/>
      <c r="G1980" s="1669">
        <v>121</v>
      </c>
      <c r="H1980" s="1669">
        <f t="shared" si="310"/>
        <v>0</v>
      </c>
      <c r="I1980" s="1669">
        <f t="shared" si="311"/>
        <v>77815.100000000006</v>
      </c>
      <c r="J1980" s="1669">
        <f t="shared" si="312"/>
        <v>77815.100000000006</v>
      </c>
      <c r="K1980" s="1708"/>
      <c r="L1980" s="1721"/>
      <c r="M1980" s="1710" t="s">
        <v>1017</v>
      </c>
      <c r="N1980" s="1711" t="s">
        <v>659</v>
      </c>
    </row>
    <row r="1981" spans="1:14" ht="24" customHeight="1">
      <c r="A1981" s="1712"/>
      <c r="B1981" s="1673" t="s">
        <v>139</v>
      </c>
      <c r="C1981" s="1674" t="s">
        <v>198</v>
      </c>
      <c r="D1981" s="1675">
        <f>D1979*0.5</f>
        <v>321.55</v>
      </c>
      <c r="E1981" s="1676" t="s">
        <v>164</v>
      </c>
      <c r="F1981" s="1669">
        <v>400</v>
      </c>
      <c r="G1981" s="1669"/>
      <c r="H1981" s="1669">
        <f t="shared" si="310"/>
        <v>128620</v>
      </c>
      <c r="I1981" s="1669">
        <f t="shared" si="311"/>
        <v>0</v>
      </c>
      <c r="J1981" s="1669">
        <f t="shared" si="312"/>
        <v>128620</v>
      </c>
      <c r="K1981" s="1708"/>
      <c r="L1981" s="1721"/>
      <c r="M1981" s="1710" t="s">
        <v>1018</v>
      </c>
      <c r="N1981" s="1711"/>
    </row>
    <row r="1982" spans="1:14" ht="24" customHeight="1">
      <c r="A1982" s="1712"/>
      <c r="B1982" s="1673" t="s">
        <v>139</v>
      </c>
      <c r="C1982" s="1674" t="s">
        <v>166</v>
      </c>
      <c r="D1982" s="1675">
        <f>D1981*0.3</f>
        <v>96.465000000000003</v>
      </c>
      <c r="E1982" s="1676" t="s">
        <v>164</v>
      </c>
      <c r="F1982" s="1669">
        <v>400</v>
      </c>
      <c r="G1982" s="1669">
        <v>0</v>
      </c>
      <c r="H1982" s="1669">
        <f t="shared" si="310"/>
        <v>38586</v>
      </c>
      <c r="I1982" s="1669">
        <f t="shared" si="311"/>
        <v>0</v>
      </c>
      <c r="J1982" s="1669">
        <f t="shared" si="312"/>
        <v>38586</v>
      </c>
      <c r="K1982" s="1708"/>
      <c r="L1982" s="1721"/>
      <c r="M1982" s="1710" t="s">
        <v>1018</v>
      </c>
      <c r="N1982" s="1711"/>
    </row>
    <row r="1983" spans="1:14" ht="24" customHeight="1">
      <c r="A1983" s="1712"/>
      <c r="B1983" s="1673" t="s">
        <v>139</v>
      </c>
      <c r="C1983" s="1674" t="s">
        <v>163</v>
      </c>
      <c r="D1983" s="1675">
        <f>D1979</f>
        <v>643.1</v>
      </c>
      <c r="E1983" s="1676" t="s">
        <v>83</v>
      </c>
      <c r="F1983" s="1669">
        <v>28</v>
      </c>
      <c r="G1983" s="1669">
        <v>0</v>
      </c>
      <c r="H1983" s="1669">
        <f t="shared" si="310"/>
        <v>18006.8</v>
      </c>
      <c r="I1983" s="1669">
        <f t="shared" si="311"/>
        <v>0</v>
      </c>
      <c r="J1983" s="1669">
        <f t="shared" si="312"/>
        <v>18006.8</v>
      </c>
      <c r="K1983" s="1708"/>
      <c r="L1983" s="1721"/>
      <c r="M1983" s="1710" t="s">
        <v>1018</v>
      </c>
      <c r="N1983" s="1711"/>
    </row>
    <row r="1984" spans="1:14" ht="24" customHeight="1">
      <c r="A1984" s="1712"/>
      <c r="B1984" s="1673" t="s">
        <v>139</v>
      </c>
      <c r="C1984" s="1674" t="s">
        <v>1781</v>
      </c>
      <c r="D1984" s="1675">
        <f>D1979*0.25</f>
        <v>160.77500000000001</v>
      </c>
      <c r="E1984" s="1676" t="s">
        <v>87</v>
      </c>
      <c r="F1984" s="1736">
        <v>23.89</v>
      </c>
      <c r="G1984" s="1736">
        <v>0</v>
      </c>
      <c r="H1984" s="1669">
        <f t="shared" si="310"/>
        <v>3840.9147500000004</v>
      </c>
      <c r="I1984" s="1669">
        <f t="shared" si="311"/>
        <v>0</v>
      </c>
      <c r="J1984" s="1669">
        <f t="shared" si="312"/>
        <v>3840.9147500000004</v>
      </c>
      <c r="K1984" s="1708"/>
      <c r="L1984" s="1721"/>
      <c r="M1984" s="1710" t="s">
        <v>660</v>
      </c>
      <c r="N1984" s="1711"/>
    </row>
    <row r="1985" spans="1:14" ht="24" customHeight="1">
      <c r="A1985" s="1780"/>
      <c r="B1985" s="1780"/>
      <c r="C1985" s="1827" t="s">
        <v>133</v>
      </c>
      <c r="D1985" s="2365"/>
      <c r="E1985" s="2365"/>
      <c r="F1985" s="2365"/>
      <c r="G1985" s="2365"/>
      <c r="H1985" s="2365"/>
      <c r="I1985" s="2365"/>
      <c r="J1985" s="2365"/>
      <c r="K1985" s="2365"/>
      <c r="L1985" s="1721"/>
      <c r="M1985" s="1710"/>
      <c r="N1985" s="1711"/>
    </row>
    <row r="1986" spans="1:14" ht="24" customHeight="1">
      <c r="A1986" s="1780"/>
      <c r="B1986" s="2366" t="s">
        <v>1769</v>
      </c>
      <c r="C1986" s="2366"/>
      <c r="D1986" s="1828"/>
      <c r="E1986" s="1769"/>
      <c r="F1986" s="1828"/>
      <c r="G1986" s="1828" t="s">
        <v>134</v>
      </c>
      <c r="H1986" s="1828"/>
      <c r="I1986" s="1828"/>
      <c r="J1986" s="1828"/>
      <c r="K1986" s="1828"/>
      <c r="L1986" s="1721"/>
      <c r="M1986" s="1710"/>
      <c r="N1986" s="1711"/>
    </row>
    <row r="1987" spans="1:14" ht="24" customHeight="1">
      <c r="A1987" s="1780"/>
      <c r="B1987" s="2367" t="s">
        <v>1970</v>
      </c>
      <c r="C1987" s="2367"/>
      <c r="D1987" s="1831"/>
      <c r="E1987" s="1832"/>
      <c r="F1987" s="1833"/>
      <c r="G1987" s="1833" t="s">
        <v>1971</v>
      </c>
      <c r="H1987" s="1833"/>
      <c r="I1987" s="1833"/>
      <c r="J1987" s="1833"/>
      <c r="K1987" s="1833"/>
      <c r="L1987" s="1721"/>
      <c r="M1987" s="1710"/>
      <c r="N1987" s="1711"/>
    </row>
    <row r="1988" spans="1:14" ht="24" customHeight="1">
      <c r="A1988" s="1830"/>
      <c r="B1988" s="1828" t="s">
        <v>2031</v>
      </c>
      <c r="C1988" s="1830"/>
      <c r="D1988" s="1830"/>
      <c r="E1988" s="1830"/>
      <c r="F1988" s="1830"/>
      <c r="G1988" s="1828" t="s">
        <v>2031</v>
      </c>
      <c r="H1988" s="1830"/>
      <c r="I1988" s="1830"/>
      <c r="J1988" s="1830"/>
      <c r="K1988" s="1830"/>
      <c r="L1988" s="1721"/>
      <c r="M1988" s="1710"/>
      <c r="N1988" s="1711"/>
    </row>
    <row r="1989" spans="1:14" ht="24" customHeight="1">
      <c r="B1989" s="1721" t="s">
        <v>1984</v>
      </c>
      <c r="C1989" s="1830"/>
      <c r="D1989" s="1685"/>
      <c r="E1989" s="1685"/>
      <c r="G1989" s="1721" t="s">
        <v>1985</v>
      </c>
      <c r="H1989" s="1685"/>
      <c r="I1989" s="1685"/>
      <c r="J1989" s="1685"/>
      <c r="K1989" s="1685"/>
      <c r="L1989" s="1721"/>
      <c r="M1989" s="1710"/>
      <c r="N1989" s="1711"/>
    </row>
    <row r="1990" spans="1:14" ht="24" customHeight="1">
      <c r="B1990" s="1828" t="s">
        <v>670</v>
      </c>
      <c r="L1990" s="1721"/>
      <c r="M1990" s="1710"/>
      <c r="N1990" s="1711"/>
    </row>
    <row r="1991" spans="1:14" ht="24" customHeight="1">
      <c r="B1991" s="1721" t="s">
        <v>1972</v>
      </c>
      <c r="L1991" s="1721"/>
      <c r="M1991" s="1710"/>
      <c r="N1991" s="1711"/>
    </row>
    <row r="1992" spans="1:14" ht="24" customHeight="1">
      <c r="A1992" s="1712"/>
      <c r="B1992" s="2368" t="s">
        <v>246</v>
      </c>
      <c r="C1992" s="2370"/>
      <c r="D1992" s="1675"/>
      <c r="E1992" s="1676"/>
      <c r="F1992" s="1669"/>
      <c r="G1992" s="1669"/>
      <c r="H1992" s="1669"/>
      <c r="I1992" s="1669"/>
      <c r="J1992" s="1669"/>
      <c r="K1992" s="1708"/>
      <c r="L1992" s="1721"/>
      <c r="M1992" s="1711"/>
      <c r="N1992" s="1711"/>
    </row>
    <row r="1993" spans="1:14" ht="24" customHeight="1">
      <c r="A1993" s="1712"/>
      <c r="B1993" s="1673" t="s">
        <v>139</v>
      </c>
      <c r="C1993" s="1674" t="s">
        <v>88</v>
      </c>
      <c r="D1993" s="1675">
        <v>1573.1</v>
      </c>
      <c r="E1993" s="1676" t="s">
        <v>87</v>
      </c>
      <c r="F1993" s="1677">
        <v>21.4</v>
      </c>
      <c r="G1993" s="1677">
        <v>4.4000000000000004</v>
      </c>
      <c r="H1993" s="1669">
        <f t="shared" si="310"/>
        <v>33664.339999999997</v>
      </c>
      <c r="I1993" s="1669">
        <f t="shared" si="311"/>
        <v>6921.64</v>
      </c>
      <c r="J1993" s="1669">
        <f t="shared" ref="J1993:J1998" si="313">SUM(H1993:I1993)</f>
        <v>40585.979999999996</v>
      </c>
      <c r="K1993" s="1708"/>
      <c r="L1993" s="1721"/>
      <c r="M1993" s="1710" t="s">
        <v>1016</v>
      </c>
      <c r="N1993" s="1711" t="s">
        <v>659</v>
      </c>
    </row>
    <row r="1994" spans="1:14" ht="24" customHeight="1">
      <c r="A1994" s="1712"/>
      <c r="B1994" s="1673" t="s">
        <v>139</v>
      </c>
      <c r="C1994" s="1674" t="s">
        <v>89</v>
      </c>
      <c r="D1994" s="1675">
        <v>20144.2</v>
      </c>
      <c r="E1994" s="1676" t="s">
        <v>87</v>
      </c>
      <c r="F1994" s="1677">
        <v>21.4</v>
      </c>
      <c r="G1994" s="1677">
        <v>3.6</v>
      </c>
      <c r="H1994" s="1669">
        <f t="shared" si="310"/>
        <v>431085.88</v>
      </c>
      <c r="I1994" s="1669">
        <f t="shared" si="311"/>
        <v>72519.12000000001</v>
      </c>
      <c r="J1994" s="1669">
        <f t="shared" si="313"/>
        <v>503605</v>
      </c>
      <c r="K1994" s="1708"/>
      <c r="L1994" s="1721"/>
      <c r="M1994" s="1710" t="s">
        <v>1016</v>
      </c>
      <c r="N1994" s="1711" t="s">
        <v>659</v>
      </c>
    </row>
    <row r="1995" spans="1:14" ht="24" customHeight="1">
      <c r="A1995" s="1712"/>
      <c r="B1995" s="1673" t="s">
        <v>139</v>
      </c>
      <c r="C1995" s="1674" t="s">
        <v>90</v>
      </c>
      <c r="D1995" s="1675">
        <v>4451.7</v>
      </c>
      <c r="E1995" s="1676" t="s">
        <v>87</v>
      </c>
      <c r="F1995" s="1677">
        <v>21.2</v>
      </c>
      <c r="G1995" s="1677">
        <v>3.6</v>
      </c>
      <c r="H1995" s="1669">
        <f t="shared" si="310"/>
        <v>94376.04</v>
      </c>
      <c r="I1995" s="1669">
        <f t="shared" si="311"/>
        <v>16026.119999999999</v>
      </c>
      <c r="J1995" s="1669">
        <f t="shared" si="313"/>
        <v>110402.15999999999</v>
      </c>
      <c r="K1995" s="1708"/>
      <c r="L1995" s="1721"/>
      <c r="M1995" s="1710" t="s">
        <v>1016</v>
      </c>
      <c r="N1995" s="1711" t="s">
        <v>659</v>
      </c>
    </row>
    <row r="1996" spans="1:14" ht="24" customHeight="1">
      <c r="A1996" s="1712"/>
      <c r="B1996" s="1673" t="s">
        <v>139</v>
      </c>
      <c r="C1996" s="1674" t="s">
        <v>91</v>
      </c>
      <c r="D1996" s="1675">
        <v>1767.6</v>
      </c>
      <c r="E1996" s="1676" t="s">
        <v>87</v>
      </c>
      <c r="F1996" s="1677">
        <v>21.2</v>
      </c>
      <c r="G1996" s="1677">
        <v>3.1</v>
      </c>
      <c r="H1996" s="1669">
        <f t="shared" si="310"/>
        <v>37473.119999999995</v>
      </c>
      <c r="I1996" s="1669">
        <f t="shared" si="311"/>
        <v>5479.5599999999995</v>
      </c>
      <c r="J1996" s="1669">
        <f t="shared" si="313"/>
        <v>42952.679999999993</v>
      </c>
      <c r="K1996" s="1708"/>
      <c r="L1996" s="1721"/>
      <c r="M1996" s="1710" t="s">
        <v>1016</v>
      </c>
      <c r="N1996" s="1711" t="s">
        <v>659</v>
      </c>
    </row>
    <row r="1997" spans="1:14" ht="24" customHeight="1">
      <c r="A1997" s="1664"/>
      <c r="B1997" s="1665" t="s">
        <v>139</v>
      </c>
      <c r="C1997" s="1666" t="s">
        <v>1014</v>
      </c>
      <c r="D1997" s="1667">
        <v>4056.4</v>
      </c>
      <c r="E1997" s="1668" t="s">
        <v>87</v>
      </c>
      <c r="F1997" s="1744">
        <v>21.2</v>
      </c>
      <c r="G1997" s="1744">
        <v>3.1</v>
      </c>
      <c r="H1997" s="1669">
        <f t="shared" si="310"/>
        <v>85995.68</v>
      </c>
      <c r="I1997" s="1669">
        <f t="shared" si="311"/>
        <v>12574.84</v>
      </c>
      <c r="J1997" s="1669">
        <f t="shared" si="313"/>
        <v>98570.51999999999</v>
      </c>
      <c r="K1997" s="1708"/>
      <c r="L1997" s="1721"/>
      <c r="M1997" s="1710" t="s">
        <v>1016</v>
      </c>
      <c r="N1997" s="1711" t="s">
        <v>659</v>
      </c>
    </row>
    <row r="1998" spans="1:14" s="1685" customFormat="1" ht="24" customHeight="1">
      <c r="A1998" s="1712"/>
      <c r="B1998" s="1673" t="s">
        <v>139</v>
      </c>
      <c r="C1998" s="1674" t="s">
        <v>200</v>
      </c>
      <c r="D1998" s="1675">
        <f>SUM(D1993:D1997)*0.03</f>
        <v>959.79</v>
      </c>
      <c r="E1998" s="1676" t="s">
        <v>87</v>
      </c>
      <c r="F1998" s="1677">
        <v>25.83</v>
      </c>
      <c r="G1998" s="1677">
        <v>0</v>
      </c>
      <c r="H1998" s="1678">
        <f t="shared" si="310"/>
        <v>24791.375699999997</v>
      </c>
      <c r="I1998" s="1669">
        <f t="shared" si="311"/>
        <v>0</v>
      </c>
      <c r="J1998" s="1669">
        <f t="shared" si="313"/>
        <v>24791.375699999997</v>
      </c>
      <c r="K1998" s="1708"/>
      <c r="L1998" s="1721"/>
      <c r="M1998" s="1710" t="s">
        <v>1019</v>
      </c>
      <c r="N1998" s="1711"/>
    </row>
    <row r="1999" spans="1:14" s="1685" customFormat="1" ht="24" customHeight="1">
      <c r="A1999" s="1712"/>
      <c r="B1999" s="2368" t="s">
        <v>247</v>
      </c>
      <c r="C1999" s="2370"/>
      <c r="D1999" s="1675"/>
      <c r="E1999" s="1676"/>
      <c r="F1999" s="1669"/>
      <c r="G1999" s="1669"/>
      <c r="H1999" s="1678"/>
      <c r="I1999" s="1669"/>
      <c r="J1999" s="1669"/>
      <c r="K1999" s="1708"/>
      <c r="L1999" s="1721"/>
      <c r="M1999" s="1711"/>
      <c r="N1999" s="1711"/>
    </row>
    <row r="2000" spans="1:14" ht="24" customHeight="1">
      <c r="A2000" s="1664"/>
      <c r="B2000" s="2371" t="s">
        <v>415</v>
      </c>
      <c r="C2000" s="2372"/>
      <c r="D2000" s="1667"/>
      <c r="E2000" s="1668"/>
      <c r="F2000" s="1670"/>
      <c r="G2000" s="1670"/>
      <c r="H2000" s="1803"/>
      <c r="I2000" s="1670"/>
      <c r="J2000" s="1670"/>
      <c r="K2000" s="1746"/>
      <c r="L2000" s="1721"/>
      <c r="M2000" s="1711"/>
      <c r="N2000" s="1711"/>
    </row>
    <row r="2001" spans="1:14" ht="24" customHeight="1">
      <c r="A2001" s="1712"/>
      <c r="B2001" s="1673" t="s">
        <v>139</v>
      </c>
      <c r="C2001" s="1674" t="s">
        <v>228</v>
      </c>
      <c r="D2001" s="1675">
        <v>33.200000000000003</v>
      </c>
      <c r="E2001" s="1676" t="s">
        <v>85</v>
      </c>
      <c r="F2001" s="1736">
        <v>2679.9</v>
      </c>
      <c r="G2001" s="1736">
        <v>519</v>
      </c>
      <c r="H2001" s="1678">
        <f t="shared" ref="H2001:H2007" si="314">F2001*D2001</f>
        <v>88972.680000000008</v>
      </c>
      <c r="I2001" s="1669">
        <f t="shared" ref="I2001:I2007" si="315">G2001*D2001</f>
        <v>17230.800000000003</v>
      </c>
      <c r="J2001" s="1669">
        <f t="shared" ref="J2001:J2007" si="316">SUM(H2001:I2001)</f>
        <v>106203.48000000001</v>
      </c>
      <c r="K2001" s="1708"/>
      <c r="L2001" s="1721"/>
      <c r="M2001" s="1710" t="s">
        <v>1016</v>
      </c>
      <c r="N2001" s="1711" t="s">
        <v>659</v>
      </c>
    </row>
    <row r="2002" spans="1:14" ht="24" customHeight="1">
      <c r="A2002" s="1712"/>
      <c r="B2002" s="2368" t="s">
        <v>226</v>
      </c>
      <c r="C2002" s="2370"/>
      <c r="D2002" s="1675">
        <v>207.2</v>
      </c>
      <c r="E2002" s="1676"/>
      <c r="F2002" s="1736"/>
      <c r="G2002" s="1736"/>
      <c r="H2002" s="1669"/>
      <c r="I2002" s="1669"/>
      <c r="J2002" s="1669"/>
      <c r="K2002" s="1708"/>
      <c r="L2002" s="1721"/>
      <c r="M2002" s="1711"/>
      <c r="N2002" s="1711"/>
    </row>
    <row r="2003" spans="1:14" ht="24" customHeight="1">
      <c r="A2003" s="1712"/>
      <c r="B2003" s="1673" t="s">
        <v>139</v>
      </c>
      <c r="C2003" s="1674" t="s">
        <v>165</v>
      </c>
      <c r="D2003" s="1675">
        <f>D2002</f>
        <v>207.2</v>
      </c>
      <c r="E2003" s="1676" t="s">
        <v>86</v>
      </c>
      <c r="F2003" s="1736">
        <v>0</v>
      </c>
      <c r="G2003" s="1669">
        <v>121</v>
      </c>
      <c r="H2003" s="1669">
        <f t="shared" si="314"/>
        <v>0</v>
      </c>
      <c r="I2003" s="1669">
        <f t="shared" si="315"/>
        <v>25071.199999999997</v>
      </c>
      <c r="J2003" s="1669">
        <f t="shared" si="316"/>
        <v>25071.199999999997</v>
      </c>
      <c r="K2003" s="1708"/>
      <c r="L2003" s="1721"/>
      <c r="M2003" s="1710" t="s">
        <v>1017</v>
      </c>
      <c r="N2003" s="1711" t="s">
        <v>659</v>
      </c>
    </row>
    <row r="2004" spans="1:14" ht="24" customHeight="1">
      <c r="A2004" s="1712"/>
      <c r="B2004" s="1673" t="s">
        <v>139</v>
      </c>
      <c r="C2004" s="1674" t="s">
        <v>198</v>
      </c>
      <c r="D2004" s="1675">
        <f>D2002*0.5</f>
        <v>103.6</v>
      </c>
      <c r="E2004" s="1676" t="s">
        <v>164</v>
      </c>
      <c r="F2004" s="1736">
        <v>400</v>
      </c>
      <c r="G2004" s="1736">
        <v>0</v>
      </c>
      <c r="H2004" s="1669">
        <f t="shared" si="314"/>
        <v>41440</v>
      </c>
      <c r="I2004" s="1669">
        <f t="shared" si="315"/>
        <v>0</v>
      </c>
      <c r="J2004" s="1669">
        <f t="shared" si="316"/>
        <v>41440</v>
      </c>
      <c r="K2004" s="1708"/>
      <c r="L2004" s="1721"/>
      <c r="M2004" s="1710" t="s">
        <v>1018</v>
      </c>
      <c r="N2004" s="1711"/>
    </row>
    <row r="2005" spans="1:14" ht="24" customHeight="1">
      <c r="A2005" s="1712"/>
      <c r="B2005" s="1673" t="s">
        <v>139</v>
      </c>
      <c r="C2005" s="1674" t="s">
        <v>166</v>
      </c>
      <c r="D2005" s="1675">
        <f>D2004*0.3</f>
        <v>31.08</v>
      </c>
      <c r="E2005" s="1676" t="s">
        <v>164</v>
      </c>
      <c r="F2005" s="1736">
        <v>400</v>
      </c>
      <c r="G2005" s="1736">
        <v>0</v>
      </c>
      <c r="H2005" s="1669">
        <f t="shared" si="314"/>
        <v>12432</v>
      </c>
      <c r="I2005" s="1669">
        <f t="shared" si="315"/>
        <v>0</v>
      </c>
      <c r="J2005" s="1669">
        <f t="shared" si="316"/>
        <v>12432</v>
      </c>
      <c r="K2005" s="1708"/>
      <c r="L2005" s="1721"/>
      <c r="M2005" s="1710" t="s">
        <v>1018</v>
      </c>
      <c r="N2005" s="1685"/>
    </row>
    <row r="2006" spans="1:14" ht="24" customHeight="1">
      <c r="A2006" s="1712"/>
      <c r="B2006" s="1673" t="s">
        <v>139</v>
      </c>
      <c r="C2006" s="1674" t="s">
        <v>163</v>
      </c>
      <c r="D2006" s="1675">
        <f>D2002</f>
        <v>207.2</v>
      </c>
      <c r="E2006" s="1676" t="s">
        <v>83</v>
      </c>
      <c r="F2006" s="1736">
        <v>28</v>
      </c>
      <c r="G2006" s="1736">
        <v>0</v>
      </c>
      <c r="H2006" s="1669">
        <f t="shared" si="314"/>
        <v>5801.5999999999995</v>
      </c>
      <c r="I2006" s="1669">
        <f t="shared" si="315"/>
        <v>0</v>
      </c>
      <c r="J2006" s="1669">
        <f t="shared" si="316"/>
        <v>5801.5999999999995</v>
      </c>
      <c r="K2006" s="1708"/>
      <c r="L2006" s="1721"/>
      <c r="M2006" s="1710" t="s">
        <v>1018</v>
      </c>
      <c r="N2006" s="1685"/>
    </row>
    <row r="2007" spans="1:14" ht="24" customHeight="1">
      <c r="A2007" s="1712"/>
      <c r="B2007" s="1673" t="s">
        <v>139</v>
      </c>
      <c r="C2007" s="1674" t="s">
        <v>1781</v>
      </c>
      <c r="D2007" s="1675">
        <f>D2002*0.25</f>
        <v>51.8</v>
      </c>
      <c r="E2007" s="1676" t="s">
        <v>87</v>
      </c>
      <c r="F2007" s="1736">
        <v>23.89</v>
      </c>
      <c r="G2007" s="1736">
        <v>0</v>
      </c>
      <c r="H2007" s="1669">
        <f t="shared" si="314"/>
        <v>1237.502</v>
      </c>
      <c r="I2007" s="1669">
        <f t="shared" si="315"/>
        <v>0</v>
      </c>
      <c r="J2007" s="1669">
        <f t="shared" si="316"/>
        <v>1237.502</v>
      </c>
      <c r="K2007" s="1708"/>
      <c r="L2007" s="1721"/>
      <c r="M2007" s="1710" t="s">
        <v>660</v>
      </c>
      <c r="N2007" s="1685"/>
    </row>
    <row r="2008" spans="1:14" ht="24" customHeight="1">
      <c r="A2008" s="1712"/>
      <c r="B2008" s="1748" t="s">
        <v>248</v>
      </c>
      <c r="C2008" s="1674"/>
      <c r="D2008" s="1675"/>
      <c r="E2008" s="1676"/>
      <c r="F2008" s="1736"/>
      <c r="G2008" s="1736"/>
      <c r="H2008" s="1669"/>
      <c r="I2008" s="1669"/>
      <c r="J2008" s="1669"/>
      <c r="K2008" s="1708"/>
      <c r="L2008" s="1721"/>
      <c r="M2008" s="1710"/>
      <c r="N2008" s="1685"/>
    </row>
    <row r="2009" spans="1:14" ht="24" customHeight="1">
      <c r="A2009" s="1712"/>
      <c r="B2009" s="1673" t="s">
        <v>139</v>
      </c>
      <c r="C2009" s="1674" t="s">
        <v>88</v>
      </c>
      <c r="D2009" s="1675">
        <v>974</v>
      </c>
      <c r="E2009" s="1676" t="s">
        <v>87</v>
      </c>
      <c r="F2009" s="1677">
        <v>21.4</v>
      </c>
      <c r="G2009" s="1677">
        <v>4.4000000000000004</v>
      </c>
      <c r="H2009" s="1669">
        <f>F2009*D2009</f>
        <v>20843.599999999999</v>
      </c>
      <c r="I2009" s="1669">
        <f>G2009*D2009</f>
        <v>4285.6000000000004</v>
      </c>
      <c r="J2009" s="1669">
        <f>SUM(H2009:I2009)</f>
        <v>25129.199999999997</v>
      </c>
      <c r="K2009" s="1708"/>
      <c r="L2009" s="1721"/>
      <c r="M2009" s="1710" t="s">
        <v>1016</v>
      </c>
      <c r="N2009" s="1711" t="s">
        <v>659</v>
      </c>
    </row>
    <row r="2010" spans="1:14" ht="24" customHeight="1">
      <c r="A2010" s="1712"/>
      <c r="B2010" s="1673" t="s">
        <v>139</v>
      </c>
      <c r="C2010" s="1674" t="s">
        <v>1014</v>
      </c>
      <c r="D2010" s="1675">
        <v>4691.8999999999996</v>
      </c>
      <c r="E2010" s="1676" t="s">
        <v>87</v>
      </c>
      <c r="F2010" s="1677">
        <v>21.2</v>
      </c>
      <c r="G2010" s="1677">
        <v>3.1</v>
      </c>
      <c r="H2010" s="1669">
        <f>F2010*D2010</f>
        <v>99468.279999999984</v>
      </c>
      <c r="I2010" s="1669">
        <f>G2010*D2010</f>
        <v>14544.89</v>
      </c>
      <c r="J2010" s="1669">
        <f>SUM(H2010:I2010)</f>
        <v>114013.16999999998</v>
      </c>
      <c r="K2010" s="1708"/>
      <c r="L2010" s="1721"/>
      <c r="M2010" s="1710" t="s">
        <v>1016</v>
      </c>
      <c r="N2010" s="1711" t="s">
        <v>659</v>
      </c>
    </row>
    <row r="2011" spans="1:14" ht="24" customHeight="1">
      <c r="A2011" s="1712"/>
      <c r="B2011" s="1673" t="s">
        <v>139</v>
      </c>
      <c r="C2011" s="1674" t="s">
        <v>200</v>
      </c>
      <c r="D2011" s="1675">
        <f>SUM(D2009:D2010)*0.03</f>
        <v>169.97699999999998</v>
      </c>
      <c r="E2011" s="1676" t="s">
        <v>87</v>
      </c>
      <c r="F2011" s="1677">
        <v>25.83</v>
      </c>
      <c r="G2011" s="1677">
        <v>0</v>
      </c>
      <c r="H2011" s="1669">
        <f>F2011*D2011</f>
        <v>4390.5059099999989</v>
      </c>
      <c r="I2011" s="1669">
        <f>G2011*D2011</f>
        <v>0</v>
      </c>
      <c r="J2011" s="1669">
        <f>SUM(H2011:I2011)</f>
        <v>4390.5059099999989</v>
      </c>
      <c r="K2011" s="1708"/>
      <c r="L2011" s="1721"/>
      <c r="M2011" s="1710" t="s">
        <v>1019</v>
      </c>
      <c r="N2011" s="1711"/>
    </row>
    <row r="2012" spans="1:14" ht="24" customHeight="1">
      <c r="A2012" s="1712"/>
      <c r="B2012" s="2368" t="s">
        <v>250</v>
      </c>
      <c r="C2012" s="2370"/>
      <c r="D2012" s="1675"/>
      <c r="E2012" s="1676"/>
      <c r="F2012" s="1669"/>
      <c r="G2012" s="1669"/>
      <c r="H2012" s="1669"/>
      <c r="I2012" s="1669"/>
      <c r="J2012" s="1669"/>
      <c r="K2012" s="1708"/>
      <c r="L2012" s="1721"/>
      <c r="M2012" s="1711"/>
      <c r="N2012" s="1711"/>
    </row>
    <row r="2013" spans="1:14" ht="24" customHeight="1">
      <c r="A2013" s="1712"/>
      <c r="B2013" s="2368" t="s">
        <v>422</v>
      </c>
      <c r="C2013" s="2370"/>
      <c r="D2013" s="1675"/>
      <c r="E2013" s="1676"/>
      <c r="F2013" s="1669"/>
      <c r="G2013" s="1669"/>
      <c r="H2013" s="1669"/>
      <c r="I2013" s="1669"/>
      <c r="J2013" s="1669"/>
      <c r="K2013" s="1708"/>
      <c r="L2013" s="1721"/>
      <c r="M2013" s="1711"/>
      <c r="N2013" s="1711"/>
    </row>
    <row r="2014" spans="1:14" ht="24" customHeight="1">
      <c r="A2014" s="1712"/>
      <c r="B2014" s="1673" t="s">
        <v>139</v>
      </c>
      <c r="C2014" s="1674" t="s">
        <v>228</v>
      </c>
      <c r="D2014" s="1675">
        <v>2.1</v>
      </c>
      <c r="E2014" s="1676" t="s">
        <v>85</v>
      </c>
      <c r="F2014" s="1736">
        <v>2679.9</v>
      </c>
      <c r="G2014" s="1736">
        <v>519</v>
      </c>
      <c r="H2014" s="1669">
        <f t="shared" ref="H2014:H2031" si="317">F2014*D2014</f>
        <v>5627.7900000000009</v>
      </c>
      <c r="I2014" s="1669">
        <f t="shared" ref="I2014:I2031" si="318">G2014*D2014</f>
        <v>1089.9000000000001</v>
      </c>
      <c r="J2014" s="1669">
        <f t="shared" ref="J2014:J2031" si="319">SUM(H2014:I2014)</f>
        <v>6717.6900000000005</v>
      </c>
      <c r="K2014" s="1708"/>
      <c r="L2014" s="1721"/>
      <c r="M2014" s="1710" t="s">
        <v>1016</v>
      </c>
      <c r="N2014" s="1711" t="s">
        <v>659</v>
      </c>
    </row>
    <row r="2015" spans="1:14" ht="24" customHeight="1">
      <c r="A2015" s="1712"/>
      <c r="B2015" s="2368" t="s">
        <v>227</v>
      </c>
      <c r="C2015" s="2370"/>
      <c r="D2015" s="1675">
        <v>22.7</v>
      </c>
      <c r="E2015" s="1676"/>
      <c r="F2015" s="1669"/>
      <c r="G2015" s="1669"/>
      <c r="H2015" s="1669"/>
      <c r="I2015" s="1669"/>
      <c r="J2015" s="1669"/>
      <c r="K2015" s="1708"/>
      <c r="L2015" s="1721"/>
      <c r="M2015" s="1711"/>
      <c r="N2015" s="1711"/>
    </row>
    <row r="2016" spans="1:14" ht="24" customHeight="1">
      <c r="A2016" s="1780"/>
      <c r="B2016" s="1780"/>
      <c r="C2016" s="1827" t="s">
        <v>133</v>
      </c>
      <c r="D2016" s="2365"/>
      <c r="E2016" s="2365"/>
      <c r="F2016" s="2365"/>
      <c r="G2016" s="2365"/>
      <c r="H2016" s="2365"/>
      <c r="I2016" s="2365"/>
      <c r="J2016" s="2365"/>
      <c r="K2016" s="2365"/>
      <c r="L2016" s="1721"/>
      <c r="M2016" s="1711"/>
      <c r="N2016" s="1711"/>
    </row>
    <row r="2017" spans="1:14" ht="24" customHeight="1">
      <c r="A2017" s="1780"/>
      <c r="B2017" s="2366" t="s">
        <v>1769</v>
      </c>
      <c r="C2017" s="2366"/>
      <c r="D2017" s="1828"/>
      <c r="E2017" s="1769"/>
      <c r="F2017" s="1828"/>
      <c r="G2017" s="1828" t="s">
        <v>134</v>
      </c>
      <c r="H2017" s="1828"/>
      <c r="I2017" s="1828"/>
      <c r="J2017" s="1828"/>
      <c r="K2017" s="1828"/>
      <c r="L2017" s="1721"/>
      <c r="M2017" s="1711"/>
      <c r="N2017" s="1711"/>
    </row>
    <row r="2018" spans="1:14" ht="24" customHeight="1">
      <c r="A2018" s="1780"/>
      <c r="B2018" s="2367" t="s">
        <v>1970</v>
      </c>
      <c r="C2018" s="2367"/>
      <c r="D2018" s="1831"/>
      <c r="E2018" s="1832"/>
      <c r="F2018" s="1833"/>
      <c r="G2018" s="1833" t="s">
        <v>1971</v>
      </c>
      <c r="H2018" s="1833"/>
      <c r="I2018" s="1833"/>
      <c r="J2018" s="1833"/>
      <c r="K2018" s="1833"/>
      <c r="L2018" s="1721"/>
      <c r="M2018" s="1711"/>
      <c r="N2018" s="1711"/>
    </row>
    <row r="2019" spans="1:14" ht="24" customHeight="1">
      <c r="A2019" s="1830"/>
      <c r="B2019" s="1828" t="s">
        <v>2031</v>
      </c>
      <c r="C2019" s="1830"/>
      <c r="D2019" s="1830"/>
      <c r="E2019" s="1830"/>
      <c r="F2019" s="1830"/>
      <c r="G2019" s="1828" t="s">
        <v>2031</v>
      </c>
      <c r="H2019" s="1830"/>
      <c r="I2019" s="1830"/>
      <c r="J2019" s="1830"/>
      <c r="K2019" s="1830"/>
      <c r="L2019" s="1721"/>
      <c r="M2019" s="1711"/>
      <c r="N2019" s="1711"/>
    </row>
    <row r="2020" spans="1:14" ht="24" customHeight="1">
      <c r="B2020" s="1721" t="s">
        <v>1984</v>
      </c>
      <c r="C2020" s="1830"/>
      <c r="D2020" s="1685"/>
      <c r="E2020" s="1685"/>
      <c r="G2020" s="1721" t="s">
        <v>1985</v>
      </c>
      <c r="H2020" s="1685"/>
      <c r="I2020" s="1685"/>
      <c r="J2020" s="1685"/>
      <c r="K2020" s="1685"/>
      <c r="L2020" s="1721"/>
      <c r="M2020" s="1711"/>
      <c r="N2020" s="1711"/>
    </row>
    <row r="2021" spans="1:14" ht="24" customHeight="1">
      <c r="B2021" s="1828" t="s">
        <v>670</v>
      </c>
      <c r="L2021" s="1721"/>
      <c r="M2021" s="1711"/>
      <c r="N2021" s="1711"/>
    </row>
    <row r="2022" spans="1:14" ht="24" customHeight="1">
      <c r="B2022" s="1721" t="s">
        <v>1972</v>
      </c>
      <c r="L2022" s="1721"/>
      <c r="M2022" s="1711"/>
      <c r="N2022" s="1711"/>
    </row>
    <row r="2023" spans="1:14" ht="24" customHeight="1">
      <c r="A2023" s="1712"/>
      <c r="B2023" s="1673" t="s">
        <v>139</v>
      </c>
      <c r="C2023" s="1674" t="s">
        <v>165</v>
      </c>
      <c r="D2023" s="1675">
        <f>D2015</f>
        <v>22.7</v>
      </c>
      <c r="E2023" s="1676" t="s">
        <v>86</v>
      </c>
      <c r="F2023" s="1669"/>
      <c r="G2023" s="1669">
        <v>121</v>
      </c>
      <c r="H2023" s="1669">
        <f t="shared" si="317"/>
        <v>0</v>
      </c>
      <c r="I2023" s="1669">
        <f t="shared" si="318"/>
        <v>2746.7</v>
      </c>
      <c r="J2023" s="1669">
        <f t="shared" si="319"/>
        <v>2746.7</v>
      </c>
      <c r="K2023" s="1708"/>
      <c r="L2023" s="1721"/>
      <c r="M2023" s="1710" t="s">
        <v>1017</v>
      </c>
      <c r="N2023" s="1711" t="s">
        <v>659</v>
      </c>
    </row>
    <row r="2024" spans="1:14" ht="24" customHeight="1">
      <c r="A2024" s="1712"/>
      <c r="B2024" s="1673" t="s">
        <v>139</v>
      </c>
      <c r="C2024" s="1674" t="s">
        <v>198</v>
      </c>
      <c r="D2024" s="1675">
        <f>D2015*0.5</f>
        <v>11.35</v>
      </c>
      <c r="E2024" s="1676" t="s">
        <v>164</v>
      </c>
      <c r="F2024" s="1669">
        <v>400</v>
      </c>
      <c r="G2024" s="1669"/>
      <c r="H2024" s="1669">
        <f t="shared" si="317"/>
        <v>4540</v>
      </c>
      <c r="I2024" s="1669">
        <f t="shared" si="318"/>
        <v>0</v>
      </c>
      <c r="J2024" s="1669">
        <f t="shared" si="319"/>
        <v>4540</v>
      </c>
      <c r="K2024" s="1708"/>
      <c r="L2024" s="1721"/>
      <c r="M2024" s="1710" t="s">
        <v>1018</v>
      </c>
      <c r="N2024" s="1711"/>
    </row>
    <row r="2025" spans="1:14" ht="24" customHeight="1">
      <c r="A2025" s="1712"/>
      <c r="B2025" s="1673" t="s">
        <v>139</v>
      </c>
      <c r="C2025" s="1674" t="s">
        <v>166</v>
      </c>
      <c r="D2025" s="1675">
        <f>D2024*0.3</f>
        <v>3.4049999999999998</v>
      </c>
      <c r="E2025" s="1676" t="s">
        <v>164</v>
      </c>
      <c r="F2025" s="1669">
        <v>400</v>
      </c>
      <c r="G2025" s="1669">
        <v>0</v>
      </c>
      <c r="H2025" s="1669">
        <f t="shared" si="317"/>
        <v>1362</v>
      </c>
      <c r="I2025" s="1669">
        <f t="shared" si="318"/>
        <v>0</v>
      </c>
      <c r="J2025" s="1669">
        <f t="shared" si="319"/>
        <v>1362</v>
      </c>
      <c r="K2025" s="1708"/>
      <c r="L2025" s="1721"/>
      <c r="M2025" s="1710" t="s">
        <v>1018</v>
      </c>
      <c r="N2025" s="1711"/>
    </row>
    <row r="2026" spans="1:14" ht="24" customHeight="1">
      <c r="A2026" s="1712"/>
      <c r="B2026" s="1673" t="s">
        <v>139</v>
      </c>
      <c r="C2026" s="1674" t="s">
        <v>252</v>
      </c>
      <c r="D2026" s="1675">
        <v>32</v>
      </c>
      <c r="E2026" s="1676" t="s">
        <v>83</v>
      </c>
      <c r="F2026" s="1669">
        <v>28</v>
      </c>
      <c r="G2026" s="1669">
        <v>0</v>
      </c>
      <c r="H2026" s="1669">
        <f t="shared" si="317"/>
        <v>896</v>
      </c>
      <c r="I2026" s="1669">
        <f t="shared" si="318"/>
        <v>0</v>
      </c>
      <c r="J2026" s="1669">
        <f t="shared" si="319"/>
        <v>896</v>
      </c>
      <c r="K2026" s="1708"/>
      <c r="L2026" s="1721"/>
      <c r="M2026" s="1710" t="s">
        <v>1018</v>
      </c>
      <c r="N2026" s="1711"/>
    </row>
    <row r="2027" spans="1:14" ht="24" customHeight="1">
      <c r="A2027" s="1712"/>
      <c r="B2027" s="1673" t="s">
        <v>139</v>
      </c>
      <c r="C2027" s="1674" t="s">
        <v>1781</v>
      </c>
      <c r="D2027" s="1675">
        <f>D2015*0.25</f>
        <v>5.6749999999999998</v>
      </c>
      <c r="E2027" s="1676" t="s">
        <v>87</v>
      </c>
      <c r="F2027" s="1736">
        <v>23.89</v>
      </c>
      <c r="G2027" s="1736">
        <v>0</v>
      </c>
      <c r="H2027" s="1669">
        <f t="shared" si="317"/>
        <v>135.57575</v>
      </c>
      <c r="I2027" s="1669">
        <f t="shared" si="318"/>
        <v>0</v>
      </c>
      <c r="J2027" s="1669">
        <f t="shared" si="319"/>
        <v>135.57575</v>
      </c>
      <c r="K2027" s="1708"/>
      <c r="L2027" s="1721"/>
      <c r="M2027" s="1710" t="s">
        <v>660</v>
      </c>
      <c r="N2027" s="1711"/>
    </row>
    <row r="2028" spans="1:14" ht="24" customHeight="1">
      <c r="A2028" s="1712"/>
      <c r="B2028" s="2368" t="s">
        <v>251</v>
      </c>
      <c r="C2028" s="2370"/>
      <c r="D2028" s="1675"/>
      <c r="E2028" s="1676"/>
      <c r="F2028" s="1669"/>
      <c r="G2028" s="1669"/>
      <c r="H2028" s="1669">
        <f t="shared" si="317"/>
        <v>0</v>
      </c>
      <c r="I2028" s="1669">
        <f t="shared" si="318"/>
        <v>0</v>
      </c>
      <c r="J2028" s="1669">
        <f t="shared" si="319"/>
        <v>0</v>
      </c>
      <c r="K2028" s="1708"/>
      <c r="L2028" s="1721"/>
      <c r="M2028" s="1711"/>
      <c r="N2028" s="1711"/>
    </row>
    <row r="2029" spans="1:14" ht="24" customHeight="1">
      <c r="A2029" s="1712"/>
      <c r="B2029" s="1673" t="s">
        <v>139</v>
      </c>
      <c r="C2029" s="1674" t="s">
        <v>88</v>
      </c>
      <c r="D2029" s="1675">
        <v>135.5</v>
      </c>
      <c r="E2029" s="1676" t="s">
        <v>87</v>
      </c>
      <c r="F2029" s="1677">
        <v>21.4</v>
      </c>
      <c r="G2029" s="1677">
        <v>4.4000000000000004</v>
      </c>
      <c r="H2029" s="1669">
        <f t="shared" si="317"/>
        <v>2899.7</v>
      </c>
      <c r="I2029" s="1669">
        <f t="shared" si="318"/>
        <v>596.20000000000005</v>
      </c>
      <c r="J2029" s="1669">
        <f t="shared" si="319"/>
        <v>3495.8999999999996</v>
      </c>
      <c r="K2029" s="1708"/>
      <c r="L2029" s="1721"/>
      <c r="M2029" s="1710" t="s">
        <v>1016</v>
      </c>
      <c r="N2029" s="1711" t="s">
        <v>659</v>
      </c>
    </row>
    <row r="2030" spans="1:14" ht="24" customHeight="1">
      <c r="A2030" s="1664"/>
      <c r="B2030" s="1665" t="s">
        <v>139</v>
      </c>
      <c r="C2030" s="1666" t="s">
        <v>90</v>
      </c>
      <c r="D2030" s="1667">
        <v>494</v>
      </c>
      <c r="E2030" s="1668" t="s">
        <v>87</v>
      </c>
      <c r="F2030" s="1744">
        <v>21.2</v>
      </c>
      <c r="G2030" s="1744">
        <v>3.6</v>
      </c>
      <c r="H2030" s="1670">
        <f t="shared" si="317"/>
        <v>10472.799999999999</v>
      </c>
      <c r="I2030" s="1670">
        <f t="shared" si="318"/>
        <v>1778.4</v>
      </c>
      <c r="J2030" s="1670">
        <f t="shared" si="319"/>
        <v>12251.199999999999</v>
      </c>
      <c r="K2030" s="1746"/>
      <c r="L2030" s="1721"/>
      <c r="M2030" s="1710" t="s">
        <v>1016</v>
      </c>
      <c r="N2030" s="1711" t="s">
        <v>659</v>
      </c>
    </row>
    <row r="2031" spans="1:14" ht="24" customHeight="1">
      <c r="A2031" s="1712"/>
      <c r="B2031" s="1673" t="s">
        <v>139</v>
      </c>
      <c r="C2031" s="1674" t="s">
        <v>200</v>
      </c>
      <c r="D2031" s="1675">
        <f>SUM(D2029:D2030)*0.03</f>
        <v>18.884999999999998</v>
      </c>
      <c r="E2031" s="1676" t="s">
        <v>87</v>
      </c>
      <c r="F2031" s="1677">
        <v>25.83</v>
      </c>
      <c r="G2031" s="1677">
        <v>0</v>
      </c>
      <c r="H2031" s="1669">
        <f t="shared" si="317"/>
        <v>487.7995499999999</v>
      </c>
      <c r="I2031" s="1669">
        <f t="shared" si="318"/>
        <v>0</v>
      </c>
      <c r="J2031" s="1669">
        <f t="shared" si="319"/>
        <v>487.7995499999999</v>
      </c>
      <c r="K2031" s="1708"/>
      <c r="L2031" s="1721"/>
      <c r="M2031" s="1710" t="s">
        <v>1019</v>
      </c>
      <c r="N2031" s="1711"/>
    </row>
    <row r="2032" spans="1:14" s="1781" customFormat="1" ht="24" customHeight="1">
      <c r="A2032" s="1712"/>
      <c r="B2032" s="2368" t="s">
        <v>1864</v>
      </c>
      <c r="C2032" s="2368"/>
      <c r="D2032" s="1794"/>
      <c r="E2032" s="1795"/>
      <c r="F2032" s="1796"/>
      <c r="G2032" s="1797"/>
      <c r="H2032" s="1736"/>
      <c r="I2032" s="1736"/>
      <c r="J2032" s="1736"/>
      <c r="K2032" s="1708"/>
      <c r="L2032" s="1721"/>
      <c r="M2032" s="1770"/>
      <c r="N2032" s="1780"/>
    </row>
    <row r="2033" spans="1:14" s="1769" customFormat="1" ht="24" customHeight="1">
      <c r="A2033" s="1737"/>
      <c r="B2033" s="1672" t="s">
        <v>107</v>
      </c>
      <c r="C2033" s="1764" t="s">
        <v>1064</v>
      </c>
      <c r="D2033" s="1765">
        <v>883</v>
      </c>
      <c r="E2033" s="1766" t="s">
        <v>87</v>
      </c>
      <c r="F2033" s="1767">
        <v>31</v>
      </c>
      <c r="G2033" s="1767">
        <v>10</v>
      </c>
      <c r="H2033" s="1736">
        <f>+F2033*D2033</f>
        <v>27373</v>
      </c>
      <c r="I2033" s="1736">
        <f>+G2033*D2033</f>
        <v>8830</v>
      </c>
      <c r="J2033" s="1736">
        <f>+H2033+I2033</f>
        <v>36203</v>
      </c>
      <c r="K2033" s="1708"/>
      <c r="L2033" s="1721"/>
      <c r="M2033" s="1770"/>
      <c r="N2033" s="1768">
        <v>145.80000000000001</v>
      </c>
    </row>
    <row r="2034" spans="1:14" s="1769" customFormat="1" ht="24" customHeight="1">
      <c r="A2034" s="1798"/>
      <c r="B2034" s="1773" t="s">
        <v>107</v>
      </c>
      <c r="C2034" s="1799" t="s">
        <v>1065</v>
      </c>
      <c r="D2034" s="1800">
        <v>346</v>
      </c>
      <c r="E2034" s="1801" t="s">
        <v>87</v>
      </c>
      <c r="F2034" s="1802">
        <v>31</v>
      </c>
      <c r="G2034" s="1802">
        <v>10</v>
      </c>
      <c r="H2034" s="1745">
        <f>+F2034*D2034</f>
        <v>10726</v>
      </c>
      <c r="I2034" s="1745">
        <f>+G2034*D2034</f>
        <v>3460</v>
      </c>
      <c r="J2034" s="1745">
        <f>+H2034+I2034</f>
        <v>14186</v>
      </c>
      <c r="K2034" s="1746"/>
      <c r="L2034" s="1721"/>
      <c r="M2034" s="1763" t="s">
        <v>1021</v>
      </c>
      <c r="N2034" s="1768">
        <v>401.4</v>
      </c>
    </row>
    <row r="2035" spans="1:14" ht="24" customHeight="1">
      <c r="A2035" s="1712"/>
      <c r="B2035" s="1673" t="s">
        <v>107</v>
      </c>
      <c r="C2035" s="1713" t="s">
        <v>424</v>
      </c>
      <c r="D2035" s="1675">
        <v>41</v>
      </c>
      <c r="E2035" s="1676" t="s">
        <v>86</v>
      </c>
      <c r="F2035" s="1669">
        <v>53</v>
      </c>
      <c r="G2035" s="1669">
        <v>30</v>
      </c>
      <c r="H2035" s="1669">
        <f>F2035*D2035</f>
        <v>2173</v>
      </c>
      <c r="I2035" s="1669">
        <f>G2035*D2035</f>
        <v>1230</v>
      </c>
      <c r="J2035" s="1669">
        <f>SUM(H2035:I2035)</f>
        <v>3403</v>
      </c>
      <c r="K2035" s="1761"/>
      <c r="M2035" s="1763" t="s">
        <v>643</v>
      </c>
      <c r="N2035" s="1711" t="s">
        <v>664</v>
      </c>
    </row>
    <row r="2036" spans="1:14" s="1781" customFormat="1" ht="24" customHeight="1">
      <c r="A2036" s="1712"/>
      <c r="B2036" s="2368" t="s">
        <v>1865</v>
      </c>
      <c r="C2036" s="2368"/>
      <c r="D2036" s="1794"/>
      <c r="E2036" s="1795"/>
      <c r="F2036" s="1796"/>
      <c r="G2036" s="1797"/>
      <c r="H2036" s="1736"/>
      <c r="I2036" s="1736"/>
      <c r="J2036" s="1736"/>
      <c r="K2036" s="1708"/>
      <c r="L2036" s="1721"/>
      <c r="M2036" s="1770"/>
      <c r="N2036" s="1780"/>
    </row>
    <row r="2037" spans="1:14" s="1769" customFormat="1" ht="24" customHeight="1">
      <c r="A2037" s="1737"/>
      <c r="B2037" s="1672" t="s">
        <v>107</v>
      </c>
      <c r="C2037" s="1764" t="s">
        <v>1866</v>
      </c>
      <c r="D2037" s="1765">
        <v>883</v>
      </c>
      <c r="E2037" s="1766" t="s">
        <v>87</v>
      </c>
      <c r="F2037" s="1767">
        <v>31</v>
      </c>
      <c r="G2037" s="1767">
        <v>10</v>
      </c>
      <c r="H2037" s="1736">
        <f>+F2037*D2037</f>
        <v>27373</v>
      </c>
      <c r="I2037" s="1736">
        <f>+G2037*D2037</f>
        <v>8830</v>
      </c>
      <c r="J2037" s="1736">
        <f>+H2037+I2037</f>
        <v>36203</v>
      </c>
      <c r="K2037" s="1708"/>
      <c r="L2037" s="1721"/>
      <c r="M2037" s="1770"/>
      <c r="N2037" s="1768">
        <v>145.80000000000001</v>
      </c>
    </row>
    <row r="2038" spans="1:14" s="1769" customFormat="1" ht="24" customHeight="1">
      <c r="A2038" s="1737"/>
      <c r="B2038" s="1672" t="s">
        <v>107</v>
      </c>
      <c r="C2038" s="1764" t="s">
        <v>1867</v>
      </c>
      <c r="D2038" s="1765">
        <v>346</v>
      </c>
      <c r="E2038" s="1766" t="s">
        <v>87</v>
      </c>
      <c r="F2038" s="1767">
        <v>31</v>
      </c>
      <c r="G2038" s="1767">
        <v>10</v>
      </c>
      <c r="H2038" s="1736">
        <f>+F2038*D2038</f>
        <v>10726</v>
      </c>
      <c r="I2038" s="1736">
        <f>+G2038*D2038</f>
        <v>3460</v>
      </c>
      <c r="J2038" s="1736">
        <f>+H2038+I2038</f>
        <v>14186</v>
      </c>
      <c r="K2038" s="1708"/>
      <c r="L2038" s="1721"/>
      <c r="M2038" s="1770" t="s">
        <v>1021</v>
      </c>
      <c r="N2038" s="1768">
        <v>401.4</v>
      </c>
    </row>
    <row r="2039" spans="1:14" s="1769" customFormat="1" ht="24" customHeight="1">
      <c r="A2039" s="1737"/>
      <c r="B2039" s="1672" t="s">
        <v>107</v>
      </c>
      <c r="C2039" s="1764" t="s">
        <v>1868</v>
      </c>
      <c r="D2039" s="1765">
        <v>12</v>
      </c>
      <c r="E2039" s="1766" t="s">
        <v>109</v>
      </c>
      <c r="F2039" s="1767">
        <v>180</v>
      </c>
      <c r="G2039" s="1767">
        <v>30</v>
      </c>
      <c r="H2039" s="1736">
        <f>+F2039*D2039</f>
        <v>2160</v>
      </c>
      <c r="I2039" s="1736">
        <f>+G2039*D2039</f>
        <v>360</v>
      </c>
      <c r="J2039" s="1736">
        <f>+H2039+I2039</f>
        <v>2520</v>
      </c>
      <c r="K2039" s="1708"/>
      <c r="L2039" s="1721"/>
      <c r="M2039" s="1770"/>
      <c r="N2039" s="1768"/>
    </row>
    <row r="2040" spans="1:14" s="1769" customFormat="1" ht="24" customHeight="1">
      <c r="A2040" s="1798"/>
      <c r="B2040" s="1773" t="s">
        <v>107</v>
      </c>
      <c r="C2040" s="1764" t="s">
        <v>1869</v>
      </c>
      <c r="D2040" s="1800">
        <f>D2039*4</f>
        <v>48</v>
      </c>
      <c r="E2040" s="1766" t="s">
        <v>27</v>
      </c>
      <c r="F2040" s="1802">
        <v>99.84</v>
      </c>
      <c r="G2040" s="1802">
        <v>0</v>
      </c>
      <c r="H2040" s="1745">
        <f>+F2040*D2040</f>
        <v>4792.32</v>
      </c>
      <c r="I2040" s="1745">
        <f>+G2040*D2040</f>
        <v>0</v>
      </c>
      <c r="J2040" s="1745">
        <f>+H2040+I2040</f>
        <v>4792.32</v>
      </c>
      <c r="K2040" s="1746"/>
      <c r="L2040" s="1721"/>
      <c r="M2040" s="1763"/>
      <c r="N2040" s="1768"/>
    </row>
    <row r="2041" spans="1:14" ht="24" customHeight="1">
      <c r="A2041" s="1712"/>
      <c r="B2041" s="1673" t="s">
        <v>107</v>
      </c>
      <c r="C2041" s="1713" t="s">
        <v>424</v>
      </c>
      <c r="D2041" s="1675">
        <v>76</v>
      </c>
      <c r="E2041" s="1676" t="s">
        <v>86</v>
      </c>
      <c r="F2041" s="1669">
        <v>53</v>
      </c>
      <c r="G2041" s="1669">
        <v>30</v>
      </c>
      <c r="H2041" s="1669">
        <f>F2041*D2041</f>
        <v>4028</v>
      </c>
      <c r="I2041" s="1669">
        <f>G2041*D2041</f>
        <v>2280</v>
      </c>
      <c r="J2041" s="1669">
        <f>SUM(H2041:I2041)</f>
        <v>6308</v>
      </c>
      <c r="K2041" s="1761"/>
      <c r="M2041" s="1763" t="s">
        <v>643</v>
      </c>
      <c r="N2041" s="1711" t="s">
        <v>664</v>
      </c>
    </row>
    <row r="2042" spans="1:14" ht="24" customHeight="1">
      <c r="A2042" s="1712"/>
      <c r="B2042" s="2368" t="s">
        <v>1030</v>
      </c>
      <c r="C2042" s="2370"/>
      <c r="D2042" s="1675"/>
      <c r="E2042" s="1676"/>
      <c r="F2042" s="1669"/>
      <c r="G2042" s="1669"/>
      <c r="H2042" s="1669"/>
      <c r="I2042" s="1669"/>
      <c r="J2042" s="1669"/>
      <c r="K2042" s="1708"/>
      <c r="L2042" s="1721"/>
      <c r="M2042" s="1711"/>
      <c r="N2042" s="1711"/>
    </row>
    <row r="2043" spans="1:14" ht="24" customHeight="1">
      <c r="A2043" s="1712"/>
      <c r="B2043" s="2368" t="s">
        <v>1031</v>
      </c>
      <c r="C2043" s="2370"/>
      <c r="D2043" s="1675"/>
      <c r="E2043" s="1676"/>
      <c r="F2043" s="1669"/>
      <c r="G2043" s="1669"/>
      <c r="H2043" s="1669"/>
      <c r="I2043" s="1669"/>
      <c r="J2043" s="1669"/>
      <c r="K2043" s="1708"/>
      <c r="L2043" s="1721"/>
      <c r="M2043" s="1711"/>
      <c r="N2043" s="1711"/>
    </row>
    <row r="2044" spans="1:14" ht="24" customHeight="1">
      <c r="A2044" s="1780"/>
      <c r="B2044" s="1780"/>
      <c r="C2044" s="1827" t="s">
        <v>133</v>
      </c>
      <c r="D2044" s="2365"/>
      <c r="E2044" s="2365"/>
      <c r="F2044" s="2365"/>
      <c r="G2044" s="2365"/>
      <c r="H2044" s="2365"/>
      <c r="I2044" s="2365"/>
      <c r="J2044" s="2365"/>
      <c r="K2044" s="2365"/>
      <c r="L2044" s="1721"/>
      <c r="M2044" s="1711"/>
      <c r="N2044" s="1711"/>
    </row>
    <row r="2045" spans="1:14" ht="24" customHeight="1">
      <c r="A2045" s="1780"/>
      <c r="B2045" s="2366" t="s">
        <v>1769</v>
      </c>
      <c r="C2045" s="2366"/>
      <c r="D2045" s="1828"/>
      <c r="E2045" s="1769"/>
      <c r="F2045" s="1828"/>
      <c r="G2045" s="1828" t="s">
        <v>134</v>
      </c>
      <c r="H2045" s="1828"/>
      <c r="I2045" s="1828"/>
      <c r="J2045" s="1828"/>
      <c r="K2045" s="1828"/>
      <c r="L2045" s="1721"/>
      <c r="M2045" s="1711"/>
      <c r="N2045" s="1711"/>
    </row>
    <row r="2046" spans="1:14" ht="24" customHeight="1">
      <c r="A2046" s="1780"/>
      <c r="B2046" s="2367" t="s">
        <v>1970</v>
      </c>
      <c r="C2046" s="2367"/>
      <c r="D2046" s="1831"/>
      <c r="E2046" s="1832"/>
      <c r="F2046" s="1833"/>
      <c r="G2046" s="1833" t="s">
        <v>1971</v>
      </c>
      <c r="H2046" s="1833"/>
      <c r="I2046" s="1833"/>
      <c r="J2046" s="1833"/>
      <c r="K2046" s="1833"/>
      <c r="L2046" s="1721"/>
      <c r="M2046" s="1711"/>
      <c r="N2046" s="1711"/>
    </row>
    <row r="2047" spans="1:14" ht="24" customHeight="1">
      <c r="A2047" s="1830"/>
      <c r="B2047" s="1828" t="s">
        <v>2031</v>
      </c>
      <c r="C2047" s="1830"/>
      <c r="D2047" s="1830"/>
      <c r="E2047" s="1830"/>
      <c r="F2047" s="1830"/>
      <c r="G2047" s="1828" t="s">
        <v>2031</v>
      </c>
      <c r="H2047" s="1830"/>
      <c r="I2047" s="1830"/>
      <c r="J2047" s="1830"/>
      <c r="K2047" s="1830"/>
      <c r="L2047" s="1721"/>
      <c r="M2047" s="1711"/>
      <c r="N2047" s="1711"/>
    </row>
    <row r="2048" spans="1:14" ht="24" customHeight="1">
      <c r="B2048" s="1721" t="s">
        <v>1984</v>
      </c>
      <c r="C2048" s="1830"/>
      <c r="D2048" s="1685"/>
      <c r="E2048" s="1685"/>
      <c r="G2048" s="1721" t="s">
        <v>1985</v>
      </c>
      <c r="H2048" s="1685"/>
      <c r="I2048" s="1685"/>
      <c r="J2048" s="1685"/>
      <c r="K2048" s="1685"/>
      <c r="L2048" s="1721"/>
      <c r="M2048" s="1711"/>
      <c r="N2048" s="1711"/>
    </row>
    <row r="2049" spans="1:14" ht="24" customHeight="1">
      <c r="B2049" s="1828" t="s">
        <v>670</v>
      </c>
      <c r="L2049" s="1721"/>
      <c r="M2049" s="1711"/>
      <c r="N2049" s="1711"/>
    </row>
    <row r="2050" spans="1:14" ht="24" customHeight="1">
      <c r="B2050" s="1721" t="s">
        <v>1972</v>
      </c>
      <c r="L2050" s="1721"/>
      <c r="M2050" s="1711"/>
      <c r="N2050" s="1711"/>
    </row>
    <row r="2051" spans="1:14" ht="24" customHeight="1">
      <c r="A2051" s="1712"/>
      <c r="B2051" s="1673" t="s">
        <v>139</v>
      </c>
      <c r="C2051" s="1674" t="s">
        <v>228</v>
      </c>
      <c r="D2051" s="1675">
        <v>15.9</v>
      </c>
      <c r="E2051" s="1676" t="s">
        <v>85</v>
      </c>
      <c r="F2051" s="1736">
        <v>2679.9</v>
      </c>
      <c r="G2051" s="1736">
        <v>519</v>
      </c>
      <c r="H2051" s="1669">
        <f t="shared" ref="H2051:H2066" si="320">F2051*D2051</f>
        <v>42610.41</v>
      </c>
      <c r="I2051" s="1669">
        <f t="shared" ref="I2051:I2066" si="321">G2051*D2051</f>
        <v>8252.1</v>
      </c>
      <c r="J2051" s="1669">
        <f t="shared" ref="J2051:J2057" si="322">SUM(H2051:I2051)</f>
        <v>50862.51</v>
      </c>
      <c r="K2051" s="1708"/>
      <c r="L2051" s="1721"/>
      <c r="M2051" s="1710" t="s">
        <v>1016</v>
      </c>
      <c r="N2051" s="1711" t="s">
        <v>659</v>
      </c>
    </row>
    <row r="2052" spans="1:14" ht="24" customHeight="1">
      <c r="A2052" s="1712"/>
      <c r="B2052" s="2368" t="s">
        <v>1033</v>
      </c>
      <c r="C2052" s="2370"/>
      <c r="D2052" s="1675">
        <v>65.400000000000006</v>
      </c>
      <c r="E2052" s="1676"/>
      <c r="F2052" s="1669"/>
      <c r="G2052" s="1669"/>
      <c r="H2052" s="1669"/>
      <c r="I2052" s="1669"/>
      <c r="J2052" s="1669"/>
      <c r="K2052" s="1708"/>
      <c r="L2052" s="1721"/>
      <c r="M2052" s="1711"/>
      <c r="N2052" s="1711"/>
    </row>
    <row r="2053" spans="1:14" ht="24" customHeight="1">
      <c r="A2053" s="1702"/>
      <c r="B2053" s="1703" t="s">
        <v>139</v>
      </c>
      <c r="C2053" s="1743" t="s">
        <v>165</v>
      </c>
      <c r="D2053" s="1705">
        <f>D2052</f>
        <v>65.400000000000006</v>
      </c>
      <c r="E2053" s="1706" t="s">
        <v>86</v>
      </c>
      <c r="F2053" s="1742">
        <v>0</v>
      </c>
      <c r="G2053" s="1707">
        <v>121</v>
      </c>
      <c r="H2053" s="1707">
        <f t="shared" si="320"/>
        <v>0</v>
      </c>
      <c r="I2053" s="1707">
        <f t="shared" si="321"/>
        <v>7913.4000000000005</v>
      </c>
      <c r="J2053" s="1707">
        <f t="shared" si="322"/>
        <v>7913.4000000000005</v>
      </c>
      <c r="K2053" s="1709"/>
      <c r="L2053" s="1721"/>
      <c r="M2053" s="1710" t="s">
        <v>1017</v>
      </c>
      <c r="N2053" s="1711" t="s">
        <v>659</v>
      </c>
    </row>
    <row r="2054" spans="1:14" ht="24" customHeight="1">
      <c r="A2054" s="1712"/>
      <c r="B2054" s="1673" t="s">
        <v>139</v>
      </c>
      <c r="C2054" s="1674" t="s">
        <v>198</v>
      </c>
      <c r="D2054" s="1675">
        <f>D2052*0.5</f>
        <v>32.700000000000003</v>
      </c>
      <c r="E2054" s="1676" t="s">
        <v>164</v>
      </c>
      <c r="F2054" s="1736">
        <v>400</v>
      </c>
      <c r="G2054" s="1736">
        <v>0</v>
      </c>
      <c r="H2054" s="1669">
        <f t="shared" si="320"/>
        <v>13080.000000000002</v>
      </c>
      <c r="I2054" s="1669">
        <f t="shared" si="321"/>
        <v>0</v>
      </c>
      <c r="J2054" s="1669">
        <f t="shared" si="322"/>
        <v>13080.000000000002</v>
      </c>
      <c r="K2054" s="1708"/>
      <c r="L2054" s="1721"/>
      <c r="M2054" s="1710" t="s">
        <v>1018</v>
      </c>
      <c r="N2054" s="1711"/>
    </row>
    <row r="2055" spans="1:14" ht="24" customHeight="1">
      <c r="A2055" s="1712"/>
      <c r="B2055" s="1673" t="s">
        <v>139</v>
      </c>
      <c r="C2055" s="1674" t="s">
        <v>166</v>
      </c>
      <c r="D2055" s="1675">
        <f>D2054*0.3</f>
        <v>9.81</v>
      </c>
      <c r="E2055" s="1676" t="s">
        <v>164</v>
      </c>
      <c r="F2055" s="1736">
        <v>400</v>
      </c>
      <c r="G2055" s="1736">
        <v>0</v>
      </c>
      <c r="H2055" s="1669">
        <f t="shared" si="320"/>
        <v>3924</v>
      </c>
      <c r="I2055" s="1669">
        <f t="shared" si="321"/>
        <v>0</v>
      </c>
      <c r="J2055" s="1669">
        <f t="shared" si="322"/>
        <v>3924</v>
      </c>
      <c r="K2055" s="1708"/>
      <c r="L2055" s="1721"/>
      <c r="M2055" s="1710" t="s">
        <v>1018</v>
      </c>
      <c r="N2055" s="1685"/>
    </row>
    <row r="2056" spans="1:14" ht="24" customHeight="1">
      <c r="A2056" s="1712"/>
      <c r="B2056" s="1673" t="s">
        <v>139</v>
      </c>
      <c r="C2056" s="1674" t="s">
        <v>163</v>
      </c>
      <c r="D2056" s="1675">
        <f>D2052</f>
        <v>65.400000000000006</v>
      </c>
      <c r="E2056" s="1676" t="s">
        <v>83</v>
      </c>
      <c r="F2056" s="1736">
        <v>28</v>
      </c>
      <c r="G2056" s="1736">
        <v>0</v>
      </c>
      <c r="H2056" s="1669">
        <f t="shared" si="320"/>
        <v>1831.2000000000003</v>
      </c>
      <c r="I2056" s="1669">
        <f t="shared" si="321"/>
        <v>0</v>
      </c>
      <c r="J2056" s="1669">
        <f t="shared" si="322"/>
        <v>1831.2000000000003</v>
      </c>
      <c r="K2056" s="1708"/>
      <c r="L2056" s="1721"/>
      <c r="M2056" s="1710" t="s">
        <v>1018</v>
      </c>
      <c r="N2056" s="1685"/>
    </row>
    <row r="2057" spans="1:14" ht="24" customHeight="1">
      <c r="A2057" s="1712"/>
      <c r="B2057" s="1673" t="s">
        <v>139</v>
      </c>
      <c r="C2057" s="1674" t="s">
        <v>1781</v>
      </c>
      <c r="D2057" s="1675">
        <f>D2052*0.25</f>
        <v>16.350000000000001</v>
      </c>
      <c r="E2057" s="1676" t="s">
        <v>87</v>
      </c>
      <c r="F2057" s="1736">
        <v>23.89</v>
      </c>
      <c r="G2057" s="1736">
        <v>0</v>
      </c>
      <c r="H2057" s="1669">
        <f t="shared" si="320"/>
        <v>390.60150000000004</v>
      </c>
      <c r="I2057" s="1669">
        <f t="shared" si="321"/>
        <v>0</v>
      </c>
      <c r="J2057" s="1669">
        <f t="shared" si="322"/>
        <v>390.60150000000004</v>
      </c>
      <c r="K2057" s="1708"/>
      <c r="L2057" s="1721"/>
      <c r="M2057" s="1710" t="s">
        <v>660</v>
      </c>
      <c r="N2057" s="1685"/>
    </row>
    <row r="2058" spans="1:14" ht="24" customHeight="1">
      <c r="A2058" s="1712"/>
      <c r="B2058" s="2368" t="s">
        <v>1032</v>
      </c>
      <c r="C2058" s="2370"/>
      <c r="D2058" s="1675"/>
      <c r="E2058" s="1676"/>
      <c r="F2058" s="1669"/>
      <c r="G2058" s="1669"/>
      <c r="H2058" s="1669"/>
      <c r="I2058" s="1669"/>
      <c r="J2058" s="1669"/>
      <c r="K2058" s="1708"/>
      <c r="L2058" s="1721"/>
      <c r="M2058" s="1711"/>
      <c r="N2058" s="1711"/>
    </row>
    <row r="2059" spans="1:14" ht="24" customHeight="1">
      <c r="A2059" s="1712"/>
      <c r="B2059" s="1673" t="s">
        <v>139</v>
      </c>
      <c r="C2059" s="1674" t="s">
        <v>88</v>
      </c>
      <c r="D2059" s="1675">
        <v>336.7</v>
      </c>
      <c r="E2059" s="1676" t="s">
        <v>87</v>
      </c>
      <c r="F2059" s="1677">
        <v>21.4</v>
      </c>
      <c r="G2059" s="1677">
        <v>4.4000000000000004</v>
      </c>
      <c r="H2059" s="1669">
        <f t="shared" si="320"/>
        <v>7205.3799999999992</v>
      </c>
      <c r="I2059" s="1669">
        <f t="shared" si="321"/>
        <v>1481.48</v>
      </c>
      <c r="J2059" s="1669">
        <f t="shared" ref="J2059:J2066" si="323">SUM(H2059:I2059)</f>
        <v>8686.8599999999988</v>
      </c>
      <c r="K2059" s="1708"/>
      <c r="L2059" s="1721"/>
      <c r="M2059" s="1710" t="s">
        <v>1016</v>
      </c>
      <c r="N2059" s="1711" t="s">
        <v>659</v>
      </c>
    </row>
    <row r="2060" spans="1:14" ht="24" customHeight="1">
      <c r="A2060" s="1712"/>
      <c r="B2060" s="1673" t="s">
        <v>139</v>
      </c>
      <c r="C2060" s="1674" t="s">
        <v>89</v>
      </c>
      <c r="D2060" s="1675">
        <v>871</v>
      </c>
      <c r="E2060" s="1676" t="s">
        <v>87</v>
      </c>
      <c r="F2060" s="1677">
        <v>21.4</v>
      </c>
      <c r="G2060" s="1677">
        <v>3.6</v>
      </c>
      <c r="H2060" s="1669">
        <f t="shared" si="320"/>
        <v>18639.399999999998</v>
      </c>
      <c r="I2060" s="1669">
        <f t="shared" si="321"/>
        <v>3135.6</v>
      </c>
      <c r="J2060" s="1669">
        <f t="shared" si="323"/>
        <v>21774.999999999996</v>
      </c>
      <c r="K2060" s="1708"/>
      <c r="L2060" s="1721"/>
      <c r="M2060" s="1710" t="s">
        <v>1016</v>
      </c>
      <c r="N2060" s="1711" t="s">
        <v>659</v>
      </c>
    </row>
    <row r="2061" spans="1:14" ht="24" customHeight="1">
      <c r="A2061" s="1664"/>
      <c r="B2061" s="1665" t="s">
        <v>139</v>
      </c>
      <c r="C2061" s="1666" t="s">
        <v>91</v>
      </c>
      <c r="D2061" s="1667">
        <v>798</v>
      </c>
      <c r="E2061" s="1668" t="s">
        <v>87</v>
      </c>
      <c r="F2061" s="1744">
        <v>21.2</v>
      </c>
      <c r="G2061" s="1744">
        <v>3.1</v>
      </c>
      <c r="H2061" s="1670">
        <f t="shared" si="320"/>
        <v>16917.599999999999</v>
      </c>
      <c r="I2061" s="1670">
        <f t="shared" si="321"/>
        <v>2473.8000000000002</v>
      </c>
      <c r="J2061" s="1669">
        <f t="shared" si="323"/>
        <v>19391.399999999998</v>
      </c>
      <c r="K2061" s="1708"/>
      <c r="L2061" s="1721"/>
      <c r="M2061" s="1710" t="s">
        <v>1016</v>
      </c>
      <c r="N2061" s="1711" t="s">
        <v>659</v>
      </c>
    </row>
    <row r="2062" spans="1:14" ht="24" customHeight="1">
      <c r="A2062" s="1712"/>
      <c r="B2062" s="1673" t="s">
        <v>139</v>
      </c>
      <c r="C2062" s="1674" t="s">
        <v>200</v>
      </c>
      <c r="D2062" s="1675">
        <f>SUM(D2059:D2061)*0.03</f>
        <v>60.170999999999999</v>
      </c>
      <c r="E2062" s="1676" t="s">
        <v>87</v>
      </c>
      <c r="F2062" s="1677">
        <v>25.83</v>
      </c>
      <c r="G2062" s="1677">
        <v>0</v>
      </c>
      <c r="H2062" s="1669">
        <f t="shared" si="320"/>
        <v>1554.2169299999998</v>
      </c>
      <c r="I2062" s="1669">
        <f t="shared" si="321"/>
        <v>0</v>
      </c>
      <c r="J2062" s="1678">
        <f t="shared" si="323"/>
        <v>1554.2169299999998</v>
      </c>
      <c r="K2062" s="1708"/>
      <c r="L2062" s="1721"/>
      <c r="M2062" s="1710" t="s">
        <v>1019</v>
      </c>
      <c r="N2062" s="1711"/>
    </row>
    <row r="2063" spans="1:14" ht="24" customHeight="1">
      <c r="A2063" s="1712"/>
      <c r="B2063" s="1673" t="s">
        <v>139</v>
      </c>
      <c r="C2063" s="1713" t="s">
        <v>1104</v>
      </c>
      <c r="D2063" s="1675">
        <v>4140</v>
      </c>
      <c r="E2063" s="1676" t="s">
        <v>87</v>
      </c>
      <c r="F2063" s="1669">
        <v>38.799999999999997</v>
      </c>
      <c r="G2063" s="1669">
        <v>12</v>
      </c>
      <c r="H2063" s="1669">
        <f t="shared" si="320"/>
        <v>160632</v>
      </c>
      <c r="I2063" s="1669">
        <f t="shared" si="321"/>
        <v>49680</v>
      </c>
      <c r="J2063" s="1678">
        <f t="shared" si="323"/>
        <v>210312</v>
      </c>
      <c r="K2063" s="1708"/>
      <c r="L2063" s="1721"/>
      <c r="M2063" s="1710" t="s">
        <v>1020</v>
      </c>
      <c r="N2063" s="1711" t="s">
        <v>664</v>
      </c>
    </row>
    <row r="2064" spans="1:14" ht="24" customHeight="1">
      <c r="A2064" s="1712"/>
      <c r="B2064" s="1673" t="s">
        <v>139</v>
      </c>
      <c r="C2064" s="1713" t="s">
        <v>1105</v>
      </c>
      <c r="D2064" s="1675">
        <v>414.4</v>
      </c>
      <c r="E2064" s="1676" t="s">
        <v>87</v>
      </c>
      <c r="F2064" s="1736">
        <v>36.4</v>
      </c>
      <c r="G2064" s="1669">
        <v>12</v>
      </c>
      <c r="H2064" s="1669">
        <f t="shared" si="320"/>
        <v>15084.159999999998</v>
      </c>
      <c r="I2064" s="1669">
        <f t="shared" si="321"/>
        <v>4972.7999999999993</v>
      </c>
      <c r="J2064" s="1678">
        <f t="shared" si="323"/>
        <v>20056.96</v>
      </c>
      <c r="K2064" s="1708"/>
      <c r="L2064" s="1721"/>
      <c r="M2064" s="1710" t="s">
        <v>1020</v>
      </c>
      <c r="N2064" s="1711" t="s">
        <v>664</v>
      </c>
    </row>
    <row r="2065" spans="1:14" ht="24" customHeight="1">
      <c r="A2065" s="1712"/>
      <c r="B2065" s="1673" t="s">
        <v>139</v>
      </c>
      <c r="C2065" s="1713" t="s">
        <v>1207</v>
      </c>
      <c r="D2065" s="1675">
        <v>155.69999999999999</v>
      </c>
      <c r="E2065" s="1676" t="s">
        <v>87</v>
      </c>
      <c r="F2065" s="1669">
        <v>30.1</v>
      </c>
      <c r="G2065" s="1669">
        <v>12</v>
      </c>
      <c r="H2065" s="1669">
        <f t="shared" si="320"/>
        <v>4686.57</v>
      </c>
      <c r="I2065" s="1669">
        <f t="shared" si="321"/>
        <v>1868.3999999999999</v>
      </c>
      <c r="J2065" s="1678">
        <f t="shared" si="323"/>
        <v>6554.9699999999993</v>
      </c>
      <c r="K2065" s="1708"/>
      <c r="L2065" s="1721"/>
      <c r="M2065" s="1710" t="s">
        <v>1020</v>
      </c>
      <c r="N2065" s="1711" t="s">
        <v>664</v>
      </c>
    </row>
    <row r="2066" spans="1:14" ht="24" customHeight="1">
      <c r="A2066" s="1712"/>
      <c r="B2066" s="1673" t="s">
        <v>139</v>
      </c>
      <c r="C2066" s="1674" t="s">
        <v>90</v>
      </c>
      <c r="D2066" s="1675">
        <v>22.8</v>
      </c>
      <c r="E2066" s="1676" t="s">
        <v>87</v>
      </c>
      <c r="F2066" s="1677">
        <v>21.2</v>
      </c>
      <c r="G2066" s="1677">
        <v>3.6</v>
      </c>
      <c r="H2066" s="1669">
        <f t="shared" si="320"/>
        <v>483.36</v>
      </c>
      <c r="I2066" s="1669">
        <f t="shared" si="321"/>
        <v>82.08</v>
      </c>
      <c r="J2066" s="1678">
        <f t="shared" si="323"/>
        <v>565.44000000000005</v>
      </c>
      <c r="K2066" s="1708"/>
      <c r="L2066" s="1721"/>
      <c r="M2066" s="1710" t="s">
        <v>1016</v>
      </c>
      <c r="N2066" s="1711" t="s">
        <v>659</v>
      </c>
    </row>
    <row r="2067" spans="1:14" ht="24" customHeight="1">
      <c r="A2067" s="1702"/>
      <c r="B2067" s="2369" t="s">
        <v>1035</v>
      </c>
      <c r="C2067" s="2373"/>
      <c r="D2067" s="1705"/>
      <c r="E2067" s="1706"/>
      <c r="F2067" s="1707"/>
      <c r="G2067" s="1707"/>
      <c r="H2067" s="1707"/>
      <c r="I2067" s="1707"/>
      <c r="J2067" s="1669"/>
      <c r="K2067" s="1708"/>
      <c r="L2067" s="1721"/>
      <c r="M2067" s="1711"/>
      <c r="N2067" s="1711"/>
    </row>
    <row r="2068" spans="1:14" ht="24" customHeight="1">
      <c r="A2068" s="1712"/>
      <c r="B2068" s="2368" t="s">
        <v>1034</v>
      </c>
      <c r="C2068" s="2370"/>
      <c r="D2068" s="1675"/>
      <c r="E2068" s="1676"/>
      <c r="F2068" s="1669"/>
      <c r="G2068" s="1669"/>
      <c r="H2068" s="1669"/>
      <c r="I2068" s="1669"/>
      <c r="J2068" s="1669"/>
      <c r="K2068" s="1708"/>
      <c r="L2068" s="1721"/>
      <c r="M2068" s="1711"/>
      <c r="N2068" s="1711"/>
    </row>
    <row r="2069" spans="1:14" ht="24" customHeight="1">
      <c r="A2069" s="1664"/>
      <c r="B2069" s="1665" t="s">
        <v>139</v>
      </c>
      <c r="C2069" s="1666" t="s">
        <v>228</v>
      </c>
      <c r="D2069" s="1667">
        <v>17</v>
      </c>
      <c r="E2069" s="1668" t="s">
        <v>85</v>
      </c>
      <c r="F2069" s="1744">
        <v>2679.9</v>
      </c>
      <c r="G2069" s="1744">
        <v>519</v>
      </c>
      <c r="H2069" s="1670">
        <f t="shared" ref="H2069:H2080" si="324">F2069*D2069</f>
        <v>45558.3</v>
      </c>
      <c r="I2069" s="1670">
        <f t="shared" ref="I2069:I2080" si="325">G2069*D2069</f>
        <v>8823</v>
      </c>
      <c r="J2069" s="1669">
        <f t="shared" ref="J2069:J2075" si="326">SUM(H2069:I2069)</f>
        <v>54381.3</v>
      </c>
      <c r="K2069" s="1708"/>
      <c r="L2069" s="1721"/>
      <c r="M2069" s="1710" t="s">
        <v>1016</v>
      </c>
      <c r="N2069" s="1711" t="s">
        <v>659</v>
      </c>
    </row>
    <row r="2070" spans="1:14" ht="24" customHeight="1">
      <c r="A2070" s="1664"/>
      <c r="B2070" s="1755" t="s">
        <v>1036</v>
      </c>
      <c r="C2070" s="1666"/>
      <c r="D2070" s="1667">
        <v>93.9</v>
      </c>
      <c r="E2070" s="1668"/>
      <c r="F2070" s="1744"/>
      <c r="G2070" s="1744"/>
      <c r="H2070" s="1670"/>
      <c r="I2070" s="1670"/>
      <c r="J2070" s="1669"/>
      <c r="K2070" s="1708"/>
      <c r="L2070" s="1721"/>
      <c r="M2070" s="1710"/>
      <c r="N2070" s="1711"/>
    </row>
    <row r="2071" spans="1:14" ht="24" customHeight="1">
      <c r="A2071" s="1712"/>
      <c r="B2071" s="1673" t="s">
        <v>139</v>
      </c>
      <c r="C2071" s="1674" t="s">
        <v>165</v>
      </c>
      <c r="D2071" s="1675">
        <f>D2070</f>
        <v>93.9</v>
      </c>
      <c r="E2071" s="1676" t="s">
        <v>86</v>
      </c>
      <c r="F2071" s="1736">
        <v>0</v>
      </c>
      <c r="G2071" s="1669">
        <v>121</v>
      </c>
      <c r="H2071" s="1669">
        <f t="shared" si="324"/>
        <v>0</v>
      </c>
      <c r="I2071" s="1669">
        <f t="shared" si="325"/>
        <v>11361.900000000001</v>
      </c>
      <c r="J2071" s="1669">
        <f t="shared" si="326"/>
        <v>11361.900000000001</v>
      </c>
      <c r="K2071" s="1708"/>
      <c r="L2071" s="1721"/>
      <c r="M2071" s="1710" t="s">
        <v>1017</v>
      </c>
      <c r="N2071" s="1711" t="s">
        <v>659</v>
      </c>
    </row>
    <row r="2072" spans="1:14" ht="24" customHeight="1">
      <c r="A2072" s="1712"/>
      <c r="B2072" s="1673" t="s">
        <v>139</v>
      </c>
      <c r="C2072" s="1674" t="s">
        <v>198</v>
      </c>
      <c r="D2072" s="1675">
        <f>D2070*0.5</f>
        <v>46.95</v>
      </c>
      <c r="E2072" s="1676" t="s">
        <v>164</v>
      </c>
      <c r="F2072" s="1736">
        <v>400</v>
      </c>
      <c r="G2072" s="1736">
        <v>0</v>
      </c>
      <c r="H2072" s="1669">
        <f t="shared" si="324"/>
        <v>18780</v>
      </c>
      <c r="I2072" s="1669">
        <f t="shared" si="325"/>
        <v>0</v>
      </c>
      <c r="J2072" s="1669">
        <f t="shared" si="326"/>
        <v>18780</v>
      </c>
      <c r="K2072" s="1708"/>
      <c r="L2072" s="1721"/>
      <c r="M2072" s="1710" t="s">
        <v>1018</v>
      </c>
      <c r="N2072" s="1711"/>
    </row>
    <row r="2073" spans="1:14" ht="24" customHeight="1">
      <c r="A2073" s="1712"/>
      <c r="B2073" s="1673" t="s">
        <v>139</v>
      </c>
      <c r="C2073" s="1674" t="s">
        <v>166</v>
      </c>
      <c r="D2073" s="1675">
        <f>D2072*0.3</f>
        <v>14.085000000000001</v>
      </c>
      <c r="E2073" s="1676" t="s">
        <v>164</v>
      </c>
      <c r="F2073" s="1736">
        <v>400</v>
      </c>
      <c r="G2073" s="1736">
        <v>0</v>
      </c>
      <c r="H2073" s="1669">
        <f t="shared" si="324"/>
        <v>5634</v>
      </c>
      <c r="I2073" s="1669">
        <f t="shared" si="325"/>
        <v>0</v>
      </c>
      <c r="J2073" s="1669">
        <f t="shared" si="326"/>
        <v>5634</v>
      </c>
      <c r="K2073" s="1708"/>
      <c r="L2073" s="1721"/>
      <c r="M2073" s="1710" t="s">
        <v>1018</v>
      </c>
      <c r="N2073" s="1685"/>
    </row>
    <row r="2074" spans="1:14" ht="24" customHeight="1">
      <c r="A2074" s="1712"/>
      <c r="B2074" s="1673" t="s">
        <v>139</v>
      </c>
      <c r="C2074" s="1674" t="s">
        <v>163</v>
      </c>
      <c r="D2074" s="1675">
        <f>D2070</f>
        <v>93.9</v>
      </c>
      <c r="E2074" s="1676" t="s">
        <v>83</v>
      </c>
      <c r="F2074" s="1736">
        <v>28</v>
      </c>
      <c r="G2074" s="1736">
        <v>0</v>
      </c>
      <c r="H2074" s="1669">
        <f t="shared" si="324"/>
        <v>2629.2000000000003</v>
      </c>
      <c r="I2074" s="1669">
        <f t="shared" si="325"/>
        <v>0</v>
      </c>
      <c r="J2074" s="1669">
        <f t="shared" si="326"/>
        <v>2629.2000000000003</v>
      </c>
      <c r="K2074" s="1708"/>
      <c r="L2074" s="1721"/>
      <c r="M2074" s="1710" t="s">
        <v>1018</v>
      </c>
      <c r="N2074" s="1685"/>
    </row>
    <row r="2075" spans="1:14" ht="24" customHeight="1">
      <c r="A2075" s="1712"/>
      <c r="B2075" s="1673" t="s">
        <v>139</v>
      </c>
      <c r="C2075" s="1674" t="s">
        <v>1781</v>
      </c>
      <c r="D2075" s="1675">
        <f>D2070*0.25</f>
        <v>23.475000000000001</v>
      </c>
      <c r="E2075" s="1676" t="s">
        <v>87</v>
      </c>
      <c r="F2075" s="1736">
        <v>23.89</v>
      </c>
      <c r="G2075" s="1736">
        <v>0</v>
      </c>
      <c r="H2075" s="1669">
        <f t="shared" si="324"/>
        <v>560.81775000000005</v>
      </c>
      <c r="I2075" s="1669">
        <f t="shared" si="325"/>
        <v>0</v>
      </c>
      <c r="J2075" s="1669">
        <f t="shared" si="326"/>
        <v>560.81775000000005</v>
      </c>
      <c r="K2075" s="1708"/>
      <c r="L2075" s="1721"/>
      <c r="M2075" s="1710" t="s">
        <v>660</v>
      </c>
      <c r="N2075" s="1685"/>
    </row>
    <row r="2076" spans="1:14" ht="24" customHeight="1">
      <c r="A2076" s="1664"/>
      <c r="B2076" s="2371" t="s">
        <v>1037</v>
      </c>
      <c r="C2076" s="2372"/>
      <c r="D2076" s="1667"/>
      <c r="E2076" s="1668"/>
      <c r="F2076" s="1670"/>
      <c r="G2076" s="1670"/>
      <c r="H2076" s="1670"/>
      <c r="I2076" s="1670"/>
      <c r="J2076" s="1670"/>
      <c r="K2076" s="1746"/>
      <c r="L2076" s="1721"/>
      <c r="M2076" s="1711"/>
      <c r="N2076" s="1711"/>
    </row>
    <row r="2077" spans="1:14" ht="24" customHeight="1">
      <c r="A2077" s="1712"/>
      <c r="B2077" s="1673" t="s">
        <v>139</v>
      </c>
      <c r="C2077" s="1674" t="s">
        <v>88</v>
      </c>
      <c r="D2077" s="1675">
        <v>374.4</v>
      </c>
      <c r="E2077" s="1676" t="s">
        <v>87</v>
      </c>
      <c r="F2077" s="1677">
        <v>21.4</v>
      </c>
      <c r="G2077" s="1677">
        <v>4.4000000000000004</v>
      </c>
      <c r="H2077" s="1669">
        <f t="shared" si="324"/>
        <v>8012.1599999999989</v>
      </c>
      <c r="I2077" s="1669">
        <f t="shared" si="325"/>
        <v>1647.3600000000001</v>
      </c>
      <c r="J2077" s="1669">
        <f>SUM(H2077:I2077)</f>
        <v>9659.5199999999986</v>
      </c>
      <c r="K2077" s="1708"/>
      <c r="L2077" s="1721"/>
      <c r="M2077" s="1710" t="s">
        <v>1016</v>
      </c>
      <c r="N2077" s="1711" t="s">
        <v>659</v>
      </c>
    </row>
    <row r="2078" spans="1:14" ht="24" customHeight="1">
      <c r="A2078" s="1712"/>
      <c r="B2078" s="1673" t="s">
        <v>139</v>
      </c>
      <c r="C2078" s="1674" t="s">
        <v>89</v>
      </c>
      <c r="D2078" s="1675">
        <v>1235.5</v>
      </c>
      <c r="E2078" s="1676" t="s">
        <v>87</v>
      </c>
      <c r="F2078" s="1677">
        <v>21.4</v>
      </c>
      <c r="G2078" s="1677">
        <v>3.6</v>
      </c>
      <c r="H2078" s="1669">
        <f t="shared" si="324"/>
        <v>26439.699999999997</v>
      </c>
      <c r="I2078" s="1669">
        <f t="shared" si="325"/>
        <v>4447.8</v>
      </c>
      <c r="J2078" s="1669">
        <f>SUM(H2078:I2078)</f>
        <v>30887.499999999996</v>
      </c>
      <c r="K2078" s="1708"/>
      <c r="L2078" s="1721"/>
      <c r="M2078" s="1710" t="s">
        <v>1016</v>
      </c>
      <c r="N2078" s="1711" t="s">
        <v>659</v>
      </c>
    </row>
    <row r="2079" spans="1:14" ht="24" customHeight="1">
      <c r="A2079" s="1712"/>
      <c r="B2079" s="1673" t="s">
        <v>139</v>
      </c>
      <c r="C2079" s="1674" t="s">
        <v>91</v>
      </c>
      <c r="D2079" s="1675">
        <v>590.29999999999995</v>
      </c>
      <c r="E2079" s="1676" t="s">
        <v>87</v>
      </c>
      <c r="F2079" s="1677">
        <v>21.2</v>
      </c>
      <c r="G2079" s="1677">
        <v>3.1</v>
      </c>
      <c r="H2079" s="1669">
        <f t="shared" si="324"/>
        <v>12514.359999999999</v>
      </c>
      <c r="I2079" s="1669">
        <f t="shared" si="325"/>
        <v>1829.9299999999998</v>
      </c>
      <c r="J2079" s="1669">
        <f>SUM(H2079:I2079)</f>
        <v>14344.289999999999</v>
      </c>
      <c r="K2079" s="1708"/>
      <c r="L2079" s="1721"/>
      <c r="M2079" s="1710" t="s">
        <v>1016</v>
      </c>
      <c r="N2079" s="1711" t="s">
        <v>659</v>
      </c>
    </row>
    <row r="2080" spans="1:14" ht="24" customHeight="1">
      <c r="A2080" s="1702"/>
      <c r="B2080" s="1703" t="s">
        <v>139</v>
      </c>
      <c r="C2080" s="1743" t="s">
        <v>200</v>
      </c>
      <c r="D2080" s="1705">
        <f>SUM(D2077:D2079)*0.03</f>
        <v>66.005999999999986</v>
      </c>
      <c r="E2080" s="1706" t="s">
        <v>87</v>
      </c>
      <c r="F2080" s="1747">
        <v>25.83</v>
      </c>
      <c r="G2080" s="1747">
        <v>0</v>
      </c>
      <c r="H2080" s="1707">
        <f t="shared" si="324"/>
        <v>1704.9349799999995</v>
      </c>
      <c r="I2080" s="1707">
        <f t="shared" si="325"/>
        <v>0</v>
      </c>
      <c r="J2080" s="1707">
        <f>SUM(H2080:I2080)</f>
        <v>1704.9349799999995</v>
      </c>
      <c r="K2080" s="1709"/>
      <c r="L2080" s="1721"/>
      <c r="M2080" s="1710" t="s">
        <v>1019</v>
      </c>
      <c r="N2080" s="1711"/>
    </row>
    <row r="2081" spans="1:14" ht="24" customHeight="1">
      <c r="A2081" s="1780"/>
      <c r="B2081" s="1780"/>
      <c r="C2081" s="1827" t="s">
        <v>133</v>
      </c>
      <c r="D2081" s="2365"/>
      <c r="E2081" s="2365"/>
      <c r="F2081" s="2365"/>
      <c r="G2081" s="2365"/>
      <c r="H2081" s="2365"/>
      <c r="I2081" s="2365"/>
      <c r="J2081" s="2365"/>
      <c r="K2081" s="2365"/>
      <c r="L2081" s="1721"/>
      <c r="M2081" s="1710"/>
      <c r="N2081" s="1711"/>
    </row>
    <row r="2082" spans="1:14" ht="24" customHeight="1">
      <c r="A2082" s="1780"/>
      <c r="B2082" s="2366" t="s">
        <v>1769</v>
      </c>
      <c r="C2082" s="2366"/>
      <c r="D2082" s="1828"/>
      <c r="E2082" s="1769"/>
      <c r="F2082" s="1828"/>
      <c r="G2082" s="1828" t="s">
        <v>134</v>
      </c>
      <c r="H2082" s="1828"/>
      <c r="I2082" s="1828"/>
      <c r="J2082" s="1828"/>
      <c r="K2082" s="1828"/>
      <c r="L2082" s="1721"/>
      <c r="M2082" s="1710"/>
      <c r="N2082" s="1711"/>
    </row>
    <row r="2083" spans="1:14" ht="24" customHeight="1">
      <c r="A2083" s="1780"/>
      <c r="B2083" s="2367" t="s">
        <v>1970</v>
      </c>
      <c r="C2083" s="2367"/>
      <c r="D2083" s="1831"/>
      <c r="E2083" s="1832"/>
      <c r="F2083" s="1833"/>
      <c r="G2083" s="1833" t="s">
        <v>1971</v>
      </c>
      <c r="H2083" s="1833"/>
      <c r="I2083" s="1833"/>
      <c r="J2083" s="1833"/>
      <c r="K2083" s="1833"/>
      <c r="L2083" s="1721"/>
      <c r="M2083" s="1710"/>
      <c r="N2083" s="1711"/>
    </row>
    <row r="2084" spans="1:14" ht="24" customHeight="1">
      <c r="A2084" s="1830"/>
      <c r="B2084" s="1828" t="s">
        <v>2031</v>
      </c>
      <c r="C2084" s="1830"/>
      <c r="D2084" s="1830"/>
      <c r="E2084" s="1830"/>
      <c r="F2084" s="1830"/>
      <c r="G2084" s="1828" t="s">
        <v>2031</v>
      </c>
      <c r="H2084" s="1830"/>
      <c r="I2084" s="1830"/>
      <c r="J2084" s="1830"/>
      <c r="K2084" s="1830"/>
      <c r="L2084" s="1721"/>
      <c r="M2084" s="1710"/>
      <c r="N2084" s="1711"/>
    </row>
    <row r="2085" spans="1:14" ht="24" customHeight="1">
      <c r="B2085" s="1721" t="s">
        <v>1984</v>
      </c>
      <c r="C2085" s="1830"/>
      <c r="D2085" s="1685"/>
      <c r="E2085" s="1685"/>
      <c r="G2085" s="1721" t="s">
        <v>1985</v>
      </c>
      <c r="H2085" s="1685"/>
      <c r="I2085" s="1685"/>
      <c r="J2085" s="1685"/>
      <c r="K2085" s="1685"/>
      <c r="L2085" s="1721"/>
      <c r="M2085" s="1710"/>
      <c r="N2085" s="1711"/>
    </row>
    <row r="2086" spans="1:14" ht="24" customHeight="1">
      <c r="B2086" s="1828" t="s">
        <v>670</v>
      </c>
      <c r="L2086" s="1721"/>
      <c r="M2086" s="1710"/>
      <c r="N2086" s="1711"/>
    </row>
    <row r="2087" spans="1:14" ht="24" customHeight="1">
      <c r="B2087" s="1721" t="s">
        <v>1972</v>
      </c>
      <c r="L2087" s="1721"/>
      <c r="M2087" s="1710"/>
      <c r="N2087" s="1711"/>
    </row>
    <row r="2088" spans="1:14" ht="24" customHeight="1">
      <c r="A2088" s="1712"/>
      <c r="B2088" s="2368" t="s">
        <v>1038</v>
      </c>
      <c r="C2088" s="2370"/>
      <c r="D2088" s="1675"/>
      <c r="E2088" s="1676"/>
      <c r="F2088" s="1669"/>
      <c r="G2088" s="1669"/>
      <c r="H2088" s="1669"/>
      <c r="I2088" s="1669"/>
      <c r="J2088" s="1669"/>
      <c r="K2088" s="1708"/>
      <c r="L2088" s="1721"/>
      <c r="M2088" s="1711"/>
      <c r="N2088" s="1711"/>
    </row>
    <row r="2089" spans="1:14" ht="24" customHeight="1">
      <c r="A2089" s="1712"/>
      <c r="B2089" s="2368" t="s">
        <v>1039</v>
      </c>
      <c r="C2089" s="2370"/>
      <c r="D2089" s="1675"/>
      <c r="E2089" s="1676"/>
      <c r="F2089" s="1669"/>
      <c r="G2089" s="1669"/>
      <c r="H2089" s="1669"/>
      <c r="I2089" s="1669"/>
      <c r="J2089" s="1669"/>
      <c r="K2089" s="1708"/>
      <c r="L2089" s="1721"/>
      <c r="M2089" s="1711"/>
      <c r="N2089" s="1711"/>
    </row>
    <row r="2090" spans="1:14" s="1685" customFormat="1" ht="24" customHeight="1">
      <c r="A2090" s="1702"/>
      <c r="B2090" s="1703" t="s">
        <v>139</v>
      </c>
      <c r="C2090" s="1743" t="s">
        <v>228</v>
      </c>
      <c r="D2090" s="1705">
        <v>14.2</v>
      </c>
      <c r="E2090" s="1706" t="s">
        <v>85</v>
      </c>
      <c r="F2090" s="1742">
        <v>2679.9</v>
      </c>
      <c r="G2090" s="1742">
        <v>519</v>
      </c>
      <c r="H2090" s="1707">
        <f t="shared" ref="H2090:H2101" si="327">F2090*D2090</f>
        <v>38054.58</v>
      </c>
      <c r="I2090" s="1707">
        <f t="shared" ref="I2090:I2101" si="328">G2090*D2090</f>
        <v>7369.7999999999993</v>
      </c>
      <c r="J2090" s="1707">
        <f t="shared" ref="J2090:J2096" si="329">SUM(H2090:I2090)</f>
        <v>45424.380000000005</v>
      </c>
      <c r="K2090" s="1708"/>
      <c r="L2090" s="1721"/>
      <c r="M2090" s="1710" t="s">
        <v>1016</v>
      </c>
      <c r="N2090" s="1711" t="s">
        <v>659</v>
      </c>
    </row>
    <row r="2091" spans="1:14" s="1685" customFormat="1" ht="24" customHeight="1">
      <c r="A2091" s="1712"/>
      <c r="B2091" s="2368" t="s">
        <v>1040</v>
      </c>
      <c r="C2091" s="2370"/>
      <c r="D2091" s="1675">
        <v>95</v>
      </c>
      <c r="E2091" s="1676"/>
      <c r="F2091" s="1669"/>
      <c r="G2091" s="1669"/>
      <c r="H2091" s="1669"/>
      <c r="I2091" s="1669"/>
      <c r="J2091" s="1669"/>
      <c r="K2091" s="1708"/>
      <c r="L2091" s="1721"/>
      <c r="M2091" s="1711"/>
      <c r="N2091" s="1711"/>
    </row>
    <row r="2092" spans="1:14" ht="24" customHeight="1">
      <c r="A2092" s="1712"/>
      <c r="B2092" s="1673" t="s">
        <v>139</v>
      </c>
      <c r="C2092" s="1674" t="s">
        <v>165</v>
      </c>
      <c r="D2092" s="1675">
        <f>D2091</f>
        <v>95</v>
      </c>
      <c r="E2092" s="1676" t="s">
        <v>86</v>
      </c>
      <c r="F2092" s="1736">
        <v>0</v>
      </c>
      <c r="G2092" s="1669">
        <v>121</v>
      </c>
      <c r="H2092" s="1669">
        <f t="shared" si="327"/>
        <v>0</v>
      </c>
      <c r="I2092" s="1669">
        <f t="shared" si="328"/>
        <v>11495</v>
      </c>
      <c r="J2092" s="1669">
        <f t="shared" si="329"/>
        <v>11495</v>
      </c>
      <c r="K2092" s="1708"/>
      <c r="L2092" s="1721"/>
      <c r="M2092" s="1710" t="s">
        <v>1017</v>
      </c>
      <c r="N2092" s="1711" t="s">
        <v>659</v>
      </c>
    </row>
    <row r="2093" spans="1:14" ht="24" customHeight="1">
      <c r="A2093" s="1712"/>
      <c r="B2093" s="1673" t="s">
        <v>139</v>
      </c>
      <c r="C2093" s="1674" t="s">
        <v>198</v>
      </c>
      <c r="D2093" s="1675">
        <f>D2091*0.5</f>
        <v>47.5</v>
      </c>
      <c r="E2093" s="1676" t="s">
        <v>164</v>
      </c>
      <c r="F2093" s="1736">
        <v>400</v>
      </c>
      <c r="G2093" s="1736">
        <v>0</v>
      </c>
      <c r="H2093" s="1669">
        <f t="shared" si="327"/>
        <v>19000</v>
      </c>
      <c r="I2093" s="1669">
        <f t="shared" si="328"/>
        <v>0</v>
      </c>
      <c r="J2093" s="1669">
        <f t="shared" si="329"/>
        <v>19000</v>
      </c>
      <c r="K2093" s="1708"/>
      <c r="L2093" s="1721"/>
      <c r="M2093" s="1710" t="s">
        <v>1018</v>
      </c>
      <c r="N2093" s="1711"/>
    </row>
    <row r="2094" spans="1:14" ht="24" customHeight="1">
      <c r="A2094" s="1712"/>
      <c r="B2094" s="1673" t="s">
        <v>139</v>
      </c>
      <c r="C2094" s="1674" t="s">
        <v>166</v>
      </c>
      <c r="D2094" s="1675">
        <f>D2093*0.3</f>
        <v>14.25</v>
      </c>
      <c r="E2094" s="1676" t="s">
        <v>164</v>
      </c>
      <c r="F2094" s="1736">
        <v>400</v>
      </c>
      <c r="G2094" s="1736">
        <v>0</v>
      </c>
      <c r="H2094" s="1669">
        <f t="shared" si="327"/>
        <v>5700</v>
      </c>
      <c r="I2094" s="1669">
        <f t="shared" si="328"/>
        <v>0</v>
      </c>
      <c r="J2094" s="1669">
        <f t="shared" si="329"/>
        <v>5700</v>
      </c>
      <c r="K2094" s="1708"/>
      <c r="L2094" s="1721"/>
      <c r="M2094" s="1710" t="s">
        <v>1018</v>
      </c>
      <c r="N2094" s="1685"/>
    </row>
    <row r="2095" spans="1:14" ht="24" customHeight="1">
      <c r="A2095" s="1712"/>
      <c r="B2095" s="1673" t="s">
        <v>139</v>
      </c>
      <c r="C2095" s="1674" t="s">
        <v>163</v>
      </c>
      <c r="D2095" s="1675">
        <f>D2091</f>
        <v>95</v>
      </c>
      <c r="E2095" s="1676" t="s">
        <v>83</v>
      </c>
      <c r="F2095" s="1736">
        <v>28</v>
      </c>
      <c r="G2095" s="1736">
        <v>0</v>
      </c>
      <c r="H2095" s="1669">
        <f t="shared" si="327"/>
        <v>2660</v>
      </c>
      <c r="I2095" s="1669">
        <f t="shared" si="328"/>
        <v>0</v>
      </c>
      <c r="J2095" s="1669">
        <f t="shared" si="329"/>
        <v>2660</v>
      </c>
      <c r="K2095" s="1708"/>
      <c r="L2095" s="1721"/>
      <c r="M2095" s="1710" t="s">
        <v>1018</v>
      </c>
      <c r="N2095" s="1685"/>
    </row>
    <row r="2096" spans="1:14" ht="24" customHeight="1">
      <c r="A2096" s="1712"/>
      <c r="B2096" s="1673" t="s">
        <v>139</v>
      </c>
      <c r="C2096" s="1674" t="s">
        <v>1781</v>
      </c>
      <c r="D2096" s="1675">
        <f>D2091*0.25</f>
        <v>23.75</v>
      </c>
      <c r="E2096" s="1676" t="s">
        <v>87</v>
      </c>
      <c r="F2096" s="1736">
        <v>23.89</v>
      </c>
      <c r="G2096" s="1736">
        <v>0</v>
      </c>
      <c r="H2096" s="1669">
        <f t="shared" si="327"/>
        <v>567.38750000000005</v>
      </c>
      <c r="I2096" s="1669">
        <f t="shared" si="328"/>
        <v>0</v>
      </c>
      <c r="J2096" s="1669">
        <f t="shared" si="329"/>
        <v>567.38750000000005</v>
      </c>
      <c r="K2096" s="1708"/>
      <c r="L2096" s="1721"/>
      <c r="M2096" s="1710" t="s">
        <v>660</v>
      </c>
      <c r="N2096" s="1685"/>
    </row>
    <row r="2097" spans="1:14" ht="24" customHeight="1">
      <c r="A2097" s="1712"/>
      <c r="B2097" s="2368" t="s">
        <v>1041</v>
      </c>
      <c r="C2097" s="2370"/>
      <c r="D2097" s="1675"/>
      <c r="E2097" s="1676"/>
      <c r="F2097" s="1669"/>
      <c r="G2097" s="1669"/>
      <c r="H2097" s="1669"/>
      <c r="I2097" s="1669"/>
      <c r="J2097" s="1669"/>
      <c r="K2097" s="1708"/>
      <c r="L2097" s="1721"/>
      <c r="M2097" s="1711"/>
      <c r="N2097" s="1711"/>
    </row>
    <row r="2098" spans="1:14" ht="24" customHeight="1">
      <c r="A2098" s="1712"/>
      <c r="B2098" s="1673" t="s">
        <v>139</v>
      </c>
      <c r="C2098" s="1674" t="s">
        <v>88</v>
      </c>
      <c r="D2098" s="1675">
        <v>288.60000000000002</v>
      </c>
      <c r="E2098" s="1676" t="s">
        <v>87</v>
      </c>
      <c r="F2098" s="1677">
        <v>21.4</v>
      </c>
      <c r="G2098" s="1677">
        <v>4.4000000000000004</v>
      </c>
      <c r="H2098" s="1669">
        <f t="shared" si="327"/>
        <v>6176.04</v>
      </c>
      <c r="I2098" s="1669">
        <f t="shared" si="328"/>
        <v>1269.8400000000001</v>
      </c>
      <c r="J2098" s="1669">
        <f>SUM(H2098:I2098)</f>
        <v>7445.88</v>
      </c>
      <c r="K2098" s="1708"/>
      <c r="L2098" s="1721"/>
      <c r="M2098" s="1710" t="s">
        <v>1016</v>
      </c>
      <c r="N2098" s="1711" t="s">
        <v>659</v>
      </c>
    </row>
    <row r="2099" spans="1:14" ht="24" customHeight="1">
      <c r="A2099" s="1712"/>
      <c r="B2099" s="1673" t="s">
        <v>139</v>
      </c>
      <c r="C2099" s="1674" t="s">
        <v>89</v>
      </c>
      <c r="D2099" s="1675">
        <v>1118.7</v>
      </c>
      <c r="E2099" s="1676" t="s">
        <v>87</v>
      </c>
      <c r="F2099" s="1677">
        <v>21.4</v>
      </c>
      <c r="G2099" s="1677">
        <v>3.6</v>
      </c>
      <c r="H2099" s="1669">
        <f t="shared" si="327"/>
        <v>23940.18</v>
      </c>
      <c r="I2099" s="1669">
        <f t="shared" si="328"/>
        <v>4027.32</v>
      </c>
      <c r="J2099" s="1669">
        <f>SUM(H2099:I2099)</f>
        <v>27967.5</v>
      </c>
      <c r="K2099" s="1708"/>
      <c r="L2099" s="1721"/>
      <c r="M2099" s="1710" t="s">
        <v>1016</v>
      </c>
      <c r="N2099" s="1711" t="s">
        <v>659</v>
      </c>
    </row>
    <row r="2100" spans="1:14" ht="24" customHeight="1">
      <c r="A2100" s="1712"/>
      <c r="B2100" s="1673" t="s">
        <v>139</v>
      </c>
      <c r="C2100" s="1674" t="s">
        <v>1014</v>
      </c>
      <c r="D2100" s="1675">
        <v>841.5</v>
      </c>
      <c r="E2100" s="1676" t="s">
        <v>87</v>
      </c>
      <c r="F2100" s="1677">
        <v>21.2</v>
      </c>
      <c r="G2100" s="1677">
        <v>3.1</v>
      </c>
      <c r="H2100" s="1669">
        <f t="shared" si="327"/>
        <v>17839.8</v>
      </c>
      <c r="I2100" s="1669">
        <f t="shared" si="328"/>
        <v>2608.65</v>
      </c>
      <c r="J2100" s="1669">
        <f>SUM(H2100:I2100)</f>
        <v>20448.45</v>
      </c>
      <c r="K2100" s="1708"/>
      <c r="L2100" s="1721"/>
      <c r="M2100" s="1710" t="s">
        <v>1016</v>
      </c>
      <c r="N2100" s="1711" t="s">
        <v>659</v>
      </c>
    </row>
    <row r="2101" spans="1:14" ht="24" customHeight="1">
      <c r="A2101" s="1712"/>
      <c r="B2101" s="1673" t="s">
        <v>139</v>
      </c>
      <c r="C2101" s="1674" t="s">
        <v>200</v>
      </c>
      <c r="D2101" s="1675">
        <f>SUM(D2098:D2100)*0.03</f>
        <v>67.463999999999999</v>
      </c>
      <c r="E2101" s="1676" t="s">
        <v>87</v>
      </c>
      <c r="F2101" s="1677">
        <v>25.83</v>
      </c>
      <c r="G2101" s="1677">
        <v>0</v>
      </c>
      <c r="H2101" s="1669">
        <f t="shared" si="327"/>
        <v>1742.59512</v>
      </c>
      <c r="I2101" s="1669">
        <f t="shared" si="328"/>
        <v>0</v>
      </c>
      <c r="J2101" s="1669">
        <f>SUM(H2101:I2101)</f>
        <v>1742.59512</v>
      </c>
      <c r="K2101" s="1708"/>
      <c r="L2101" s="1721"/>
      <c r="M2101" s="1710" t="s">
        <v>1019</v>
      </c>
      <c r="N2101" s="1711"/>
    </row>
    <row r="2102" spans="1:14" ht="24" customHeight="1">
      <c r="A2102" s="1712"/>
      <c r="B2102" s="2368" t="s">
        <v>98</v>
      </c>
      <c r="C2102" s="2370"/>
      <c r="D2102" s="1675"/>
      <c r="E2102" s="1676"/>
      <c r="F2102" s="1669"/>
      <c r="G2102" s="1669"/>
      <c r="H2102" s="1669"/>
      <c r="I2102" s="1669"/>
      <c r="J2102" s="1669"/>
      <c r="K2102" s="1708"/>
      <c r="L2102" s="1721"/>
      <c r="M2102" s="1711"/>
      <c r="N2102" s="1711"/>
    </row>
    <row r="2103" spans="1:14" s="1685" customFormat="1" ht="24" customHeight="1">
      <c r="A2103" s="1664"/>
      <c r="B2103" s="1665" t="s">
        <v>107</v>
      </c>
      <c r="C2103" s="1666" t="s">
        <v>1116</v>
      </c>
      <c r="D2103" s="1667">
        <v>371.6</v>
      </c>
      <c r="E2103" s="1668" t="s">
        <v>86</v>
      </c>
      <c r="F2103" s="1670">
        <v>600</v>
      </c>
      <c r="G2103" s="1670">
        <v>100</v>
      </c>
      <c r="H2103" s="1670">
        <f>F2103*D2103</f>
        <v>222960</v>
      </c>
      <c r="I2103" s="1670">
        <f>G2103*D2103</f>
        <v>37160</v>
      </c>
      <c r="J2103" s="1670">
        <f>SUM(H2103:I2103)</f>
        <v>260120</v>
      </c>
      <c r="K2103" s="1708"/>
      <c r="L2103" s="1746" t="s">
        <v>1918</v>
      </c>
      <c r="M2103" s="1710" t="s">
        <v>622</v>
      </c>
      <c r="N2103" s="1711" t="s">
        <v>665</v>
      </c>
    </row>
    <row r="2104" spans="1:14" s="1685" customFormat="1" ht="24" customHeight="1">
      <c r="A2104" s="1664"/>
      <c r="B2104" s="1665"/>
      <c r="C2104" s="1666"/>
      <c r="D2104" s="1667"/>
      <c r="E2104" s="1668"/>
      <c r="F2104" s="1670"/>
      <c r="G2104" s="1670"/>
      <c r="H2104" s="1670"/>
      <c r="I2104" s="1670"/>
      <c r="J2104" s="1670"/>
      <c r="K2104" s="1746"/>
      <c r="L2104" s="1721"/>
      <c r="M2104" s="1710"/>
      <c r="N2104" s="1711"/>
    </row>
    <row r="2105" spans="1:14" ht="24" customHeight="1" thickBot="1">
      <c r="A2105" s="1722"/>
      <c r="B2105" s="1753"/>
      <c r="C2105" s="1724" t="str">
        <f>"รวมราคา "&amp;B1974</f>
        <v>รวมราคา งานโครงสร้างชั้น ดาดฟ้า</v>
      </c>
      <c r="D2105" s="1725"/>
      <c r="E2105" s="1726"/>
      <c r="F2105" s="1727"/>
      <c r="G2105" s="1727"/>
      <c r="H2105" s="1727">
        <f>SUM(H1975:H2103)</f>
        <v>2746888.0174400005</v>
      </c>
      <c r="I2105" s="1727">
        <f>SUM(I1975:I2103)</f>
        <v>548505.93000000017</v>
      </c>
      <c r="J2105" s="1727">
        <f>SUM(J1975:J2103)</f>
        <v>3295393.9474399998</v>
      </c>
      <c r="K2105" s="1727"/>
      <c r="L2105" s="1759"/>
      <c r="M2105" s="1701"/>
      <c r="N2105" s="1701"/>
    </row>
    <row r="2106" spans="1:14" ht="24" customHeight="1" thickTop="1">
      <c r="A2106" s="1780"/>
      <c r="B2106" s="1780"/>
      <c r="C2106" s="1827" t="s">
        <v>133</v>
      </c>
      <c r="D2106" s="2365"/>
      <c r="E2106" s="2365"/>
      <c r="F2106" s="2365"/>
      <c r="G2106" s="2365"/>
      <c r="H2106" s="2365"/>
      <c r="I2106" s="2365"/>
      <c r="J2106" s="2365"/>
      <c r="K2106" s="2365"/>
      <c r="L2106" s="1759"/>
      <c r="M2106" s="1701"/>
      <c r="N2106" s="1701"/>
    </row>
    <row r="2107" spans="1:14" ht="24" customHeight="1">
      <c r="A2107" s="1780"/>
      <c r="B2107" s="2366" t="s">
        <v>1769</v>
      </c>
      <c r="C2107" s="2366"/>
      <c r="D2107" s="1828"/>
      <c r="E2107" s="1769"/>
      <c r="F2107" s="1828"/>
      <c r="G2107" s="1828" t="s">
        <v>134</v>
      </c>
      <c r="H2107" s="1828"/>
      <c r="I2107" s="1828"/>
      <c r="J2107" s="1828"/>
      <c r="K2107" s="1828"/>
      <c r="L2107" s="1759"/>
      <c r="M2107" s="1701"/>
      <c r="N2107" s="1701"/>
    </row>
    <row r="2108" spans="1:14" ht="24" customHeight="1">
      <c r="A2108" s="1780"/>
      <c r="B2108" s="2367" t="s">
        <v>1970</v>
      </c>
      <c r="C2108" s="2367"/>
      <c r="D2108" s="1831"/>
      <c r="E2108" s="1832"/>
      <c r="F2108" s="1833"/>
      <c r="G2108" s="1833" t="s">
        <v>1971</v>
      </c>
      <c r="H2108" s="1833"/>
      <c r="I2108" s="1833"/>
      <c r="J2108" s="1833"/>
      <c r="K2108" s="1833"/>
      <c r="L2108" s="1759"/>
      <c r="M2108" s="1701"/>
      <c r="N2108" s="1701"/>
    </row>
    <row r="2109" spans="1:14" ht="24" customHeight="1">
      <c r="A2109" s="1830"/>
      <c r="B2109" s="1828" t="s">
        <v>2031</v>
      </c>
      <c r="C2109" s="1830"/>
      <c r="D2109" s="1830"/>
      <c r="E2109" s="1830"/>
      <c r="F2109" s="1830"/>
      <c r="G2109" s="1828" t="s">
        <v>2031</v>
      </c>
      <c r="H2109" s="1830"/>
      <c r="I2109" s="1830"/>
      <c r="J2109" s="1830"/>
      <c r="K2109" s="1830"/>
      <c r="L2109" s="1759"/>
      <c r="M2109" s="1701"/>
      <c r="N2109" s="1701"/>
    </row>
    <row r="2110" spans="1:14" ht="24" customHeight="1">
      <c r="B2110" s="1721" t="s">
        <v>1984</v>
      </c>
      <c r="C2110" s="1830"/>
      <c r="D2110" s="1685"/>
      <c r="E2110" s="1685"/>
      <c r="G2110" s="1721" t="s">
        <v>1985</v>
      </c>
      <c r="H2110" s="1685"/>
      <c r="I2110" s="1685"/>
      <c r="J2110" s="1685"/>
      <c r="K2110" s="1685"/>
      <c r="L2110" s="1759"/>
      <c r="M2110" s="1701"/>
      <c r="N2110" s="1701"/>
    </row>
    <row r="2111" spans="1:14" ht="24" customHeight="1">
      <c r="B2111" s="1828" t="s">
        <v>670</v>
      </c>
      <c r="L2111" s="1759"/>
      <c r="M2111" s="1701"/>
      <c r="N2111" s="1701"/>
    </row>
    <row r="2112" spans="1:14" ht="24" customHeight="1">
      <c r="B2112" s="1721" t="s">
        <v>1972</v>
      </c>
      <c r="L2112" s="1759"/>
      <c r="M2112" s="1701"/>
      <c r="N2112" s="1701"/>
    </row>
    <row r="2113" spans="1:14" ht="24" customHeight="1">
      <c r="A2113" s="1791">
        <v>1.1299999999999999</v>
      </c>
      <c r="B2113" s="2374" t="s">
        <v>259</v>
      </c>
      <c r="C2113" s="2375"/>
      <c r="D2113" s="1731"/>
      <c r="E2113" s="1732"/>
      <c r="F2113" s="1733"/>
      <c r="G2113" s="1733"/>
      <c r="H2113" s="1733"/>
      <c r="I2113" s="1733"/>
      <c r="J2113" s="1733"/>
      <c r="K2113" s="1733"/>
      <c r="L2113" s="1759"/>
      <c r="M2113" s="1701"/>
      <c r="N2113" s="1701"/>
    </row>
    <row r="2114" spans="1:14" ht="24" customHeight="1">
      <c r="A2114" s="1702"/>
      <c r="B2114" s="2369" t="s">
        <v>245</v>
      </c>
      <c r="C2114" s="2373"/>
      <c r="D2114" s="1705"/>
      <c r="E2114" s="1706"/>
      <c r="F2114" s="1707"/>
      <c r="G2114" s="1707"/>
      <c r="H2114" s="1707"/>
      <c r="I2114" s="1707"/>
      <c r="J2114" s="1707"/>
      <c r="K2114" s="1709"/>
      <c r="L2114" s="1721"/>
      <c r="M2114" s="1711"/>
      <c r="N2114" s="1711"/>
    </row>
    <row r="2115" spans="1:14" ht="24" customHeight="1">
      <c r="A2115" s="1712"/>
      <c r="B2115" s="2368" t="s">
        <v>423</v>
      </c>
      <c r="C2115" s="2370"/>
      <c r="D2115" s="1675"/>
      <c r="E2115" s="1676"/>
      <c r="F2115" s="1669"/>
      <c r="G2115" s="1669"/>
      <c r="H2115" s="1669"/>
      <c r="I2115" s="1669"/>
      <c r="J2115" s="1669"/>
      <c r="K2115" s="1708"/>
      <c r="L2115" s="1721"/>
      <c r="M2115" s="1711"/>
      <c r="N2115" s="1711"/>
    </row>
    <row r="2116" spans="1:14" ht="24" customHeight="1">
      <c r="A2116" s="1712"/>
      <c r="B2116" s="1673" t="s">
        <v>139</v>
      </c>
      <c r="C2116" s="1674" t="s">
        <v>228</v>
      </c>
      <c r="D2116" s="1675">
        <v>62.3</v>
      </c>
      <c r="E2116" s="1676" t="s">
        <v>85</v>
      </c>
      <c r="F2116" s="1736">
        <v>2679.9</v>
      </c>
      <c r="G2116" s="1736">
        <v>519</v>
      </c>
      <c r="H2116" s="1669">
        <f t="shared" ref="H2116:H2125" si="330">F2116*D2116</f>
        <v>166957.76999999999</v>
      </c>
      <c r="I2116" s="1669">
        <f t="shared" ref="I2116:I2125" si="331">G2116*D2116</f>
        <v>32333.699999999997</v>
      </c>
      <c r="J2116" s="1669">
        <f t="shared" ref="J2116:J2123" si="332">SUM(H2116:I2116)</f>
        <v>199291.46999999997</v>
      </c>
      <c r="K2116" s="1708"/>
      <c r="L2116" s="1721"/>
      <c r="M2116" s="1710" t="s">
        <v>1016</v>
      </c>
      <c r="N2116" s="1711" t="s">
        <v>659</v>
      </c>
    </row>
    <row r="2117" spans="1:14" s="1685" customFormat="1" ht="24" customHeight="1">
      <c r="A2117" s="1664"/>
      <c r="B2117" s="2371" t="s">
        <v>225</v>
      </c>
      <c r="C2117" s="2372"/>
      <c r="D2117" s="1667">
        <v>360.4</v>
      </c>
      <c r="E2117" s="1668"/>
      <c r="F2117" s="1670"/>
      <c r="G2117" s="1670"/>
      <c r="H2117" s="1670"/>
      <c r="I2117" s="1670"/>
      <c r="J2117" s="1670"/>
      <c r="K2117" s="1746"/>
      <c r="L2117" s="1721"/>
      <c r="M2117" s="1711"/>
      <c r="N2117" s="1711"/>
    </row>
    <row r="2118" spans="1:14" s="1685" customFormat="1" ht="24" customHeight="1">
      <c r="A2118" s="1712"/>
      <c r="B2118" s="1673" t="s">
        <v>139</v>
      </c>
      <c r="C2118" s="1674" t="s">
        <v>165</v>
      </c>
      <c r="D2118" s="1675">
        <f>D2117</f>
        <v>360.4</v>
      </c>
      <c r="E2118" s="1676" t="s">
        <v>86</v>
      </c>
      <c r="F2118" s="1669"/>
      <c r="G2118" s="1669">
        <v>121</v>
      </c>
      <c r="H2118" s="1669">
        <f t="shared" si="330"/>
        <v>0</v>
      </c>
      <c r="I2118" s="1669">
        <f t="shared" si="331"/>
        <v>43608.399999999994</v>
      </c>
      <c r="J2118" s="1669">
        <f t="shared" si="332"/>
        <v>43608.399999999994</v>
      </c>
      <c r="K2118" s="1708"/>
      <c r="L2118" s="1721"/>
      <c r="M2118" s="1710" t="s">
        <v>1017</v>
      </c>
      <c r="N2118" s="1711" t="s">
        <v>659</v>
      </c>
    </row>
    <row r="2119" spans="1:14" ht="24" customHeight="1">
      <c r="A2119" s="1712"/>
      <c r="B2119" s="1673" t="s">
        <v>139</v>
      </c>
      <c r="C2119" s="1674" t="s">
        <v>198</v>
      </c>
      <c r="D2119" s="1675">
        <f>D2117*0.5</f>
        <v>180.2</v>
      </c>
      <c r="E2119" s="1676" t="s">
        <v>164</v>
      </c>
      <c r="F2119" s="1669">
        <v>400</v>
      </c>
      <c r="G2119" s="1669"/>
      <c r="H2119" s="1669">
        <f t="shared" si="330"/>
        <v>72080</v>
      </c>
      <c r="I2119" s="1669">
        <f t="shared" si="331"/>
        <v>0</v>
      </c>
      <c r="J2119" s="1669">
        <f t="shared" si="332"/>
        <v>72080</v>
      </c>
      <c r="K2119" s="1708"/>
      <c r="L2119" s="1721"/>
      <c r="M2119" s="1710" t="s">
        <v>1018</v>
      </c>
      <c r="N2119" s="1711"/>
    </row>
    <row r="2120" spans="1:14" ht="24" customHeight="1">
      <c r="A2120" s="1712"/>
      <c r="B2120" s="1673" t="s">
        <v>139</v>
      </c>
      <c r="C2120" s="1674" t="s">
        <v>166</v>
      </c>
      <c r="D2120" s="1675">
        <f>D2119*0.3</f>
        <v>54.059999999999995</v>
      </c>
      <c r="E2120" s="1676" t="s">
        <v>164</v>
      </c>
      <c r="F2120" s="1669">
        <v>400</v>
      </c>
      <c r="G2120" s="1669">
        <v>0</v>
      </c>
      <c r="H2120" s="1669">
        <f t="shared" si="330"/>
        <v>21623.999999999996</v>
      </c>
      <c r="I2120" s="1669">
        <f t="shared" si="331"/>
        <v>0</v>
      </c>
      <c r="J2120" s="1669">
        <f t="shared" si="332"/>
        <v>21623.999999999996</v>
      </c>
      <c r="K2120" s="1708"/>
      <c r="L2120" s="1721"/>
      <c r="M2120" s="1710" t="s">
        <v>1018</v>
      </c>
      <c r="N2120" s="1711"/>
    </row>
    <row r="2121" spans="1:14" ht="24" customHeight="1">
      <c r="A2121" s="1712"/>
      <c r="B2121" s="1673" t="s">
        <v>139</v>
      </c>
      <c r="C2121" s="1674" t="s">
        <v>163</v>
      </c>
      <c r="D2121" s="1675">
        <f>D2117</f>
        <v>360.4</v>
      </c>
      <c r="E2121" s="1676" t="s">
        <v>83</v>
      </c>
      <c r="F2121" s="1669">
        <v>28</v>
      </c>
      <c r="G2121" s="1669">
        <v>0</v>
      </c>
      <c r="H2121" s="1669">
        <f t="shared" si="330"/>
        <v>10091.199999999999</v>
      </c>
      <c r="I2121" s="1669">
        <f t="shared" si="331"/>
        <v>0</v>
      </c>
      <c r="J2121" s="1669">
        <f t="shared" si="332"/>
        <v>10091.199999999999</v>
      </c>
      <c r="K2121" s="1708"/>
      <c r="L2121" s="1721"/>
      <c r="M2121" s="1710" t="s">
        <v>1018</v>
      </c>
      <c r="N2121" s="1711"/>
    </row>
    <row r="2122" spans="1:14" ht="24" customHeight="1">
      <c r="A2122" s="1712"/>
      <c r="B2122" s="1673" t="s">
        <v>139</v>
      </c>
      <c r="C2122" s="1674" t="s">
        <v>1781</v>
      </c>
      <c r="D2122" s="1675">
        <f>D2117*0.25</f>
        <v>90.1</v>
      </c>
      <c r="E2122" s="1676" t="s">
        <v>87</v>
      </c>
      <c r="F2122" s="1736">
        <v>23.89</v>
      </c>
      <c r="G2122" s="1736">
        <v>0</v>
      </c>
      <c r="H2122" s="1669">
        <f t="shared" si="330"/>
        <v>2152.489</v>
      </c>
      <c r="I2122" s="1669">
        <f t="shared" si="331"/>
        <v>0</v>
      </c>
      <c r="J2122" s="1669">
        <f t="shared" si="332"/>
        <v>2152.489</v>
      </c>
      <c r="K2122" s="1708"/>
      <c r="L2122" s="1721"/>
      <c r="M2122" s="1710" t="s">
        <v>660</v>
      </c>
      <c r="N2122" s="1711"/>
    </row>
    <row r="2123" spans="1:14" ht="24" customHeight="1">
      <c r="A2123" s="1712"/>
      <c r="B2123" s="2368" t="s">
        <v>246</v>
      </c>
      <c r="C2123" s="2370"/>
      <c r="D2123" s="1675"/>
      <c r="E2123" s="1676"/>
      <c r="F2123" s="1669"/>
      <c r="G2123" s="1669"/>
      <c r="H2123" s="1669">
        <f t="shared" si="330"/>
        <v>0</v>
      </c>
      <c r="I2123" s="1669">
        <f t="shared" si="331"/>
        <v>0</v>
      </c>
      <c r="J2123" s="1669">
        <f t="shared" si="332"/>
        <v>0</v>
      </c>
      <c r="K2123" s="1708"/>
      <c r="L2123" s="1721"/>
      <c r="M2123" s="1711"/>
      <c r="N2123" s="1711"/>
    </row>
    <row r="2124" spans="1:14" ht="24" customHeight="1">
      <c r="A2124" s="1712"/>
      <c r="B2124" s="1673" t="s">
        <v>139</v>
      </c>
      <c r="C2124" s="1674" t="s">
        <v>89</v>
      </c>
      <c r="D2124" s="1675">
        <v>6494.7</v>
      </c>
      <c r="E2124" s="1676" t="s">
        <v>87</v>
      </c>
      <c r="F2124" s="1677">
        <v>21.4</v>
      </c>
      <c r="G2124" s="1677">
        <v>3.6</v>
      </c>
      <c r="H2124" s="1669">
        <f t="shared" si="330"/>
        <v>138986.57999999999</v>
      </c>
      <c r="I2124" s="1669">
        <f t="shared" si="331"/>
        <v>23380.92</v>
      </c>
      <c r="J2124" s="1669">
        <f>SUM(H2124:I2124)</f>
        <v>162367.5</v>
      </c>
      <c r="K2124" s="1708"/>
      <c r="L2124" s="1721"/>
      <c r="M2124" s="1710" t="s">
        <v>1016</v>
      </c>
      <c r="N2124" s="1711" t="s">
        <v>659</v>
      </c>
    </row>
    <row r="2125" spans="1:14" ht="24" customHeight="1">
      <c r="A2125" s="1712"/>
      <c r="B2125" s="1673" t="s">
        <v>139</v>
      </c>
      <c r="C2125" s="1674" t="s">
        <v>200</v>
      </c>
      <c r="D2125" s="1675">
        <f>SUM(D2123:D2124)*0.03</f>
        <v>194.84099999999998</v>
      </c>
      <c r="E2125" s="1676" t="s">
        <v>87</v>
      </c>
      <c r="F2125" s="1677">
        <v>25.83</v>
      </c>
      <c r="G2125" s="1677">
        <v>0</v>
      </c>
      <c r="H2125" s="1669">
        <f t="shared" si="330"/>
        <v>5032.7430299999987</v>
      </c>
      <c r="I2125" s="1669">
        <f t="shared" si="331"/>
        <v>0</v>
      </c>
      <c r="J2125" s="1669">
        <f>SUM(H2125:I2125)</f>
        <v>5032.7430299999987</v>
      </c>
      <c r="K2125" s="1708"/>
      <c r="L2125" s="1721"/>
      <c r="M2125" s="1710" t="s">
        <v>1019</v>
      </c>
      <c r="N2125" s="1711"/>
    </row>
    <row r="2126" spans="1:14" ht="24" customHeight="1">
      <c r="A2126" s="1712"/>
      <c r="B2126" s="2368" t="s">
        <v>247</v>
      </c>
      <c r="C2126" s="2370"/>
      <c r="D2126" s="1675"/>
      <c r="E2126" s="1676"/>
      <c r="F2126" s="1669"/>
      <c r="G2126" s="1669"/>
      <c r="H2126" s="1669"/>
      <c r="I2126" s="1669"/>
      <c r="J2126" s="1669"/>
      <c r="K2126" s="1708"/>
      <c r="L2126" s="1721"/>
      <c r="M2126" s="1711"/>
      <c r="N2126" s="1711"/>
    </row>
    <row r="2127" spans="1:14" ht="24" customHeight="1">
      <c r="A2127" s="1712"/>
      <c r="B2127" s="2368" t="s">
        <v>415</v>
      </c>
      <c r="C2127" s="2370"/>
      <c r="D2127" s="1675"/>
      <c r="E2127" s="1676"/>
      <c r="F2127" s="1669"/>
      <c r="G2127" s="1669"/>
      <c r="H2127" s="1669"/>
      <c r="I2127" s="1669"/>
      <c r="J2127" s="1669"/>
      <c r="K2127" s="1708"/>
      <c r="L2127" s="1721"/>
      <c r="M2127" s="1711"/>
      <c r="N2127" s="1711"/>
    </row>
    <row r="2128" spans="1:14" ht="24" customHeight="1">
      <c r="A2128" s="1702"/>
      <c r="B2128" s="1703" t="s">
        <v>139</v>
      </c>
      <c r="C2128" s="1743" t="s">
        <v>228</v>
      </c>
      <c r="D2128" s="1705">
        <v>5.4</v>
      </c>
      <c r="E2128" s="1706" t="s">
        <v>85</v>
      </c>
      <c r="F2128" s="1742">
        <v>2679.9</v>
      </c>
      <c r="G2128" s="1742">
        <v>519</v>
      </c>
      <c r="H2128" s="1707">
        <f t="shared" ref="H2128:H2134" si="333">F2128*D2128</f>
        <v>14471.460000000001</v>
      </c>
      <c r="I2128" s="1707">
        <f t="shared" ref="I2128:I2134" si="334">G2128*D2128</f>
        <v>2802.6000000000004</v>
      </c>
      <c r="J2128" s="1707">
        <f t="shared" ref="J2128:J2134" si="335">SUM(H2128:I2128)</f>
        <v>17274.060000000001</v>
      </c>
      <c r="K2128" s="1709"/>
      <c r="L2128" s="1721"/>
      <c r="M2128" s="1710" t="s">
        <v>1016</v>
      </c>
      <c r="N2128" s="1711" t="s">
        <v>659</v>
      </c>
    </row>
    <row r="2129" spans="1:14" ht="24" customHeight="1">
      <c r="A2129" s="1712"/>
      <c r="B2129" s="2368" t="s">
        <v>226</v>
      </c>
      <c r="C2129" s="2370"/>
      <c r="D2129" s="1675">
        <v>35.700000000000003</v>
      </c>
      <c r="E2129" s="1676"/>
      <c r="F2129" s="1736"/>
      <c r="G2129" s="1736"/>
      <c r="H2129" s="1669"/>
      <c r="I2129" s="1669"/>
      <c r="J2129" s="1669"/>
      <c r="K2129" s="1708"/>
      <c r="L2129" s="1721"/>
      <c r="M2129" s="1711"/>
      <c r="N2129" s="1711"/>
    </row>
    <row r="2130" spans="1:14" ht="24" customHeight="1">
      <c r="A2130" s="1712"/>
      <c r="B2130" s="1673" t="s">
        <v>139</v>
      </c>
      <c r="C2130" s="1674" t="s">
        <v>165</v>
      </c>
      <c r="D2130" s="1675">
        <f>D2129</f>
        <v>35.700000000000003</v>
      </c>
      <c r="E2130" s="1676" t="s">
        <v>86</v>
      </c>
      <c r="F2130" s="1736">
        <v>0</v>
      </c>
      <c r="G2130" s="1669">
        <v>121</v>
      </c>
      <c r="H2130" s="1669">
        <f t="shared" si="333"/>
        <v>0</v>
      </c>
      <c r="I2130" s="1669">
        <f t="shared" si="334"/>
        <v>4319.7000000000007</v>
      </c>
      <c r="J2130" s="1669">
        <f t="shared" si="335"/>
        <v>4319.7000000000007</v>
      </c>
      <c r="K2130" s="1708"/>
      <c r="L2130" s="1721"/>
      <c r="M2130" s="1710" t="s">
        <v>1017</v>
      </c>
      <c r="N2130" s="1711" t="s">
        <v>659</v>
      </c>
    </row>
    <row r="2131" spans="1:14" ht="24" customHeight="1">
      <c r="A2131" s="1702"/>
      <c r="B2131" s="1703" t="s">
        <v>139</v>
      </c>
      <c r="C2131" s="1743" t="s">
        <v>198</v>
      </c>
      <c r="D2131" s="1705">
        <f>D2129*0.5</f>
        <v>17.850000000000001</v>
      </c>
      <c r="E2131" s="1706" t="s">
        <v>164</v>
      </c>
      <c r="F2131" s="1742">
        <v>400</v>
      </c>
      <c r="G2131" s="1742">
        <v>0</v>
      </c>
      <c r="H2131" s="1707">
        <f t="shared" si="333"/>
        <v>7140.0000000000009</v>
      </c>
      <c r="I2131" s="1707">
        <f t="shared" si="334"/>
        <v>0</v>
      </c>
      <c r="J2131" s="1707">
        <f t="shared" si="335"/>
        <v>7140.0000000000009</v>
      </c>
      <c r="K2131" s="1709"/>
      <c r="L2131" s="1721"/>
      <c r="M2131" s="1710" t="s">
        <v>1018</v>
      </c>
      <c r="N2131" s="1711"/>
    </row>
    <row r="2132" spans="1:14" ht="24" customHeight="1">
      <c r="A2132" s="1702"/>
      <c r="B2132" s="1703" t="s">
        <v>139</v>
      </c>
      <c r="C2132" s="1743" t="s">
        <v>166</v>
      </c>
      <c r="D2132" s="1705">
        <f>D2131*0.3</f>
        <v>5.3550000000000004</v>
      </c>
      <c r="E2132" s="1706" t="s">
        <v>164</v>
      </c>
      <c r="F2132" s="1742">
        <v>400</v>
      </c>
      <c r="G2132" s="1742">
        <v>0</v>
      </c>
      <c r="H2132" s="1707">
        <f t="shared" si="333"/>
        <v>2142</v>
      </c>
      <c r="I2132" s="1707">
        <f t="shared" si="334"/>
        <v>0</v>
      </c>
      <c r="J2132" s="1707">
        <f t="shared" si="335"/>
        <v>2142</v>
      </c>
      <c r="K2132" s="1709"/>
      <c r="L2132" s="1721"/>
      <c r="M2132" s="1710" t="s">
        <v>1018</v>
      </c>
      <c r="N2132" s="1711"/>
    </row>
    <row r="2133" spans="1:14" ht="24" customHeight="1">
      <c r="A2133" s="1712"/>
      <c r="B2133" s="1673" t="s">
        <v>139</v>
      </c>
      <c r="C2133" s="1674" t="s">
        <v>163</v>
      </c>
      <c r="D2133" s="1675">
        <f>D2129</f>
        <v>35.700000000000003</v>
      </c>
      <c r="E2133" s="1676" t="s">
        <v>83</v>
      </c>
      <c r="F2133" s="1736">
        <v>28</v>
      </c>
      <c r="G2133" s="1736">
        <v>0</v>
      </c>
      <c r="H2133" s="1669">
        <f t="shared" si="333"/>
        <v>999.60000000000014</v>
      </c>
      <c r="I2133" s="1669">
        <f t="shared" si="334"/>
        <v>0</v>
      </c>
      <c r="J2133" s="1669">
        <f t="shared" si="335"/>
        <v>999.60000000000014</v>
      </c>
      <c r="K2133" s="1708"/>
      <c r="L2133" s="1721"/>
      <c r="M2133" s="1710" t="s">
        <v>1018</v>
      </c>
      <c r="N2133" s="1685"/>
    </row>
    <row r="2134" spans="1:14" ht="24" customHeight="1">
      <c r="A2134" s="1712"/>
      <c r="B2134" s="1673" t="s">
        <v>139</v>
      </c>
      <c r="C2134" s="1674" t="s">
        <v>1781</v>
      </c>
      <c r="D2134" s="1675">
        <f>D2129*0.25</f>
        <v>8.9250000000000007</v>
      </c>
      <c r="E2134" s="1676" t="s">
        <v>87</v>
      </c>
      <c r="F2134" s="1736">
        <v>23.89</v>
      </c>
      <c r="G2134" s="1736">
        <v>0</v>
      </c>
      <c r="H2134" s="1669">
        <f t="shared" si="333"/>
        <v>213.21825000000001</v>
      </c>
      <c r="I2134" s="1669">
        <f t="shared" si="334"/>
        <v>0</v>
      </c>
      <c r="J2134" s="1669">
        <f t="shared" si="335"/>
        <v>213.21825000000001</v>
      </c>
      <c r="K2134" s="1708"/>
      <c r="L2134" s="1721"/>
      <c r="M2134" s="1710" t="s">
        <v>660</v>
      </c>
      <c r="N2134" s="1685"/>
    </row>
    <row r="2135" spans="1:14" ht="24" customHeight="1">
      <c r="A2135" s="1780"/>
      <c r="B2135" s="1780"/>
      <c r="C2135" s="1827" t="s">
        <v>133</v>
      </c>
      <c r="D2135" s="2365"/>
      <c r="E2135" s="2365"/>
      <c r="F2135" s="2365"/>
      <c r="G2135" s="2365"/>
      <c r="H2135" s="2365"/>
      <c r="I2135" s="2365"/>
      <c r="J2135" s="2365"/>
      <c r="K2135" s="2365"/>
      <c r="L2135" s="1721"/>
      <c r="M2135" s="1710"/>
      <c r="N2135" s="1685"/>
    </row>
    <row r="2136" spans="1:14" ht="24" customHeight="1">
      <c r="A2136" s="1780"/>
      <c r="B2136" s="2366" t="s">
        <v>1769</v>
      </c>
      <c r="C2136" s="2366"/>
      <c r="D2136" s="1828"/>
      <c r="E2136" s="1769"/>
      <c r="F2136" s="1828"/>
      <c r="G2136" s="1828" t="s">
        <v>134</v>
      </c>
      <c r="H2136" s="1828"/>
      <c r="I2136" s="1828"/>
      <c r="J2136" s="1828"/>
      <c r="K2136" s="1828"/>
      <c r="L2136" s="1721"/>
      <c r="M2136" s="1710"/>
      <c r="N2136" s="1685"/>
    </row>
    <row r="2137" spans="1:14" ht="24" customHeight="1">
      <c r="A2137" s="1780"/>
      <c r="B2137" s="2367" t="s">
        <v>1970</v>
      </c>
      <c r="C2137" s="2367"/>
      <c r="D2137" s="1831"/>
      <c r="E2137" s="1832"/>
      <c r="F2137" s="1833"/>
      <c r="G2137" s="1833" t="s">
        <v>1971</v>
      </c>
      <c r="H2137" s="1833"/>
      <c r="I2137" s="1833"/>
      <c r="J2137" s="1833"/>
      <c r="K2137" s="1833"/>
      <c r="L2137" s="1721"/>
      <c r="M2137" s="1710"/>
      <c r="N2137" s="1685"/>
    </row>
    <row r="2138" spans="1:14" ht="24" customHeight="1">
      <c r="A2138" s="1830"/>
      <c r="B2138" s="1828" t="s">
        <v>2031</v>
      </c>
      <c r="C2138" s="1830"/>
      <c r="D2138" s="1830"/>
      <c r="E2138" s="1830"/>
      <c r="F2138" s="1830"/>
      <c r="G2138" s="1828" t="s">
        <v>2031</v>
      </c>
      <c r="H2138" s="1830"/>
      <c r="I2138" s="1830"/>
      <c r="J2138" s="1830"/>
      <c r="K2138" s="1830"/>
      <c r="L2138" s="1721"/>
      <c r="M2138" s="1710"/>
      <c r="N2138" s="1685"/>
    </row>
    <row r="2139" spans="1:14" ht="24" customHeight="1">
      <c r="B2139" s="1721" t="s">
        <v>1984</v>
      </c>
      <c r="C2139" s="1830"/>
      <c r="D2139" s="1685"/>
      <c r="E2139" s="1685"/>
      <c r="G2139" s="1721" t="s">
        <v>1985</v>
      </c>
      <c r="H2139" s="1685"/>
      <c r="I2139" s="1685"/>
      <c r="J2139" s="1685"/>
      <c r="K2139" s="1685"/>
      <c r="L2139" s="1721"/>
      <c r="M2139" s="1710"/>
      <c r="N2139" s="1685"/>
    </row>
    <row r="2140" spans="1:14" ht="24" customHeight="1">
      <c r="B2140" s="1828" t="s">
        <v>670</v>
      </c>
      <c r="L2140" s="1721"/>
      <c r="M2140" s="1710"/>
      <c r="N2140" s="1685"/>
    </row>
    <row r="2141" spans="1:14" ht="24" customHeight="1">
      <c r="B2141" s="1721" t="s">
        <v>1972</v>
      </c>
      <c r="L2141" s="1721"/>
      <c r="M2141" s="1710"/>
      <c r="N2141" s="1685"/>
    </row>
    <row r="2142" spans="1:14" ht="24" customHeight="1">
      <c r="A2142" s="1712"/>
      <c r="B2142" s="2368" t="s">
        <v>248</v>
      </c>
      <c r="C2142" s="2370"/>
      <c r="D2142" s="1675"/>
      <c r="E2142" s="1676"/>
      <c r="F2142" s="1669"/>
      <c r="G2142" s="1669"/>
      <c r="H2142" s="1669"/>
      <c r="I2142" s="1669"/>
      <c r="J2142" s="1669"/>
      <c r="K2142" s="1708"/>
      <c r="L2142" s="1721"/>
      <c r="M2142" s="1711"/>
      <c r="N2142" s="1711"/>
    </row>
    <row r="2143" spans="1:14" ht="24" customHeight="1">
      <c r="A2143" s="1712"/>
      <c r="B2143" s="1673" t="s">
        <v>139</v>
      </c>
      <c r="C2143" s="1674" t="s">
        <v>88</v>
      </c>
      <c r="D2143" s="1675">
        <v>254</v>
      </c>
      <c r="E2143" s="1676" t="s">
        <v>87</v>
      </c>
      <c r="F2143" s="1677">
        <v>21.4</v>
      </c>
      <c r="G2143" s="1677">
        <v>4.4000000000000004</v>
      </c>
      <c r="H2143" s="1669">
        <f>F2143*D2143</f>
        <v>5435.5999999999995</v>
      </c>
      <c r="I2143" s="1669">
        <f>G2143*D2143</f>
        <v>1117.6000000000001</v>
      </c>
      <c r="J2143" s="1669">
        <f>SUM(H2143:I2143)</f>
        <v>6553.2</v>
      </c>
      <c r="K2143" s="1708"/>
      <c r="L2143" s="1721"/>
      <c r="M2143" s="1710" t="s">
        <v>1016</v>
      </c>
      <c r="N2143" s="1711" t="s">
        <v>659</v>
      </c>
    </row>
    <row r="2144" spans="1:14" ht="24" customHeight="1">
      <c r="A2144" s="1664"/>
      <c r="B2144" s="1665" t="s">
        <v>139</v>
      </c>
      <c r="C2144" s="1666" t="s">
        <v>1014</v>
      </c>
      <c r="D2144" s="1667">
        <v>942.4</v>
      </c>
      <c r="E2144" s="1668" t="s">
        <v>87</v>
      </c>
      <c r="F2144" s="1744">
        <v>21.2</v>
      </c>
      <c r="G2144" s="1744">
        <v>3.1</v>
      </c>
      <c r="H2144" s="1670">
        <f>F2144*D2144</f>
        <v>19978.879999999997</v>
      </c>
      <c r="I2144" s="1670">
        <f>G2144*D2144</f>
        <v>2921.44</v>
      </c>
      <c r="J2144" s="1669">
        <f>SUM(H2144:I2144)</f>
        <v>22900.319999999996</v>
      </c>
      <c r="K2144" s="1708"/>
      <c r="L2144" s="1721"/>
      <c r="M2144" s="1710" t="s">
        <v>1016</v>
      </c>
      <c r="N2144" s="1711" t="s">
        <v>659</v>
      </c>
    </row>
    <row r="2145" spans="1:14" s="1685" customFormat="1" ht="24" customHeight="1">
      <c r="A2145" s="1712"/>
      <c r="B2145" s="1673" t="s">
        <v>139</v>
      </c>
      <c r="C2145" s="1674" t="s">
        <v>200</v>
      </c>
      <c r="D2145" s="1675">
        <f>SUM(D2143:D2144)*0.03</f>
        <v>35.892000000000003</v>
      </c>
      <c r="E2145" s="1676" t="s">
        <v>87</v>
      </c>
      <c r="F2145" s="1677">
        <v>25.83</v>
      </c>
      <c r="G2145" s="1677">
        <v>0</v>
      </c>
      <c r="H2145" s="1669">
        <f>F2145*D2145</f>
        <v>927.09036000000003</v>
      </c>
      <c r="I2145" s="1669">
        <f>G2145*D2145</f>
        <v>0</v>
      </c>
      <c r="J2145" s="1678">
        <f>SUM(H2145:I2145)</f>
        <v>927.09036000000003</v>
      </c>
      <c r="K2145" s="1708"/>
      <c r="L2145" s="1721"/>
      <c r="M2145" s="1710" t="s">
        <v>1019</v>
      </c>
      <c r="N2145" s="1711"/>
    </row>
    <row r="2146" spans="1:14" s="1685" customFormat="1" ht="24" customHeight="1">
      <c r="A2146" s="1712"/>
      <c r="B2146" s="2368" t="s">
        <v>250</v>
      </c>
      <c r="C2146" s="2370"/>
      <c r="D2146" s="1675"/>
      <c r="E2146" s="1676"/>
      <c r="F2146" s="1669"/>
      <c r="G2146" s="1669"/>
      <c r="H2146" s="1669"/>
      <c r="I2146" s="1669"/>
      <c r="J2146" s="1678"/>
      <c r="K2146" s="1708"/>
      <c r="L2146" s="1721"/>
      <c r="M2146" s="1711"/>
      <c r="N2146" s="1711"/>
    </row>
    <row r="2147" spans="1:14" ht="24" customHeight="1">
      <c r="A2147" s="1712"/>
      <c r="B2147" s="2368" t="s">
        <v>422</v>
      </c>
      <c r="C2147" s="2370"/>
      <c r="D2147" s="1675"/>
      <c r="E2147" s="1676"/>
      <c r="F2147" s="1669"/>
      <c r="G2147" s="1669"/>
      <c r="H2147" s="1669"/>
      <c r="I2147" s="1669"/>
      <c r="J2147" s="1678"/>
      <c r="K2147" s="1708"/>
      <c r="L2147" s="1721"/>
      <c r="M2147" s="1711"/>
      <c r="N2147" s="1711"/>
    </row>
    <row r="2148" spans="1:14" ht="24" customHeight="1">
      <c r="A2148" s="1702"/>
      <c r="B2148" s="1703" t="s">
        <v>139</v>
      </c>
      <c r="C2148" s="1743" t="s">
        <v>228</v>
      </c>
      <c r="D2148" s="1705">
        <v>32.4</v>
      </c>
      <c r="E2148" s="1706" t="s">
        <v>85</v>
      </c>
      <c r="F2148" s="1742">
        <v>2679.9</v>
      </c>
      <c r="G2148" s="1742">
        <v>519</v>
      </c>
      <c r="H2148" s="1707">
        <f>F2148*D2148</f>
        <v>86828.76</v>
      </c>
      <c r="I2148" s="1707">
        <f>G2148*D2148</f>
        <v>16815.599999999999</v>
      </c>
      <c r="J2148" s="1669">
        <f>SUM(H2148:I2148)</f>
        <v>103644.35999999999</v>
      </c>
      <c r="K2148" s="1708"/>
      <c r="L2148" s="1721"/>
      <c r="M2148" s="1710" t="s">
        <v>1016</v>
      </c>
      <c r="N2148" s="1711" t="s">
        <v>665</v>
      </c>
    </row>
    <row r="2149" spans="1:14" ht="24" customHeight="1">
      <c r="A2149" s="1712"/>
      <c r="B2149" s="2368" t="s">
        <v>227</v>
      </c>
      <c r="C2149" s="2370"/>
      <c r="D2149" s="1675">
        <v>273.3</v>
      </c>
      <c r="E2149" s="1676"/>
      <c r="F2149" s="1669"/>
      <c r="G2149" s="1669"/>
      <c r="H2149" s="1669"/>
      <c r="I2149" s="1669"/>
      <c r="J2149" s="1669"/>
      <c r="K2149" s="1708"/>
      <c r="L2149" s="1721"/>
      <c r="M2149" s="1711"/>
      <c r="N2149" s="1711"/>
    </row>
    <row r="2150" spans="1:14" ht="24" customHeight="1">
      <c r="A2150" s="1664"/>
      <c r="B2150" s="1665" t="s">
        <v>139</v>
      </c>
      <c r="C2150" s="1666" t="s">
        <v>165</v>
      </c>
      <c r="D2150" s="1667">
        <f>D2149</f>
        <v>273.3</v>
      </c>
      <c r="E2150" s="1668" t="s">
        <v>86</v>
      </c>
      <c r="F2150" s="1670"/>
      <c r="G2150" s="1670">
        <v>121</v>
      </c>
      <c r="H2150" s="1670">
        <f>F2150*D2150</f>
        <v>0</v>
      </c>
      <c r="I2150" s="1670">
        <f>G2150*D2150</f>
        <v>33069.300000000003</v>
      </c>
      <c r="J2150" s="1670">
        <f>SUM(H2150:I2150)</f>
        <v>33069.300000000003</v>
      </c>
      <c r="K2150" s="1746"/>
      <c r="L2150" s="1721"/>
      <c r="M2150" s="1710" t="s">
        <v>1017</v>
      </c>
      <c r="N2150" s="1711" t="s">
        <v>665</v>
      </c>
    </row>
    <row r="2151" spans="1:14" ht="24" customHeight="1">
      <c r="A2151" s="1712"/>
      <c r="B2151" s="1673" t="s">
        <v>139</v>
      </c>
      <c r="C2151" s="1674" t="s">
        <v>198</v>
      </c>
      <c r="D2151" s="1675">
        <f>D2149*0.5</f>
        <v>136.65</v>
      </c>
      <c r="E2151" s="1676" t="s">
        <v>164</v>
      </c>
      <c r="F2151" s="1669">
        <v>400</v>
      </c>
      <c r="G2151" s="1669"/>
      <c r="H2151" s="1669">
        <f>F2151*D2151</f>
        <v>54660</v>
      </c>
      <c r="I2151" s="1669">
        <f>G2151*D2151</f>
        <v>0</v>
      </c>
      <c r="J2151" s="1669">
        <f>SUM(H2151:I2151)</f>
        <v>54660</v>
      </c>
      <c r="K2151" s="1708"/>
      <c r="L2151" s="1721"/>
      <c r="M2151" s="1710" t="s">
        <v>1018</v>
      </c>
      <c r="N2151" s="1711"/>
    </row>
    <row r="2152" spans="1:14" ht="24" customHeight="1">
      <c r="A2152" s="1712"/>
      <c r="B2152" s="1673" t="s">
        <v>139</v>
      </c>
      <c r="C2152" s="1674" t="s">
        <v>166</v>
      </c>
      <c r="D2152" s="1675">
        <f>D2151*0.3</f>
        <v>40.994999999999997</v>
      </c>
      <c r="E2152" s="1676" t="s">
        <v>164</v>
      </c>
      <c r="F2152" s="1669">
        <v>400</v>
      </c>
      <c r="G2152" s="1669">
        <v>0</v>
      </c>
      <c r="H2152" s="1669">
        <f>F2152*D2152</f>
        <v>16398</v>
      </c>
      <c r="I2152" s="1669">
        <f>G2152*D2152</f>
        <v>0</v>
      </c>
      <c r="J2152" s="1669">
        <f>SUM(H2152:I2152)</f>
        <v>16398</v>
      </c>
      <c r="K2152" s="1708"/>
      <c r="L2152" s="1721"/>
      <c r="M2152" s="1710" t="s">
        <v>1018</v>
      </c>
      <c r="N2152" s="1711"/>
    </row>
    <row r="2153" spans="1:14" ht="24" customHeight="1">
      <c r="A2153" s="1712"/>
      <c r="B2153" s="1673" t="s">
        <v>139</v>
      </c>
      <c r="C2153" s="1674" t="s">
        <v>1142</v>
      </c>
      <c r="D2153" s="1675">
        <v>202</v>
      </c>
      <c r="E2153" s="1676" t="s">
        <v>83</v>
      </c>
      <c r="F2153" s="1669">
        <v>28</v>
      </c>
      <c r="G2153" s="1669">
        <v>0</v>
      </c>
      <c r="H2153" s="1669">
        <f>F2153*D2153</f>
        <v>5656</v>
      </c>
      <c r="I2153" s="1669">
        <f>G2153*D2153</f>
        <v>0</v>
      </c>
      <c r="J2153" s="1669">
        <f>SUM(H2153:I2153)</f>
        <v>5656</v>
      </c>
      <c r="K2153" s="1708"/>
      <c r="L2153" s="1721"/>
      <c r="M2153" s="1710" t="s">
        <v>1018</v>
      </c>
      <c r="N2153" s="1711"/>
    </row>
    <row r="2154" spans="1:14" ht="24" customHeight="1">
      <c r="A2154" s="1712"/>
      <c r="B2154" s="1673" t="s">
        <v>139</v>
      </c>
      <c r="C2154" s="1674" t="s">
        <v>1781</v>
      </c>
      <c r="D2154" s="1675">
        <f>D2149*0.25</f>
        <v>68.325000000000003</v>
      </c>
      <c r="E2154" s="1676" t="s">
        <v>87</v>
      </c>
      <c r="F2154" s="1736">
        <v>23.89</v>
      </c>
      <c r="G2154" s="1736">
        <v>0</v>
      </c>
      <c r="H2154" s="1669">
        <f>F2154*D2154</f>
        <v>1632.2842500000002</v>
      </c>
      <c r="I2154" s="1669">
        <f>G2154*D2154</f>
        <v>0</v>
      </c>
      <c r="J2154" s="1669">
        <f>SUM(H2154:I2154)</f>
        <v>1632.2842500000002</v>
      </c>
      <c r="K2154" s="1708"/>
      <c r="L2154" s="1721"/>
      <c r="M2154" s="1710" t="s">
        <v>660</v>
      </c>
      <c r="N2154" s="1711"/>
    </row>
    <row r="2155" spans="1:14" ht="24" customHeight="1">
      <c r="A2155" s="1712"/>
      <c r="B2155" s="2368" t="s">
        <v>251</v>
      </c>
      <c r="C2155" s="2370"/>
      <c r="D2155" s="1675"/>
      <c r="E2155" s="1676"/>
      <c r="F2155" s="1669"/>
      <c r="G2155" s="1669"/>
      <c r="H2155" s="1669"/>
      <c r="I2155" s="1669"/>
      <c r="J2155" s="1669"/>
      <c r="K2155" s="1708"/>
      <c r="L2155" s="1721"/>
      <c r="M2155" s="1711"/>
      <c r="N2155" s="1711"/>
    </row>
    <row r="2156" spans="1:14" ht="24" customHeight="1">
      <c r="A2156" s="1712"/>
      <c r="B2156" s="1673" t="s">
        <v>139</v>
      </c>
      <c r="C2156" s="1674" t="s">
        <v>88</v>
      </c>
      <c r="D2156" s="1675">
        <v>996.9</v>
      </c>
      <c r="E2156" s="1676" t="s">
        <v>87</v>
      </c>
      <c r="F2156" s="1677">
        <v>21.4</v>
      </c>
      <c r="G2156" s="1677">
        <v>4.4000000000000004</v>
      </c>
      <c r="H2156" s="1669">
        <f>F2156*D2156</f>
        <v>21333.66</v>
      </c>
      <c r="I2156" s="1669">
        <f>G2156*D2156</f>
        <v>4386.3600000000006</v>
      </c>
      <c r="J2156" s="1669">
        <f>SUM(H2156:I2156)</f>
        <v>25720.02</v>
      </c>
      <c r="K2156" s="1708"/>
      <c r="L2156" s="1721"/>
      <c r="M2156" s="1710" t="s">
        <v>1016</v>
      </c>
      <c r="N2156" s="1711" t="s">
        <v>665</v>
      </c>
    </row>
    <row r="2157" spans="1:14" ht="24" customHeight="1">
      <c r="A2157" s="1712"/>
      <c r="B2157" s="1673" t="s">
        <v>139</v>
      </c>
      <c r="C2157" s="1674" t="s">
        <v>90</v>
      </c>
      <c r="D2157" s="1675">
        <v>2964</v>
      </c>
      <c r="E2157" s="1676" t="s">
        <v>87</v>
      </c>
      <c r="F2157" s="1677">
        <v>21.2</v>
      </c>
      <c r="G2157" s="1677">
        <v>3.6</v>
      </c>
      <c r="H2157" s="1669">
        <f>F2157*D2157</f>
        <v>62836.799999999996</v>
      </c>
      <c r="I2157" s="1669">
        <f>G2157*D2157</f>
        <v>10670.4</v>
      </c>
      <c r="J2157" s="1669">
        <f>SUM(H2157:I2157)</f>
        <v>73507.199999999997</v>
      </c>
      <c r="K2157" s="1708"/>
      <c r="L2157" s="1721"/>
      <c r="M2157" s="1710" t="s">
        <v>1016</v>
      </c>
      <c r="N2157" s="1711" t="s">
        <v>665</v>
      </c>
    </row>
    <row r="2158" spans="1:14" ht="24" customHeight="1">
      <c r="A2158" s="1712"/>
      <c r="B2158" s="1673" t="s">
        <v>139</v>
      </c>
      <c r="C2158" s="1674" t="s">
        <v>91</v>
      </c>
      <c r="D2158" s="1675">
        <v>394</v>
      </c>
      <c r="E2158" s="1676" t="s">
        <v>87</v>
      </c>
      <c r="F2158" s="1677">
        <v>21.2</v>
      </c>
      <c r="G2158" s="1677">
        <v>3.1</v>
      </c>
      <c r="H2158" s="1669">
        <f>F2158*D2158</f>
        <v>8352.7999999999993</v>
      </c>
      <c r="I2158" s="1669">
        <f>G2158*D2158</f>
        <v>1221.4000000000001</v>
      </c>
      <c r="J2158" s="1669">
        <f>SUM(H2158:I2158)</f>
        <v>9574.1999999999989</v>
      </c>
      <c r="K2158" s="1708"/>
      <c r="L2158" s="1721"/>
      <c r="M2158" s="1710" t="s">
        <v>1016</v>
      </c>
      <c r="N2158" s="1711" t="s">
        <v>665</v>
      </c>
    </row>
    <row r="2159" spans="1:14" ht="24" customHeight="1">
      <c r="A2159" s="1712"/>
      <c r="B2159" s="1673" t="s">
        <v>139</v>
      </c>
      <c r="C2159" s="1674" t="s">
        <v>200</v>
      </c>
      <c r="D2159" s="1675">
        <f>SUM(D2156:D2158)*0.03</f>
        <v>130.64699999999999</v>
      </c>
      <c r="E2159" s="1676" t="s">
        <v>87</v>
      </c>
      <c r="F2159" s="1677">
        <v>25.83</v>
      </c>
      <c r="G2159" s="1677">
        <v>0</v>
      </c>
      <c r="H2159" s="1669">
        <f>F2159*D2159</f>
        <v>3374.6120099999994</v>
      </c>
      <c r="I2159" s="1669">
        <f>G2159*D2159</f>
        <v>0</v>
      </c>
      <c r="J2159" s="1669">
        <f>SUM(H2159:I2159)</f>
        <v>3374.6120099999994</v>
      </c>
      <c r="K2159" s="1708"/>
      <c r="L2159" s="1721"/>
      <c r="M2159" s="1710" t="s">
        <v>1019</v>
      </c>
      <c r="N2159" s="1711"/>
    </row>
    <row r="2160" spans="1:14" ht="24" customHeight="1">
      <c r="A2160" s="1712"/>
      <c r="B2160" s="2368" t="s">
        <v>1030</v>
      </c>
      <c r="C2160" s="2370"/>
      <c r="D2160" s="1675"/>
      <c r="E2160" s="1676"/>
      <c r="F2160" s="1669"/>
      <c r="G2160" s="1669"/>
      <c r="H2160" s="1669"/>
      <c r="I2160" s="1669"/>
      <c r="J2160" s="1669"/>
      <c r="K2160" s="1708"/>
      <c r="L2160" s="1721"/>
      <c r="M2160" s="1711"/>
      <c r="N2160" s="1711"/>
    </row>
    <row r="2161" spans="1:14" ht="24" customHeight="1">
      <c r="A2161" s="1712"/>
      <c r="B2161" s="2368" t="s">
        <v>1031</v>
      </c>
      <c r="C2161" s="2370"/>
      <c r="D2161" s="1675"/>
      <c r="E2161" s="1676"/>
      <c r="F2161" s="1669"/>
      <c r="G2161" s="1669"/>
      <c r="H2161" s="1669"/>
      <c r="I2161" s="1669"/>
      <c r="J2161" s="1669"/>
      <c r="K2161" s="1708"/>
      <c r="L2161" s="1721"/>
      <c r="M2161" s="1711"/>
      <c r="N2161" s="1711"/>
    </row>
    <row r="2162" spans="1:14" ht="24" customHeight="1">
      <c r="A2162" s="1712"/>
      <c r="B2162" s="1673" t="s">
        <v>139</v>
      </c>
      <c r="C2162" s="1674" t="s">
        <v>228</v>
      </c>
      <c r="D2162" s="1675">
        <v>10.9</v>
      </c>
      <c r="E2162" s="1676" t="s">
        <v>85</v>
      </c>
      <c r="F2162" s="1677">
        <v>2679.9</v>
      </c>
      <c r="G2162" s="1677">
        <v>519</v>
      </c>
      <c r="H2162" s="1669">
        <f t="shared" ref="H2162:H2184" si="336">F2162*D2162</f>
        <v>29210.910000000003</v>
      </c>
      <c r="I2162" s="1669">
        <f t="shared" ref="I2162:I2184" si="337">G2162*D2162</f>
        <v>5657.1</v>
      </c>
      <c r="J2162" s="1669">
        <f t="shared" ref="J2162:J2168" si="338">SUM(H2162:I2162)</f>
        <v>34868.01</v>
      </c>
      <c r="K2162" s="1708"/>
      <c r="L2162" s="1721"/>
      <c r="M2162" s="1710" t="s">
        <v>1016</v>
      </c>
      <c r="N2162" s="1711" t="s">
        <v>659</v>
      </c>
    </row>
    <row r="2163" spans="1:14" ht="24" customHeight="1">
      <c r="A2163" s="1712"/>
      <c r="B2163" s="1748" t="s">
        <v>1033</v>
      </c>
      <c r="C2163" s="1674"/>
      <c r="D2163" s="1675">
        <v>40.1</v>
      </c>
      <c r="E2163" s="1676"/>
      <c r="F2163" s="1677"/>
      <c r="G2163" s="1677"/>
      <c r="H2163" s="1669"/>
      <c r="I2163" s="1669"/>
      <c r="J2163" s="1669"/>
      <c r="K2163" s="1708"/>
      <c r="L2163" s="1721"/>
      <c r="M2163" s="1710"/>
      <c r="N2163" s="1711"/>
    </row>
    <row r="2164" spans="1:14" ht="24" customHeight="1">
      <c r="A2164" s="1712"/>
      <c r="B2164" s="1673" t="s">
        <v>139</v>
      </c>
      <c r="C2164" s="1674" t="s">
        <v>165</v>
      </c>
      <c r="D2164" s="1675">
        <f>D2163</f>
        <v>40.1</v>
      </c>
      <c r="E2164" s="1676" t="s">
        <v>86</v>
      </c>
      <c r="F2164" s="1736">
        <v>0</v>
      </c>
      <c r="G2164" s="1669">
        <v>121</v>
      </c>
      <c r="H2164" s="1669">
        <f t="shared" si="336"/>
        <v>0</v>
      </c>
      <c r="I2164" s="1669">
        <f t="shared" si="337"/>
        <v>4852.1000000000004</v>
      </c>
      <c r="J2164" s="1669">
        <f t="shared" si="338"/>
        <v>4852.1000000000004</v>
      </c>
      <c r="K2164" s="1708"/>
      <c r="L2164" s="1721"/>
      <c r="M2164" s="1710" t="s">
        <v>1017</v>
      </c>
      <c r="N2164" s="1711" t="s">
        <v>659</v>
      </c>
    </row>
    <row r="2165" spans="1:14" ht="24" customHeight="1">
      <c r="A2165" s="1712"/>
      <c r="B2165" s="1673" t="s">
        <v>139</v>
      </c>
      <c r="C2165" s="1674" t="s">
        <v>198</v>
      </c>
      <c r="D2165" s="1675">
        <f>D2163*0.5</f>
        <v>20.05</v>
      </c>
      <c r="E2165" s="1676" t="s">
        <v>164</v>
      </c>
      <c r="F2165" s="1736">
        <v>400</v>
      </c>
      <c r="G2165" s="1736">
        <v>0</v>
      </c>
      <c r="H2165" s="1669">
        <f t="shared" si="336"/>
        <v>8020</v>
      </c>
      <c r="I2165" s="1669">
        <f t="shared" si="337"/>
        <v>0</v>
      </c>
      <c r="J2165" s="1669">
        <f t="shared" si="338"/>
        <v>8020</v>
      </c>
      <c r="K2165" s="1708"/>
      <c r="L2165" s="1721"/>
      <c r="M2165" s="1710" t="s">
        <v>1018</v>
      </c>
      <c r="N2165" s="1711"/>
    </row>
    <row r="2166" spans="1:14" ht="24" customHeight="1">
      <c r="A2166" s="1712"/>
      <c r="B2166" s="1673" t="s">
        <v>139</v>
      </c>
      <c r="C2166" s="1674" t="s">
        <v>166</v>
      </c>
      <c r="D2166" s="1675">
        <f>D2165*0.3</f>
        <v>6.0149999999999997</v>
      </c>
      <c r="E2166" s="1676" t="s">
        <v>164</v>
      </c>
      <c r="F2166" s="1736">
        <v>400</v>
      </c>
      <c r="G2166" s="1736">
        <v>0</v>
      </c>
      <c r="H2166" s="1669">
        <f t="shared" si="336"/>
        <v>2406</v>
      </c>
      <c r="I2166" s="1669">
        <f t="shared" si="337"/>
        <v>0</v>
      </c>
      <c r="J2166" s="1669">
        <f t="shared" si="338"/>
        <v>2406</v>
      </c>
      <c r="K2166" s="1708"/>
      <c r="L2166" s="1721"/>
      <c r="M2166" s="1710" t="s">
        <v>1018</v>
      </c>
      <c r="N2166" s="1685"/>
    </row>
    <row r="2167" spans="1:14" ht="24" customHeight="1">
      <c r="A2167" s="1712"/>
      <c r="B2167" s="1673" t="s">
        <v>139</v>
      </c>
      <c r="C2167" s="1674" t="s">
        <v>163</v>
      </c>
      <c r="D2167" s="1675">
        <f>D2163</f>
        <v>40.1</v>
      </c>
      <c r="E2167" s="1676" t="s">
        <v>83</v>
      </c>
      <c r="F2167" s="1736">
        <v>28</v>
      </c>
      <c r="G2167" s="1736">
        <v>0</v>
      </c>
      <c r="H2167" s="1669">
        <f t="shared" si="336"/>
        <v>1122.8</v>
      </c>
      <c r="I2167" s="1669">
        <f t="shared" si="337"/>
        <v>0</v>
      </c>
      <c r="J2167" s="1669">
        <f t="shared" si="338"/>
        <v>1122.8</v>
      </c>
      <c r="K2167" s="1708"/>
      <c r="L2167" s="1721"/>
      <c r="M2167" s="1710" t="s">
        <v>1018</v>
      </c>
      <c r="N2167" s="1685"/>
    </row>
    <row r="2168" spans="1:14" ht="24" customHeight="1">
      <c r="A2168" s="1712"/>
      <c r="B2168" s="1673" t="s">
        <v>139</v>
      </c>
      <c r="C2168" s="1674" t="s">
        <v>1781</v>
      </c>
      <c r="D2168" s="1675">
        <f>D2163*0.25</f>
        <v>10.025</v>
      </c>
      <c r="E2168" s="1676" t="s">
        <v>87</v>
      </c>
      <c r="F2168" s="1736">
        <v>23.89</v>
      </c>
      <c r="G2168" s="1736">
        <v>0</v>
      </c>
      <c r="H2168" s="1669">
        <f t="shared" si="336"/>
        <v>239.49725000000001</v>
      </c>
      <c r="I2168" s="1669">
        <f t="shared" si="337"/>
        <v>0</v>
      </c>
      <c r="J2168" s="1669">
        <f t="shared" si="338"/>
        <v>239.49725000000001</v>
      </c>
      <c r="K2168" s="1708"/>
      <c r="L2168" s="1721"/>
      <c r="M2168" s="1710" t="s">
        <v>660</v>
      </c>
      <c r="N2168" s="1685"/>
    </row>
    <row r="2169" spans="1:14" ht="24" customHeight="1">
      <c r="A2169" s="1780"/>
      <c r="B2169" s="1780"/>
      <c r="C2169" s="1827" t="s">
        <v>133</v>
      </c>
      <c r="D2169" s="2365"/>
      <c r="E2169" s="2365"/>
      <c r="F2169" s="2365"/>
      <c r="G2169" s="2365"/>
      <c r="H2169" s="2365"/>
      <c r="I2169" s="2365"/>
      <c r="J2169" s="2365"/>
      <c r="K2169" s="2365"/>
      <c r="L2169" s="1721"/>
      <c r="M2169" s="1710"/>
      <c r="N2169" s="1685"/>
    </row>
    <row r="2170" spans="1:14" ht="24" customHeight="1">
      <c r="A2170" s="1780"/>
      <c r="B2170" s="2366" t="s">
        <v>1769</v>
      </c>
      <c r="C2170" s="2366"/>
      <c r="D2170" s="1828"/>
      <c r="E2170" s="1769"/>
      <c r="F2170" s="1828"/>
      <c r="G2170" s="1828" t="s">
        <v>134</v>
      </c>
      <c r="H2170" s="1828"/>
      <c r="I2170" s="1828"/>
      <c r="J2170" s="1828"/>
      <c r="K2170" s="1828"/>
      <c r="L2170" s="1721"/>
      <c r="M2170" s="1710"/>
      <c r="N2170" s="1685"/>
    </row>
    <row r="2171" spans="1:14" ht="24" customHeight="1">
      <c r="A2171" s="1780"/>
      <c r="B2171" s="2367" t="s">
        <v>1970</v>
      </c>
      <c r="C2171" s="2367"/>
      <c r="D2171" s="1831"/>
      <c r="E2171" s="1832"/>
      <c r="F2171" s="1833"/>
      <c r="G2171" s="1833" t="s">
        <v>1971</v>
      </c>
      <c r="H2171" s="1833"/>
      <c r="I2171" s="1833"/>
      <c r="J2171" s="1833"/>
      <c r="K2171" s="1833"/>
      <c r="L2171" s="1721"/>
      <c r="M2171" s="1710"/>
      <c r="N2171" s="1685"/>
    </row>
    <row r="2172" spans="1:14" ht="24" customHeight="1">
      <c r="A2172" s="1830"/>
      <c r="B2172" s="1828" t="s">
        <v>2031</v>
      </c>
      <c r="C2172" s="1830"/>
      <c r="D2172" s="1830"/>
      <c r="E2172" s="1830"/>
      <c r="F2172" s="1830"/>
      <c r="G2172" s="1828" t="s">
        <v>2031</v>
      </c>
      <c r="H2172" s="1830"/>
      <c r="I2172" s="1830"/>
      <c r="J2172" s="1830"/>
      <c r="K2172" s="1830"/>
      <c r="L2172" s="1721"/>
      <c r="M2172" s="1710"/>
      <c r="N2172" s="1685"/>
    </row>
    <row r="2173" spans="1:14" ht="24" customHeight="1">
      <c r="B2173" s="1721" t="s">
        <v>1984</v>
      </c>
      <c r="C2173" s="1830"/>
      <c r="D2173" s="1685"/>
      <c r="E2173" s="1685"/>
      <c r="G2173" s="1721" t="s">
        <v>1985</v>
      </c>
      <c r="H2173" s="1685"/>
      <c r="I2173" s="1685"/>
      <c r="J2173" s="1685"/>
      <c r="K2173" s="1685"/>
      <c r="L2173" s="1721"/>
      <c r="M2173" s="1710"/>
      <c r="N2173" s="1685"/>
    </row>
    <row r="2174" spans="1:14" ht="24" customHeight="1">
      <c r="B2174" s="1828" t="s">
        <v>670</v>
      </c>
      <c r="L2174" s="1721"/>
      <c r="M2174" s="1710"/>
      <c r="N2174" s="1685"/>
    </row>
    <row r="2175" spans="1:14" ht="24" customHeight="1">
      <c r="B2175" s="1721" t="s">
        <v>1972</v>
      </c>
      <c r="L2175" s="1721"/>
      <c r="M2175" s="1710"/>
      <c r="N2175" s="1685"/>
    </row>
    <row r="2176" spans="1:14" ht="24" customHeight="1">
      <c r="A2176" s="1712"/>
      <c r="B2176" s="2368" t="s">
        <v>1032</v>
      </c>
      <c r="C2176" s="2370"/>
      <c r="D2176" s="1675"/>
      <c r="E2176" s="1676"/>
      <c r="F2176" s="1669"/>
      <c r="G2176" s="1669"/>
      <c r="H2176" s="1669"/>
      <c r="I2176" s="1669"/>
      <c r="J2176" s="1669"/>
      <c r="K2176" s="1708"/>
      <c r="L2176" s="1721"/>
      <c r="M2176" s="1711"/>
      <c r="N2176" s="1711"/>
    </row>
    <row r="2177" spans="1:14" ht="24" customHeight="1">
      <c r="A2177" s="1712"/>
      <c r="B2177" s="1673" t="s">
        <v>139</v>
      </c>
      <c r="C2177" s="1674" t="s">
        <v>88</v>
      </c>
      <c r="D2177" s="1675">
        <v>175.9</v>
      </c>
      <c r="E2177" s="1676" t="s">
        <v>87</v>
      </c>
      <c r="F2177" s="1677">
        <v>21.4</v>
      </c>
      <c r="G2177" s="1677">
        <v>4.4000000000000004</v>
      </c>
      <c r="H2177" s="1669">
        <f t="shared" si="336"/>
        <v>3764.2599999999998</v>
      </c>
      <c r="I2177" s="1669">
        <f t="shared" si="337"/>
        <v>773.96</v>
      </c>
      <c r="J2177" s="1669">
        <f t="shared" ref="J2177:J2184" si="339">SUM(H2177:I2177)</f>
        <v>4538.2199999999993</v>
      </c>
      <c r="K2177" s="1708"/>
      <c r="L2177" s="1721"/>
      <c r="M2177" s="1710" t="s">
        <v>1016</v>
      </c>
      <c r="N2177" s="1711" t="s">
        <v>659</v>
      </c>
    </row>
    <row r="2178" spans="1:14" ht="24" customHeight="1">
      <c r="A2178" s="1712"/>
      <c r="B2178" s="1673" t="s">
        <v>139</v>
      </c>
      <c r="C2178" s="1674" t="s">
        <v>89</v>
      </c>
      <c r="D2178" s="1675">
        <v>491.1</v>
      </c>
      <c r="E2178" s="1676" t="s">
        <v>87</v>
      </c>
      <c r="F2178" s="1677">
        <v>21.4</v>
      </c>
      <c r="G2178" s="1677">
        <v>3.6</v>
      </c>
      <c r="H2178" s="1669">
        <f t="shared" si="336"/>
        <v>10509.539999999999</v>
      </c>
      <c r="I2178" s="1669">
        <f t="shared" si="337"/>
        <v>1767.96</v>
      </c>
      <c r="J2178" s="1669">
        <f t="shared" si="339"/>
        <v>12277.5</v>
      </c>
      <c r="K2178" s="1708"/>
      <c r="L2178" s="1721"/>
      <c r="M2178" s="1710" t="s">
        <v>1016</v>
      </c>
      <c r="N2178" s="1711" t="s">
        <v>659</v>
      </c>
    </row>
    <row r="2179" spans="1:14" ht="24" customHeight="1">
      <c r="A2179" s="1712"/>
      <c r="B2179" s="1673" t="s">
        <v>139</v>
      </c>
      <c r="C2179" s="1674" t="s">
        <v>91</v>
      </c>
      <c r="D2179" s="1675">
        <v>268.3</v>
      </c>
      <c r="E2179" s="1676" t="s">
        <v>87</v>
      </c>
      <c r="F2179" s="1677">
        <v>21.2</v>
      </c>
      <c r="G2179" s="1677">
        <v>3.1</v>
      </c>
      <c r="H2179" s="1669">
        <f t="shared" si="336"/>
        <v>5687.96</v>
      </c>
      <c r="I2179" s="1669">
        <f t="shared" si="337"/>
        <v>831.73</v>
      </c>
      <c r="J2179" s="1669">
        <f t="shared" si="339"/>
        <v>6519.6900000000005</v>
      </c>
      <c r="K2179" s="1708"/>
      <c r="L2179" s="1721"/>
      <c r="M2179" s="1710" t="s">
        <v>1016</v>
      </c>
      <c r="N2179" s="1711" t="s">
        <v>659</v>
      </c>
    </row>
    <row r="2180" spans="1:14" s="1685" customFormat="1" ht="24" customHeight="1">
      <c r="A2180" s="1712"/>
      <c r="B2180" s="1673" t="s">
        <v>139</v>
      </c>
      <c r="C2180" s="1674" t="s">
        <v>200</v>
      </c>
      <c r="D2180" s="1675">
        <f>SUM(D2177:D2179)*0.03</f>
        <v>28.058999999999997</v>
      </c>
      <c r="E2180" s="1676" t="s">
        <v>87</v>
      </c>
      <c r="F2180" s="1677">
        <v>25.83</v>
      </c>
      <c r="G2180" s="1677">
        <v>0</v>
      </c>
      <c r="H2180" s="1669">
        <f t="shared" si="336"/>
        <v>724.76396999999986</v>
      </c>
      <c r="I2180" s="1669">
        <f t="shared" si="337"/>
        <v>0</v>
      </c>
      <c r="J2180" s="1669">
        <f t="shared" si="339"/>
        <v>724.76396999999986</v>
      </c>
      <c r="K2180" s="1708"/>
      <c r="L2180" s="1721"/>
      <c r="M2180" s="1710" t="s">
        <v>1019</v>
      </c>
      <c r="N2180" s="1711"/>
    </row>
    <row r="2181" spans="1:14" ht="24" customHeight="1">
      <c r="A2181" s="1702"/>
      <c r="B2181" s="1703" t="s">
        <v>139</v>
      </c>
      <c r="C2181" s="1704" t="s">
        <v>1104</v>
      </c>
      <c r="D2181" s="1705">
        <v>4140</v>
      </c>
      <c r="E2181" s="1706" t="s">
        <v>87</v>
      </c>
      <c r="F2181" s="1707">
        <v>38.799999999999997</v>
      </c>
      <c r="G2181" s="1707">
        <v>12</v>
      </c>
      <c r="H2181" s="1707">
        <f t="shared" si="336"/>
        <v>160632</v>
      </c>
      <c r="I2181" s="1707">
        <f t="shared" si="337"/>
        <v>49680</v>
      </c>
      <c r="J2181" s="1707">
        <f t="shared" si="339"/>
        <v>210312</v>
      </c>
      <c r="K2181" s="1709"/>
      <c r="L2181" s="1721"/>
      <c r="M2181" s="1710" t="s">
        <v>1020</v>
      </c>
      <c r="N2181" s="1711" t="s">
        <v>664</v>
      </c>
    </row>
    <row r="2182" spans="1:14" ht="24" customHeight="1">
      <c r="A2182" s="1712"/>
      <c r="B2182" s="1673" t="s">
        <v>139</v>
      </c>
      <c r="C2182" s="1713" t="s">
        <v>1105</v>
      </c>
      <c r="D2182" s="1675">
        <v>410.4</v>
      </c>
      <c r="E2182" s="1676" t="s">
        <v>87</v>
      </c>
      <c r="F2182" s="1736">
        <v>36.4</v>
      </c>
      <c r="G2182" s="1669">
        <v>12</v>
      </c>
      <c r="H2182" s="1669">
        <f t="shared" si="336"/>
        <v>14938.56</v>
      </c>
      <c r="I2182" s="1669">
        <f t="shared" si="337"/>
        <v>4924.7999999999993</v>
      </c>
      <c r="J2182" s="1669">
        <f t="shared" si="339"/>
        <v>19863.36</v>
      </c>
      <c r="K2182" s="1708"/>
      <c r="L2182" s="1721"/>
      <c r="M2182" s="1710" t="s">
        <v>1020</v>
      </c>
      <c r="N2182" s="1711" t="s">
        <v>664</v>
      </c>
    </row>
    <row r="2183" spans="1:14" ht="24" customHeight="1">
      <c r="A2183" s="1712"/>
      <c r="B2183" s="1673" t="s">
        <v>139</v>
      </c>
      <c r="C2183" s="1713" t="s">
        <v>1207</v>
      </c>
      <c r="D2183" s="1675">
        <v>155.69999999999999</v>
      </c>
      <c r="E2183" s="1676" t="s">
        <v>87</v>
      </c>
      <c r="F2183" s="1669">
        <v>30.1</v>
      </c>
      <c r="G2183" s="1669">
        <v>12</v>
      </c>
      <c r="H2183" s="1669">
        <f t="shared" si="336"/>
        <v>4686.57</v>
      </c>
      <c r="I2183" s="1669">
        <f t="shared" si="337"/>
        <v>1868.3999999999999</v>
      </c>
      <c r="J2183" s="1669">
        <f t="shared" si="339"/>
        <v>6554.9699999999993</v>
      </c>
      <c r="K2183" s="1708"/>
      <c r="L2183" s="1721"/>
      <c r="M2183" s="1710" t="s">
        <v>1020</v>
      </c>
      <c r="N2183" s="1711" t="s">
        <v>664</v>
      </c>
    </row>
    <row r="2184" spans="1:14" ht="24" customHeight="1">
      <c r="A2184" s="1712"/>
      <c r="B2184" s="1673" t="s">
        <v>139</v>
      </c>
      <c r="C2184" s="1674" t="s">
        <v>90</v>
      </c>
      <c r="D2184" s="1675">
        <v>22.8</v>
      </c>
      <c r="E2184" s="1676" t="s">
        <v>87</v>
      </c>
      <c r="F2184" s="1677">
        <v>21.2</v>
      </c>
      <c r="G2184" s="1677">
        <v>3.6</v>
      </c>
      <c r="H2184" s="1669">
        <f t="shared" si="336"/>
        <v>483.36</v>
      </c>
      <c r="I2184" s="1669">
        <f t="shared" si="337"/>
        <v>82.08</v>
      </c>
      <c r="J2184" s="1669">
        <f t="shared" si="339"/>
        <v>565.44000000000005</v>
      </c>
      <c r="K2184" s="1708"/>
      <c r="L2184" s="1721"/>
      <c r="M2184" s="1710" t="s">
        <v>1016</v>
      </c>
      <c r="N2184" s="1711" t="s">
        <v>659</v>
      </c>
    </row>
    <row r="2185" spans="1:14" s="1685" customFormat="1" ht="24" customHeight="1">
      <c r="A2185" s="1712"/>
      <c r="B2185" s="2368" t="s">
        <v>1035</v>
      </c>
      <c r="C2185" s="2370"/>
      <c r="D2185" s="1675"/>
      <c r="E2185" s="1676"/>
      <c r="F2185" s="1669"/>
      <c r="G2185" s="1669"/>
      <c r="H2185" s="1669"/>
      <c r="I2185" s="1669"/>
      <c r="J2185" s="1669"/>
      <c r="K2185" s="1708"/>
      <c r="L2185" s="1721"/>
      <c r="M2185" s="1711"/>
      <c r="N2185" s="1711"/>
    </row>
    <row r="2186" spans="1:14" s="1685" customFormat="1" ht="24" customHeight="1">
      <c r="A2186" s="1712"/>
      <c r="B2186" s="2368" t="s">
        <v>1034</v>
      </c>
      <c r="C2186" s="2370"/>
      <c r="D2186" s="1675"/>
      <c r="E2186" s="1676"/>
      <c r="F2186" s="1669"/>
      <c r="G2186" s="1669"/>
      <c r="H2186" s="1669"/>
      <c r="I2186" s="1669"/>
      <c r="J2186" s="1669"/>
      <c r="K2186" s="1708"/>
      <c r="L2186" s="1721"/>
      <c r="M2186" s="1711"/>
      <c r="N2186" s="1711"/>
    </row>
    <row r="2187" spans="1:14" ht="24" customHeight="1">
      <c r="A2187" s="1712"/>
      <c r="B2187" s="1673" t="s">
        <v>139</v>
      </c>
      <c r="C2187" s="1674" t="s">
        <v>228</v>
      </c>
      <c r="D2187" s="1675">
        <v>12.9</v>
      </c>
      <c r="E2187" s="1676" t="s">
        <v>85</v>
      </c>
      <c r="F2187" s="1736">
        <v>2679.9</v>
      </c>
      <c r="G2187" s="1736">
        <v>519</v>
      </c>
      <c r="H2187" s="1669">
        <f t="shared" ref="H2187:H2198" si="340">F2187*D2187</f>
        <v>34570.71</v>
      </c>
      <c r="I2187" s="1669">
        <f t="shared" ref="I2187:I2198" si="341">G2187*D2187</f>
        <v>6695.1</v>
      </c>
      <c r="J2187" s="1669">
        <f t="shared" ref="J2187:J2193" si="342">SUM(H2187:I2187)</f>
        <v>41265.81</v>
      </c>
      <c r="K2187" s="1708"/>
      <c r="L2187" s="1721"/>
      <c r="M2187" s="1710" t="s">
        <v>1016</v>
      </c>
      <c r="N2187" s="1711" t="s">
        <v>659</v>
      </c>
    </row>
    <row r="2188" spans="1:14" ht="24" customHeight="1">
      <c r="A2188" s="1712"/>
      <c r="B2188" s="2368" t="s">
        <v>1036</v>
      </c>
      <c r="C2188" s="2370"/>
      <c r="D2188" s="1675">
        <v>58</v>
      </c>
      <c r="E2188" s="1676"/>
      <c r="F2188" s="1669"/>
      <c r="G2188" s="1669"/>
      <c r="H2188" s="1669"/>
      <c r="I2188" s="1669"/>
      <c r="J2188" s="1669"/>
      <c r="K2188" s="1708"/>
      <c r="L2188" s="1721"/>
      <c r="M2188" s="1711"/>
      <c r="N2188" s="1711"/>
    </row>
    <row r="2189" spans="1:14" ht="24" customHeight="1">
      <c r="A2189" s="1712"/>
      <c r="B2189" s="1673" t="s">
        <v>139</v>
      </c>
      <c r="C2189" s="1674" t="s">
        <v>165</v>
      </c>
      <c r="D2189" s="1675">
        <f>D2188</f>
        <v>58</v>
      </c>
      <c r="E2189" s="1676" t="s">
        <v>86</v>
      </c>
      <c r="F2189" s="1736">
        <v>0</v>
      </c>
      <c r="G2189" s="1669">
        <v>121</v>
      </c>
      <c r="H2189" s="1669">
        <f t="shared" si="340"/>
        <v>0</v>
      </c>
      <c r="I2189" s="1669">
        <f t="shared" si="341"/>
        <v>7018</v>
      </c>
      <c r="J2189" s="1669">
        <f t="shared" si="342"/>
        <v>7018</v>
      </c>
      <c r="K2189" s="1708"/>
      <c r="L2189" s="1721"/>
      <c r="M2189" s="1710" t="s">
        <v>1017</v>
      </c>
      <c r="N2189" s="1711" t="s">
        <v>659</v>
      </c>
    </row>
    <row r="2190" spans="1:14" ht="24" customHeight="1">
      <c r="A2190" s="1712"/>
      <c r="B2190" s="1673" t="s">
        <v>139</v>
      </c>
      <c r="C2190" s="1674" t="s">
        <v>198</v>
      </c>
      <c r="D2190" s="1675">
        <f>D2188*0.5</f>
        <v>29</v>
      </c>
      <c r="E2190" s="1676" t="s">
        <v>164</v>
      </c>
      <c r="F2190" s="1736">
        <v>400</v>
      </c>
      <c r="G2190" s="1736">
        <v>0</v>
      </c>
      <c r="H2190" s="1669">
        <f t="shared" si="340"/>
        <v>11600</v>
      </c>
      <c r="I2190" s="1669">
        <f t="shared" si="341"/>
        <v>0</v>
      </c>
      <c r="J2190" s="1669">
        <f t="shared" si="342"/>
        <v>11600</v>
      </c>
      <c r="K2190" s="1708"/>
      <c r="L2190" s="1721"/>
      <c r="M2190" s="1710" t="s">
        <v>1018</v>
      </c>
      <c r="N2190" s="1711"/>
    </row>
    <row r="2191" spans="1:14" ht="24" customHeight="1">
      <c r="A2191" s="1712"/>
      <c r="B2191" s="1673" t="s">
        <v>139</v>
      </c>
      <c r="C2191" s="1674" t="s">
        <v>166</v>
      </c>
      <c r="D2191" s="1675">
        <f>D2190*0.3</f>
        <v>8.6999999999999993</v>
      </c>
      <c r="E2191" s="1676" t="s">
        <v>164</v>
      </c>
      <c r="F2191" s="1736">
        <v>400</v>
      </c>
      <c r="G2191" s="1736">
        <v>0</v>
      </c>
      <c r="H2191" s="1669">
        <f t="shared" si="340"/>
        <v>3479.9999999999995</v>
      </c>
      <c r="I2191" s="1669">
        <f t="shared" si="341"/>
        <v>0</v>
      </c>
      <c r="J2191" s="1669">
        <f t="shared" si="342"/>
        <v>3479.9999999999995</v>
      </c>
      <c r="K2191" s="1708"/>
      <c r="L2191" s="1721"/>
      <c r="M2191" s="1710" t="s">
        <v>1018</v>
      </c>
      <c r="N2191" s="1685"/>
    </row>
    <row r="2192" spans="1:14" ht="24" customHeight="1">
      <c r="A2192" s="1712"/>
      <c r="B2192" s="1673" t="s">
        <v>139</v>
      </c>
      <c r="C2192" s="1674" t="s">
        <v>163</v>
      </c>
      <c r="D2192" s="1675">
        <f>D2188</f>
        <v>58</v>
      </c>
      <c r="E2192" s="1676" t="s">
        <v>83</v>
      </c>
      <c r="F2192" s="1736">
        <v>28</v>
      </c>
      <c r="G2192" s="1736">
        <v>0</v>
      </c>
      <c r="H2192" s="1669">
        <f t="shared" si="340"/>
        <v>1624</v>
      </c>
      <c r="I2192" s="1669">
        <f t="shared" si="341"/>
        <v>0</v>
      </c>
      <c r="J2192" s="1669">
        <f t="shared" si="342"/>
        <v>1624</v>
      </c>
      <c r="K2192" s="1708"/>
      <c r="L2192" s="1721"/>
      <c r="M2192" s="1710" t="s">
        <v>1018</v>
      </c>
      <c r="N2192" s="1685"/>
    </row>
    <row r="2193" spans="1:14" ht="24" customHeight="1">
      <c r="A2193" s="1712"/>
      <c r="B2193" s="1673" t="s">
        <v>139</v>
      </c>
      <c r="C2193" s="1674" t="s">
        <v>1781</v>
      </c>
      <c r="D2193" s="1675">
        <f>D2188*0.25</f>
        <v>14.5</v>
      </c>
      <c r="E2193" s="1676" t="s">
        <v>87</v>
      </c>
      <c r="F2193" s="1736">
        <v>23.89</v>
      </c>
      <c r="G2193" s="1736">
        <v>0</v>
      </c>
      <c r="H2193" s="1669">
        <f t="shared" si="340"/>
        <v>346.40500000000003</v>
      </c>
      <c r="I2193" s="1669">
        <f t="shared" si="341"/>
        <v>0</v>
      </c>
      <c r="J2193" s="1669">
        <f t="shared" si="342"/>
        <v>346.40500000000003</v>
      </c>
      <c r="K2193" s="1708"/>
      <c r="L2193" s="1721"/>
      <c r="M2193" s="1710" t="s">
        <v>660</v>
      </c>
      <c r="N2193" s="1685"/>
    </row>
    <row r="2194" spans="1:14" ht="24" customHeight="1">
      <c r="A2194" s="1712"/>
      <c r="B2194" s="1748" t="s">
        <v>1037</v>
      </c>
      <c r="C2194" s="1674"/>
      <c r="D2194" s="1675"/>
      <c r="E2194" s="1676"/>
      <c r="F2194" s="1736"/>
      <c r="G2194" s="1736"/>
      <c r="H2194" s="1669"/>
      <c r="I2194" s="1669"/>
      <c r="J2194" s="1669"/>
      <c r="K2194" s="1708"/>
      <c r="L2194" s="1721"/>
      <c r="M2194" s="1710"/>
      <c r="N2194" s="1685"/>
    </row>
    <row r="2195" spans="1:14" ht="24" customHeight="1">
      <c r="A2195" s="1712"/>
      <c r="B2195" s="1673" t="s">
        <v>139</v>
      </c>
      <c r="C2195" s="1674" t="s">
        <v>88</v>
      </c>
      <c r="D2195" s="1675">
        <v>200.9</v>
      </c>
      <c r="E2195" s="1676" t="s">
        <v>87</v>
      </c>
      <c r="F2195" s="1677">
        <v>21.4</v>
      </c>
      <c r="G2195" s="1677">
        <v>4.4000000000000004</v>
      </c>
      <c r="H2195" s="1669">
        <f t="shared" si="340"/>
        <v>4299.26</v>
      </c>
      <c r="I2195" s="1669">
        <f t="shared" si="341"/>
        <v>883.96000000000015</v>
      </c>
      <c r="J2195" s="1669">
        <f>SUM(H2195:I2195)</f>
        <v>5183.22</v>
      </c>
      <c r="K2195" s="1708"/>
      <c r="L2195" s="1721"/>
      <c r="M2195" s="1710" t="s">
        <v>1016</v>
      </c>
      <c r="N2195" s="1711" t="s">
        <v>659</v>
      </c>
    </row>
    <row r="2196" spans="1:14" ht="24" customHeight="1">
      <c r="A2196" s="1712"/>
      <c r="B2196" s="1673" t="s">
        <v>139</v>
      </c>
      <c r="C2196" s="1674" t="s">
        <v>89</v>
      </c>
      <c r="D2196" s="1675">
        <v>860</v>
      </c>
      <c r="E2196" s="1676" t="s">
        <v>87</v>
      </c>
      <c r="F2196" s="1677">
        <v>21.4</v>
      </c>
      <c r="G2196" s="1677">
        <v>3.6</v>
      </c>
      <c r="H2196" s="1669">
        <f t="shared" si="340"/>
        <v>18404</v>
      </c>
      <c r="I2196" s="1669">
        <f t="shared" si="341"/>
        <v>3096</v>
      </c>
      <c r="J2196" s="1669">
        <f>SUM(H2196:I2196)</f>
        <v>21500</v>
      </c>
      <c r="K2196" s="1708"/>
      <c r="L2196" s="1721"/>
      <c r="M2196" s="1710" t="s">
        <v>1016</v>
      </c>
      <c r="N2196" s="1711" t="s">
        <v>659</v>
      </c>
    </row>
    <row r="2197" spans="1:14" ht="24" customHeight="1">
      <c r="A2197" s="1712"/>
      <c r="B2197" s="1673" t="s">
        <v>139</v>
      </c>
      <c r="C2197" s="1674" t="s">
        <v>91</v>
      </c>
      <c r="D2197" s="1675">
        <v>161</v>
      </c>
      <c r="E2197" s="1676" t="s">
        <v>87</v>
      </c>
      <c r="F2197" s="1677">
        <v>21.2</v>
      </c>
      <c r="G2197" s="1677">
        <v>3.1</v>
      </c>
      <c r="H2197" s="1669">
        <f t="shared" si="340"/>
        <v>3413.2</v>
      </c>
      <c r="I2197" s="1669">
        <f t="shared" si="341"/>
        <v>499.1</v>
      </c>
      <c r="J2197" s="1669">
        <f>SUM(H2197:I2197)</f>
        <v>3912.2999999999997</v>
      </c>
      <c r="K2197" s="1708"/>
      <c r="L2197" s="1721"/>
      <c r="M2197" s="1710" t="s">
        <v>1016</v>
      </c>
      <c r="N2197" s="1711" t="s">
        <v>659</v>
      </c>
    </row>
    <row r="2198" spans="1:14" ht="24" customHeight="1">
      <c r="A2198" s="1672"/>
      <c r="B2198" s="1673" t="s">
        <v>139</v>
      </c>
      <c r="C2198" s="1674" t="s">
        <v>200</v>
      </c>
      <c r="D2198" s="1675">
        <f>SUM(D2195:D2197)*0.03</f>
        <v>36.657000000000004</v>
      </c>
      <c r="E2198" s="1676" t="s">
        <v>87</v>
      </c>
      <c r="F2198" s="1677">
        <v>25.83</v>
      </c>
      <c r="G2198" s="1677">
        <v>0</v>
      </c>
      <c r="H2198" s="1669">
        <f t="shared" si="340"/>
        <v>946.85031000000004</v>
      </c>
      <c r="I2198" s="1669">
        <f t="shared" si="341"/>
        <v>0</v>
      </c>
      <c r="J2198" s="1669">
        <f>SUM(H2198:I2198)</f>
        <v>946.85031000000004</v>
      </c>
      <c r="K2198" s="1708"/>
      <c r="L2198" s="1721"/>
      <c r="M2198" s="1710" t="s">
        <v>1019</v>
      </c>
      <c r="N2198" s="1711"/>
    </row>
    <row r="2199" spans="1:14" ht="24" customHeight="1">
      <c r="A2199" s="1780"/>
      <c r="B2199" s="1780"/>
      <c r="C2199" s="1827" t="s">
        <v>133</v>
      </c>
      <c r="D2199" s="2365"/>
      <c r="E2199" s="2365"/>
      <c r="F2199" s="2365"/>
      <c r="G2199" s="2365"/>
      <c r="H2199" s="2365"/>
      <c r="I2199" s="2365"/>
      <c r="J2199" s="2365"/>
      <c r="K2199" s="2365"/>
      <c r="L2199" s="1721"/>
      <c r="M2199" s="1710"/>
      <c r="N2199" s="1711"/>
    </row>
    <row r="2200" spans="1:14" ht="24" customHeight="1">
      <c r="A2200" s="1780"/>
      <c r="B2200" s="2366" t="s">
        <v>1769</v>
      </c>
      <c r="C2200" s="2366"/>
      <c r="D2200" s="1828"/>
      <c r="E2200" s="1769"/>
      <c r="F2200" s="1828"/>
      <c r="G2200" s="1828" t="s">
        <v>134</v>
      </c>
      <c r="H2200" s="1828"/>
      <c r="I2200" s="1828"/>
      <c r="J2200" s="1828"/>
      <c r="K2200" s="1828"/>
      <c r="L2200" s="1721"/>
      <c r="M2200" s="1710"/>
      <c r="N2200" s="1711"/>
    </row>
    <row r="2201" spans="1:14" ht="24" customHeight="1">
      <c r="A2201" s="1780"/>
      <c r="B2201" s="2367" t="s">
        <v>1970</v>
      </c>
      <c r="C2201" s="2367"/>
      <c r="D2201" s="1831"/>
      <c r="E2201" s="1832"/>
      <c r="F2201" s="1833"/>
      <c r="G2201" s="1833" t="s">
        <v>1971</v>
      </c>
      <c r="H2201" s="1833"/>
      <c r="I2201" s="1833"/>
      <c r="J2201" s="1833"/>
      <c r="K2201" s="1833"/>
      <c r="L2201" s="1721"/>
      <c r="M2201" s="1710"/>
      <c r="N2201" s="1711"/>
    </row>
    <row r="2202" spans="1:14" ht="24" customHeight="1">
      <c r="A2202" s="1830"/>
      <c r="B2202" s="1828" t="s">
        <v>2031</v>
      </c>
      <c r="C2202" s="1830"/>
      <c r="D2202" s="1830"/>
      <c r="E2202" s="1830"/>
      <c r="F2202" s="1830"/>
      <c r="G2202" s="1828" t="s">
        <v>2031</v>
      </c>
      <c r="H2202" s="1830"/>
      <c r="I2202" s="1830"/>
      <c r="J2202" s="1830"/>
      <c r="K2202" s="1830"/>
      <c r="L2202" s="1721"/>
      <c r="M2202" s="1710"/>
      <c r="N2202" s="1711"/>
    </row>
    <row r="2203" spans="1:14" ht="24" customHeight="1">
      <c r="B2203" s="1721" t="s">
        <v>1984</v>
      </c>
      <c r="C2203" s="1830"/>
      <c r="D2203" s="1685"/>
      <c r="E2203" s="1685"/>
      <c r="G2203" s="1721" t="s">
        <v>1985</v>
      </c>
      <c r="H2203" s="1685"/>
      <c r="I2203" s="1685"/>
      <c r="J2203" s="1685"/>
      <c r="K2203" s="1685"/>
      <c r="L2203" s="1721"/>
      <c r="M2203" s="1710"/>
      <c r="N2203" s="1711"/>
    </row>
    <row r="2204" spans="1:14" ht="24" customHeight="1">
      <c r="B2204" s="1828" t="s">
        <v>670</v>
      </c>
      <c r="L2204" s="1721"/>
      <c r="M2204" s="1710"/>
      <c r="N2204" s="1711"/>
    </row>
    <row r="2205" spans="1:14" ht="24" customHeight="1">
      <c r="B2205" s="1721" t="s">
        <v>1972</v>
      </c>
      <c r="L2205" s="1721"/>
      <c r="M2205" s="1710"/>
      <c r="N2205" s="1711"/>
    </row>
    <row r="2206" spans="1:14" ht="24" customHeight="1">
      <c r="A2206" s="1672"/>
      <c r="B2206" s="2368" t="s">
        <v>98</v>
      </c>
      <c r="C2206" s="2370"/>
      <c r="D2206" s="1675"/>
      <c r="E2206" s="1676"/>
      <c r="F2206" s="1669"/>
      <c r="G2206" s="1669"/>
      <c r="H2206" s="1669"/>
      <c r="I2206" s="1669"/>
      <c r="J2206" s="1669"/>
      <c r="K2206" s="1708"/>
      <c r="L2206" s="1721"/>
      <c r="M2206" s="1711"/>
      <c r="N2206" s="1711"/>
    </row>
    <row r="2207" spans="1:14" ht="24" customHeight="1">
      <c r="A2207" s="1672"/>
      <c r="B2207" s="1673" t="s">
        <v>107</v>
      </c>
      <c r="C2207" s="1674" t="s">
        <v>1116</v>
      </c>
      <c r="D2207" s="1675">
        <v>309.60000000000002</v>
      </c>
      <c r="E2207" s="1676" t="s">
        <v>86</v>
      </c>
      <c r="F2207" s="1677">
        <v>600</v>
      </c>
      <c r="G2207" s="1677">
        <v>100</v>
      </c>
      <c r="H2207" s="1669">
        <f>F2207*D2207</f>
        <v>185760</v>
      </c>
      <c r="I2207" s="1669">
        <f>G2207*D2207</f>
        <v>30960.000000000004</v>
      </c>
      <c r="J2207" s="1669">
        <f>SUM(H2207:I2207)</f>
        <v>216720</v>
      </c>
      <c r="K2207" s="1708"/>
      <c r="L2207" s="1804" t="s">
        <v>1918</v>
      </c>
      <c r="M2207" s="1710" t="s">
        <v>622</v>
      </c>
      <c r="N2207" s="1711"/>
    </row>
    <row r="2208" spans="1:14" ht="24" customHeight="1">
      <c r="A2208" s="1715"/>
      <c r="B2208" s="1716"/>
      <c r="C2208" s="1717"/>
      <c r="D2208" s="1718"/>
      <c r="E2208" s="1719"/>
      <c r="F2208" s="1720"/>
      <c r="G2208" s="1720"/>
      <c r="H2208" s="1720"/>
      <c r="I2208" s="1720"/>
      <c r="J2208" s="1720"/>
      <c r="K2208" s="1752"/>
      <c r="L2208" s="1721"/>
      <c r="M2208" s="1711"/>
      <c r="N2208" s="1711"/>
    </row>
    <row r="2209" spans="1:22" s="1685" customFormat="1" ht="24" customHeight="1" thickBot="1">
      <c r="A2209" s="1722"/>
      <c r="B2209" s="1753"/>
      <c r="C2209" s="1724" t="str">
        <f>"รวมราคา "&amp;B2113</f>
        <v>รวมราคา งานโครงสร้างชั้น หลังคาคลุมบันได</v>
      </c>
      <c r="D2209" s="1725"/>
      <c r="E2209" s="1726"/>
      <c r="F2209" s="1727"/>
      <c r="G2209" s="1727"/>
      <c r="H2209" s="1727">
        <f>SUM(H2114:H2207)</f>
        <v>1236176.19343</v>
      </c>
      <c r="I2209" s="1727">
        <f>SUM(I2114:I2207)</f>
        <v>296237.70999999996</v>
      </c>
      <c r="J2209" s="1727">
        <f>SUM(J2114:J2207)</f>
        <v>1532413.9034299999</v>
      </c>
      <c r="K2209" s="1727"/>
      <c r="L2209" s="1759"/>
      <c r="M2209" s="1710" t="s">
        <v>1016</v>
      </c>
      <c r="N2209" s="1711" t="s">
        <v>665</v>
      </c>
    </row>
    <row r="2210" spans="1:22" ht="24" customHeight="1" thickTop="1">
      <c r="A2210" s="1791">
        <v>1.1399999999999999</v>
      </c>
      <c r="B2210" s="2374" t="s">
        <v>151</v>
      </c>
      <c r="C2210" s="2375"/>
      <c r="D2210" s="1731"/>
      <c r="E2210" s="1732"/>
      <c r="F2210" s="1733"/>
      <c r="G2210" s="1733"/>
      <c r="H2210" s="1733"/>
      <c r="I2210" s="1733"/>
      <c r="J2210" s="1733"/>
      <c r="K2210" s="1733"/>
      <c r="L2210" s="1759"/>
      <c r="M2210" s="1701"/>
      <c r="N2210" s="1701"/>
    </row>
    <row r="2211" spans="1:22" ht="24" customHeight="1">
      <c r="A2211" s="1702"/>
      <c r="B2211" s="2369" t="s">
        <v>99</v>
      </c>
      <c r="C2211" s="2373"/>
      <c r="D2211" s="1705"/>
      <c r="E2211" s="1706"/>
      <c r="F2211" s="1707"/>
      <c r="G2211" s="1707"/>
      <c r="H2211" s="1707"/>
      <c r="I2211" s="1707"/>
      <c r="J2211" s="1707"/>
      <c r="K2211" s="1709"/>
      <c r="L2211" s="1721"/>
      <c r="M2211" s="1701"/>
      <c r="N2211" s="1701"/>
    </row>
    <row r="2212" spans="1:22" ht="24" customHeight="1">
      <c r="A2212" s="1712"/>
      <c r="B2212" s="1673" t="s">
        <v>139</v>
      </c>
      <c r="C2212" s="1713" t="s">
        <v>1108</v>
      </c>
      <c r="D2212" s="1675">
        <v>6338</v>
      </c>
      <c r="E2212" s="1676" t="s">
        <v>87</v>
      </c>
      <c r="F2212" s="1669">
        <v>27.6</v>
      </c>
      <c r="G2212" s="1669">
        <v>10</v>
      </c>
      <c r="H2212" s="1669">
        <f t="shared" ref="H2212:H2234" si="343">F2212*D2212</f>
        <v>174928.80000000002</v>
      </c>
      <c r="I2212" s="1669">
        <f t="shared" ref="I2212:I2234" si="344">G2212*D2212</f>
        <v>63380</v>
      </c>
      <c r="J2212" s="1669">
        <f t="shared" ref="J2212:J2234" si="345">SUM(H2212:I2212)</f>
        <v>238308.80000000002</v>
      </c>
      <c r="K2212" s="1708"/>
      <c r="L2212" s="1721"/>
      <c r="M2212" s="1711"/>
      <c r="N2212" s="1711"/>
    </row>
    <row r="2213" spans="1:22" ht="24" customHeight="1">
      <c r="A2213" s="1712"/>
      <c r="B2213" s="1673" t="s">
        <v>139</v>
      </c>
      <c r="C2213" s="1674" t="s">
        <v>1109</v>
      </c>
      <c r="D2213" s="1675">
        <v>3027</v>
      </c>
      <c r="E2213" s="1676" t="s">
        <v>87</v>
      </c>
      <c r="F2213" s="1669">
        <v>32.14</v>
      </c>
      <c r="G2213" s="1669">
        <v>10</v>
      </c>
      <c r="H2213" s="1669">
        <f t="shared" si="343"/>
        <v>97287.78</v>
      </c>
      <c r="I2213" s="1669">
        <f t="shared" si="344"/>
        <v>30270</v>
      </c>
      <c r="J2213" s="1669">
        <f t="shared" si="345"/>
        <v>127557.78</v>
      </c>
      <c r="K2213" s="1708"/>
      <c r="L2213" s="1721"/>
      <c r="M2213" s="1710" t="s">
        <v>1020</v>
      </c>
      <c r="N2213" s="1711" t="s">
        <v>664</v>
      </c>
    </row>
    <row r="2214" spans="1:22" ht="24" customHeight="1">
      <c r="A2214" s="1664"/>
      <c r="B2214" s="1665" t="s">
        <v>139</v>
      </c>
      <c r="C2214" s="1805" t="s">
        <v>1110</v>
      </c>
      <c r="D2214" s="1667">
        <v>3345.1</v>
      </c>
      <c r="E2214" s="1668" t="s">
        <v>87</v>
      </c>
      <c r="F2214" s="1670">
        <v>27.65</v>
      </c>
      <c r="G2214" s="1670">
        <v>10</v>
      </c>
      <c r="H2214" s="1670">
        <f>F2214*D2214</f>
        <v>92492.014999999999</v>
      </c>
      <c r="I2214" s="1670">
        <f>G2214*D2214</f>
        <v>33451</v>
      </c>
      <c r="J2214" s="1670">
        <f>SUM(H2214:I2214)</f>
        <v>125943.015</v>
      </c>
      <c r="K2214" s="1746"/>
      <c r="L2214" s="1721"/>
      <c r="M2214" s="1710" t="s">
        <v>1020</v>
      </c>
      <c r="N2214" s="1711" t="s">
        <v>664</v>
      </c>
    </row>
    <row r="2215" spans="1:22" s="1662" customFormat="1" ht="48">
      <c r="A2215" s="1652"/>
      <c r="B2215" s="1653" t="s">
        <v>107</v>
      </c>
      <c r="C2215" s="1806" t="s">
        <v>1111</v>
      </c>
      <c r="D2215" s="1655">
        <v>1</v>
      </c>
      <c r="E2215" s="1652" t="s">
        <v>109</v>
      </c>
      <c r="F2215" s="1658">
        <v>6121.5</v>
      </c>
      <c r="G2215" s="1658">
        <v>2310</v>
      </c>
      <c r="H2215" s="1658">
        <f t="shared" si="343"/>
        <v>6121.5</v>
      </c>
      <c r="I2215" s="1658">
        <f t="shared" si="344"/>
        <v>2310</v>
      </c>
      <c r="J2215" s="1658">
        <f t="shared" si="345"/>
        <v>8431.5</v>
      </c>
      <c r="K2215" s="1659"/>
      <c r="L2215" s="1660"/>
      <c r="M2215" s="1661" t="s">
        <v>1020</v>
      </c>
      <c r="N2215" s="1662" t="s">
        <v>664</v>
      </c>
    </row>
    <row r="2216" spans="1:22" s="1662" customFormat="1" ht="48">
      <c r="A2216" s="1652"/>
      <c r="B2216" s="1653" t="s">
        <v>107</v>
      </c>
      <c r="C2216" s="1806" t="s">
        <v>1112</v>
      </c>
      <c r="D2216" s="1655">
        <v>1</v>
      </c>
      <c r="E2216" s="1652" t="s">
        <v>109</v>
      </c>
      <c r="F2216" s="1658">
        <v>6121.5</v>
      </c>
      <c r="G2216" s="1658">
        <v>2310</v>
      </c>
      <c r="H2216" s="1658">
        <f t="shared" si="343"/>
        <v>6121.5</v>
      </c>
      <c r="I2216" s="1658">
        <f t="shared" si="344"/>
        <v>2310</v>
      </c>
      <c r="J2216" s="1658">
        <f t="shared" si="345"/>
        <v>8431.5</v>
      </c>
      <c r="K2216" s="1659"/>
      <c r="L2216" s="1660"/>
      <c r="M2216" s="1661" t="s">
        <v>1021</v>
      </c>
      <c r="N2216" s="1662" t="s">
        <v>664</v>
      </c>
      <c r="V2216" s="1807"/>
    </row>
    <row r="2217" spans="1:22" ht="24" customHeight="1">
      <c r="A2217" s="1712"/>
      <c r="B2217" s="1673" t="s">
        <v>107</v>
      </c>
      <c r="C2217" s="1713" t="s">
        <v>1113</v>
      </c>
      <c r="D2217" s="1675">
        <v>16</v>
      </c>
      <c r="E2217" s="1676" t="s">
        <v>27</v>
      </c>
      <c r="F2217" s="1669">
        <v>103</v>
      </c>
      <c r="G2217" s="1669">
        <v>0</v>
      </c>
      <c r="H2217" s="1669">
        <f t="shared" si="343"/>
        <v>1648</v>
      </c>
      <c r="I2217" s="1669">
        <f t="shared" si="344"/>
        <v>0</v>
      </c>
      <c r="J2217" s="1669">
        <f t="shared" si="345"/>
        <v>1648</v>
      </c>
      <c r="K2217" s="1708"/>
      <c r="L2217" s="1721"/>
      <c r="M2217" s="1710" t="s">
        <v>666</v>
      </c>
      <c r="N2217" s="1711" t="s">
        <v>664</v>
      </c>
    </row>
    <row r="2218" spans="1:22" ht="24" customHeight="1">
      <c r="A2218" s="1702"/>
      <c r="B2218" s="1703" t="s">
        <v>107</v>
      </c>
      <c r="C2218" s="1704" t="s">
        <v>1114</v>
      </c>
      <c r="D2218" s="1705">
        <v>32</v>
      </c>
      <c r="E2218" s="1706" t="s">
        <v>27</v>
      </c>
      <c r="F2218" s="1707">
        <v>438.36</v>
      </c>
      <c r="G2218" s="1707">
        <v>0</v>
      </c>
      <c r="H2218" s="1707">
        <f t="shared" si="343"/>
        <v>14027.52</v>
      </c>
      <c r="I2218" s="1707">
        <f t="shared" si="344"/>
        <v>0</v>
      </c>
      <c r="J2218" s="1707">
        <f t="shared" si="345"/>
        <v>14027.52</v>
      </c>
      <c r="K2218" s="1709"/>
      <c r="L2218" s="1721"/>
      <c r="M2218" s="1710" t="s">
        <v>643</v>
      </c>
      <c r="N2218" s="1711" t="s">
        <v>664</v>
      </c>
    </row>
    <row r="2219" spans="1:22" ht="24" customHeight="1">
      <c r="A2219" s="1712"/>
      <c r="B2219" s="1673" t="s">
        <v>107</v>
      </c>
      <c r="C2219" s="1713" t="s">
        <v>424</v>
      </c>
      <c r="D2219" s="1675">
        <v>76</v>
      </c>
      <c r="E2219" s="1676" t="s">
        <v>86</v>
      </c>
      <c r="F2219" s="1669">
        <v>53</v>
      </c>
      <c r="G2219" s="1669">
        <v>30</v>
      </c>
      <c r="H2219" s="1669">
        <f t="shared" si="343"/>
        <v>4028</v>
      </c>
      <c r="I2219" s="1669">
        <f t="shared" si="344"/>
        <v>2280</v>
      </c>
      <c r="J2219" s="1669">
        <f t="shared" si="345"/>
        <v>6308</v>
      </c>
      <c r="K2219" s="1761"/>
      <c r="M2219" s="1710" t="s">
        <v>643</v>
      </c>
      <c r="N2219" s="1711" t="s">
        <v>664</v>
      </c>
    </row>
    <row r="2220" spans="1:22" ht="24" customHeight="1">
      <c r="A2220" s="1712"/>
      <c r="B2220" s="1673" t="s">
        <v>107</v>
      </c>
      <c r="C2220" s="1713" t="s">
        <v>1226</v>
      </c>
      <c r="D2220" s="1675">
        <v>395</v>
      </c>
      <c r="E2220" s="1676" t="s">
        <v>86</v>
      </c>
      <c r="F2220" s="1669">
        <v>320</v>
      </c>
      <c r="G2220" s="1669">
        <v>80</v>
      </c>
      <c r="H2220" s="1669">
        <f t="shared" si="343"/>
        <v>126400</v>
      </c>
      <c r="I2220" s="1669">
        <f t="shared" si="344"/>
        <v>31600</v>
      </c>
      <c r="J2220" s="1669">
        <f t="shared" si="345"/>
        <v>158000</v>
      </c>
      <c r="K2220" s="1708"/>
      <c r="L2220" s="1721"/>
      <c r="M2220" s="1710" t="s">
        <v>1016</v>
      </c>
      <c r="N2220" s="1711"/>
    </row>
    <row r="2221" spans="1:22" ht="24" customHeight="1">
      <c r="A2221" s="1712"/>
      <c r="B2221" s="1673" t="s">
        <v>107</v>
      </c>
      <c r="C2221" s="1713" t="s">
        <v>1228</v>
      </c>
      <c r="D2221" s="1675">
        <v>550</v>
      </c>
      <c r="E2221" s="1676" t="s">
        <v>27</v>
      </c>
      <c r="F2221" s="1669">
        <v>30</v>
      </c>
      <c r="G2221" s="1669">
        <v>0</v>
      </c>
      <c r="H2221" s="1669">
        <f>F2221*D2221</f>
        <v>16500</v>
      </c>
      <c r="I2221" s="1669">
        <f>G2221*D2221</f>
        <v>0</v>
      </c>
      <c r="J2221" s="1669">
        <f>SUM(H2221:I2221)</f>
        <v>16500</v>
      </c>
      <c r="K2221" s="1708"/>
      <c r="L2221" s="1721"/>
      <c r="M2221" s="1763" t="s">
        <v>1022</v>
      </c>
      <c r="N2221" s="1685"/>
    </row>
    <row r="2222" spans="1:22" s="1662" customFormat="1" ht="48">
      <c r="A2222" s="1652"/>
      <c r="B2222" s="1653" t="s">
        <v>107</v>
      </c>
      <c r="C2222" s="1806" t="s">
        <v>1115</v>
      </c>
      <c r="D2222" s="1655">
        <f>D2220</f>
        <v>395</v>
      </c>
      <c r="E2222" s="1656" t="s">
        <v>86</v>
      </c>
      <c r="F2222" s="1658">
        <v>2475</v>
      </c>
      <c r="G2222" s="1658">
        <f>F2222*0.1</f>
        <v>247.5</v>
      </c>
      <c r="H2222" s="1658">
        <f>F2222*D2222</f>
        <v>977625</v>
      </c>
      <c r="I2222" s="1658">
        <f t="shared" si="344"/>
        <v>97762.5</v>
      </c>
      <c r="J2222" s="1658">
        <f t="shared" si="345"/>
        <v>1075387.5</v>
      </c>
      <c r="K2222" s="1708"/>
      <c r="L2222" s="1659" t="s">
        <v>1912</v>
      </c>
      <c r="M2222" s="1661" t="s">
        <v>1022</v>
      </c>
      <c r="N2222" s="1663"/>
      <c r="V2222" s="1807"/>
    </row>
    <row r="2223" spans="1:22" s="1662" customFormat="1">
      <c r="A2223" s="1780"/>
      <c r="B2223" s="1780"/>
      <c r="C2223" s="1827" t="s">
        <v>133</v>
      </c>
      <c r="D2223" s="2365"/>
      <c r="E2223" s="2365"/>
      <c r="F2223" s="2365"/>
      <c r="G2223" s="2365"/>
      <c r="H2223" s="2365"/>
      <c r="I2223" s="2365"/>
      <c r="J2223" s="2365"/>
      <c r="K2223" s="2365"/>
      <c r="L2223" s="1659"/>
      <c r="M2223" s="1661"/>
      <c r="N2223" s="1663"/>
      <c r="V2223" s="1807"/>
    </row>
    <row r="2224" spans="1:22" s="1662" customFormat="1">
      <c r="A2224" s="1780"/>
      <c r="B2224" s="2366" t="s">
        <v>1769</v>
      </c>
      <c r="C2224" s="2366"/>
      <c r="D2224" s="1828"/>
      <c r="E2224" s="1769"/>
      <c r="F2224" s="1828"/>
      <c r="G2224" s="1828" t="s">
        <v>134</v>
      </c>
      <c r="H2224" s="1828"/>
      <c r="I2224" s="1828"/>
      <c r="J2224" s="1828"/>
      <c r="K2224" s="1828"/>
      <c r="L2224" s="1659"/>
      <c r="M2224" s="1661"/>
      <c r="N2224" s="1663"/>
      <c r="V2224" s="1807"/>
    </row>
    <row r="2225" spans="1:22" s="1662" customFormat="1">
      <c r="A2225" s="1780"/>
      <c r="B2225" s="2367" t="s">
        <v>1970</v>
      </c>
      <c r="C2225" s="2367"/>
      <c r="D2225" s="1831"/>
      <c r="E2225" s="1832"/>
      <c r="F2225" s="1833"/>
      <c r="G2225" s="1833" t="s">
        <v>1971</v>
      </c>
      <c r="H2225" s="1833"/>
      <c r="I2225" s="1833"/>
      <c r="J2225" s="1833"/>
      <c r="K2225" s="1833"/>
      <c r="L2225" s="1659"/>
      <c r="M2225" s="1661"/>
      <c r="N2225" s="1663"/>
      <c r="V2225" s="1807"/>
    </row>
    <row r="2226" spans="1:22" s="1662" customFormat="1">
      <c r="A2226" s="1830"/>
      <c r="B2226" s="1828" t="s">
        <v>2031</v>
      </c>
      <c r="C2226" s="1830"/>
      <c r="D2226" s="1830"/>
      <c r="E2226" s="1830"/>
      <c r="F2226" s="1830"/>
      <c r="G2226" s="1828" t="s">
        <v>2031</v>
      </c>
      <c r="H2226" s="1830"/>
      <c r="I2226" s="1830"/>
      <c r="J2226" s="1830"/>
      <c r="K2226" s="1830"/>
      <c r="L2226" s="1659"/>
      <c r="M2226" s="1661"/>
      <c r="N2226" s="1663"/>
      <c r="V2226" s="1807"/>
    </row>
    <row r="2227" spans="1:22" s="1662" customFormat="1">
      <c r="A2227" s="1685"/>
      <c r="B2227" s="1721" t="s">
        <v>1984</v>
      </c>
      <c r="C2227" s="1830"/>
      <c r="D2227" s="1685"/>
      <c r="E2227" s="1685"/>
      <c r="F2227" s="1685"/>
      <c r="G2227" s="1721" t="s">
        <v>1985</v>
      </c>
      <c r="H2227" s="1685"/>
      <c r="I2227" s="1685"/>
      <c r="J2227" s="1685"/>
      <c r="K2227" s="1685"/>
      <c r="L2227" s="1659"/>
      <c r="M2227" s="1661"/>
      <c r="N2227" s="1663"/>
      <c r="V2227" s="1807"/>
    </row>
    <row r="2228" spans="1:22" s="1662" customFormat="1">
      <c r="A2228" s="1685"/>
      <c r="B2228" s="1828" t="s">
        <v>670</v>
      </c>
      <c r="C2228" s="1685"/>
      <c r="D2228" s="1686"/>
      <c r="E2228" s="1824"/>
      <c r="F2228" s="1685"/>
      <c r="G2228" s="1834"/>
      <c r="H2228" s="1834"/>
      <c r="I2228" s="1834"/>
      <c r="J2228" s="1834"/>
      <c r="K2228" s="1762"/>
      <c r="L2228" s="1659"/>
      <c r="M2228" s="1661"/>
      <c r="N2228" s="1663"/>
      <c r="V2228" s="1807"/>
    </row>
    <row r="2229" spans="1:22" s="1662" customFormat="1">
      <c r="A2229" s="1685"/>
      <c r="B2229" s="1721" t="s">
        <v>1972</v>
      </c>
      <c r="C2229" s="1685"/>
      <c r="D2229" s="1686"/>
      <c r="E2229" s="1824"/>
      <c r="F2229" s="1685"/>
      <c r="G2229" s="1834"/>
      <c r="H2229" s="1834"/>
      <c r="I2229" s="1834"/>
      <c r="J2229" s="1834"/>
      <c r="K2229" s="1762"/>
      <c r="L2229" s="1659"/>
      <c r="M2229" s="1661"/>
      <c r="N2229" s="1663"/>
      <c r="V2229" s="1807"/>
    </row>
    <row r="2230" spans="1:22" s="1662" customFormat="1">
      <c r="A2230" s="1652"/>
      <c r="B2230" s="1653" t="s">
        <v>107</v>
      </c>
      <c r="C2230" s="1808" t="s">
        <v>1048</v>
      </c>
      <c r="D2230" s="1655">
        <v>96</v>
      </c>
      <c r="E2230" s="1656" t="s">
        <v>86</v>
      </c>
      <c r="F2230" s="1658">
        <v>5000</v>
      </c>
      <c r="G2230" s="1658">
        <v>350</v>
      </c>
      <c r="H2230" s="1658">
        <f>F2230*D2230</f>
        <v>480000</v>
      </c>
      <c r="I2230" s="1658">
        <f>G2230*D2230</f>
        <v>33600</v>
      </c>
      <c r="J2230" s="1658">
        <f>SUM(H2230:I2230)</f>
        <v>513600</v>
      </c>
      <c r="K2230" s="1708"/>
      <c r="L2230" s="1659" t="s">
        <v>1909</v>
      </c>
      <c r="M2230" s="1661" t="s">
        <v>1022</v>
      </c>
      <c r="N2230" s="1663"/>
      <c r="V2230" s="1807"/>
    </row>
    <row r="2231" spans="1:22" s="1662" customFormat="1">
      <c r="A2231" s="1652"/>
      <c r="B2231" s="1653" t="s">
        <v>107</v>
      </c>
      <c r="C2231" s="1806" t="s">
        <v>425</v>
      </c>
      <c r="D2231" s="1655">
        <v>20</v>
      </c>
      <c r="E2231" s="1656" t="s">
        <v>426</v>
      </c>
      <c r="F2231" s="1658">
        <v>110</v>
      </c>
      <c r="G2231" s="1658">
        <v>0</v>
      </c>
      <c r="H2231" s="1658">
        <f t="shared" si="343"/>
        <v>2200</v>
      </c>
      <c r="I2231" s="1658">
        <f t="shared" si="344"/>
        <v>0</v>
      </c>
      <c r="J2231" s="1658">
        <f t="shared" si="345"/>
        <v>2200</v>
      </c>
      <c r="K2231" s="1708"/>
      <c r="L2231" s="1659"/>
      <c r="M2231" s="1661" t="s">
        <v>1022</v>
      </c>
      <c r="N2231" s="1663"/>
      <c r="V2231" s="1807"/>
    </row>
    <row r="2232" spans="1:22" ht="24" customHeight="1">
      <c r="A2232" s="1712"/>
      <c r="B2232" s="1673" t="s">
        <v>107</v>
      </c>
      <c r="C2232" s="1713" t="s">
        <v>1227</v>
      </c>
      <c r="D2232" s="1809">
        <v>102.8</v>
      </c>
      <c r="E2232" s="1810" t="s">
        <v>84</v>
      </c>
      <c r="F2232" s="1811">
        <v>250</v>
      </c>
      <c r="G2232" s="1811">
        <v>50</v>
      </c>
      <c r="H2232" s="1669">
        <f t="shared" si="343"/>
        <v>25700</v>
      </c>
      <c r="I2232" s="1669">
        <f t="shared" si="344"/>
        <v>5140</v>
      </c>
      <c r="J2232" s="1669">
        <f t="shared" si="345"/>
        <v>30840</v>
      </c>
      <c r="K2232" s="1708"/>
      <c r="L2232" s="1721"/>
      <c r="M2232" s="1710" t="s">
        <v>654</v>
      </c>
      <c r="N2232" s="1685"/>
    </row>
    <row r="2233" spans="1:22" s="1685" customFormat="1" ht="24" customHeight="1">
      <c r="A2233" s="1712"/>
      <c r="B2233" s="1673" t="s">
        <v>107</v>
      </c>
      <c r="C2233" s="1713" t="s">
        <v>1143</v>
      </c>
      <c r="D2233" s="1809">
        <f>D2212+D2213+D2214</f>
        <v>12710.1</v>
      </c>
      <c r="E2233" s="1810" t="s">
        <v>269</v>
      </c>
      <c r="F2233" s="1811">
        <v>0</v>
      </c>
      <c r="G2233" s="1811">
        <v>12</v>
      </c>
      <c r="H2233" s="1669">
        <f t="shared" si="343"/>
        <v>0</v>
      </c>
      <c r="I2233" s="1669">
        <f t="shared" si="344"/>
        <v>152521.20000000001</v>
      </c>
      <c r="J2233" s="1669">
        <f t="shared" si="345"/>
        <v>152521.20000000001</v>
      </c>
      <c r="K2233" s="1708"/>
      <c r="L2233" s="1721"/>
      <c r="M2233" s="1710" t="s">
        <v>654</v>
      </c>
    </row>
    <row r="2234" spans="1:22" ht="24" customHeight="1">
      <c r="A2234" s="1712"/>
      <c r="B2234" s="1673" t="s">
        <v>107</v>
      </c>
      <c r="C2234" s="1713" t="s">
        <v>667</v>
      </c>
      <c r="D2234" s="1809">
        <v>21</v>
      </c>
      <c r="E2234" s="1810" t="s">
        <v>84</v>
      </c>
      <c r="F2234" s="1811">
        <v>4600</v>
      </c>
      <c r="G2234" s="1811">
        <v>0</v>
      </c>
      <c r="H2234" s="1669">
        <f t="shared" si="343"/>
        <v>96600</v>
      </c>
      <c r="I2234" s="1669">
        <f t="shared" si="344"/>
        <v>0</v>
      </c>
      <c r="J2234" s="1669">
        <f t="shared" si="345"/>
        <v>96600</v>
      </c>
      <c r="K2234" s="1708"/>
      <c r="L2234" s="1721"/>
      <c r="M2234" s="1710"/>
      <c r="N2234" s="1685"/>
    </row>
    <row r="2235" spans="1:22" ht="24" customHeight="1">
      <c r="A2235" s="1812"/>
      <c r="B2235" s="1716"/>
      <c r="C2235" s="1813"/>
      <c r="D2235" s="1814"/>
      <c r="E2235" s="1815"/>
      <c r="F2235" s="1816"/>
      <c r="G2235" s="1816"/>
      <c r="H2235" s="1720"/>
      <c r="I2235" s="1720"/>
      <c r="J2235" s="1720"/>
      <c r="K2235" s="1752"/>
      <c r="L2235" s="1721"/>
      <c r="M2235" s="1710"/>
      <c r="N2235" s="1685"/>
    </row>
    <row r="2236" spans="1:22" ht="24" customHeight="1" thickBot="1">
      <c r="A2236" s="1722"/>
      <c r="B2236" s="1753"/>
      <c r="C2236" s="1724" t="str">
        <f>"รวมราคา "&amp;B2210</f>
        <v>รวมราคา งานติดตั้งชั้นหลังคาเหล็ก</v>
      </c>
      <c r="D2236" s="1725"/>
      <c r="E2236" s="1726"/>
      <c r="F2236" s="1727"/>
      <c r="G2236" s="1727"/>
      <c r="H2236" s="1727">
        <f>SUM(H2211:H2234)</f>
        <v>2121680.1150000002</v>
      </c>
      <c r="I2236" s="1727">
        <f>SUM(I2211:I2234)</f>
        <v>454624.7</v>
      </c>
      <c r="J2236" s="1727">
        <f>SUM(J2211:J2234)</f>
        <v>2576304.8150000004</v>
      </c>
      <c r="K2236" s="1728"/>
      <c r="L2236" s="1729"/>
      <c r="M2236" s="1710" t="s">
        <v>654</v>
      </c>
      <c r="N2236" s="1711"/>
    </row>
    <row r="2237" spans="1:22" ht="24" customHeight="1" thickTop="1" thickBot="1">
      <c r="A2237" s="1817"/>
      <c r="B2237" s="1818" t="str">
        <f>"รวมราคา "&amp;B13</f>
        <v>รวมราคา งานวิศวกรรมโครงสร้าง</v>
      </c>
      <c r="C2237" s="1819"/>
      <c r="D2237" s="1820"/>
      <c r="E2237" s="1821"/>
      <c r="F2237" s="1821"/>
      <c r="G2237" s="1821"/>
      <c r="H2237" s="1821">
        <f>H23+H171+H422+H618+H817+H1009+H1202+H1395+H1588+H1788+H1973+H2105+H2209+H2236</f>
        <v>57454313.367958009</v>
      </c>
      <c r="I2237" s="1821">
        <f>I23+I171+I422+I618+I817+I1009+I1202+I1395+I1588+I1788+I1973+I2105+I2209+I2236</f>
        <v>13850691.767999999</v>
      </c>
      <c r="J2237" s="1821">
        <f>J23+J171+J422+J618+J817+J1009+J1202+J1395+J1588+J1788+J1973+J2105+J2209+J2236</f>
        <v>71305005.135958001</v>
      </c>
      <c r="K2237" s="1821"/>
      <c r="L2237" s="1822"/>
      <c r="M2237" s="1701"/>
      <c r="N2237" s="1701"/>
    </row>
    <row r="2238" spans="1:22" ht="24" customHeight="1" thickTop="1">
      <c r="A2238" s="1823"/>
      <c r="B2238" s="1823"/>
      <c r="C2238" s="1823"/>
      <c r="G2238" s="1686"/>
      <c r="H2238" s="1686"/>
      <c r="I2238" s="1686"/>
      <c r="J2238" s="1686"/>
      <c r="K2238" s="1825"/>
      <c r="M2238" s="1701"/>
      <c r="N2238" s="1826">
        <v>63813021.700000003</v>
      </c>
    </row>
    <row r="2239" spans="1:22" ht="24" customHeight="1">
      <c r="A2239" s="1780"/>
      <c r="B2239" s="1780"/>
      <c r="C2239" s="1827" t="s">
        <v>133</v>
      </c>
      <c r="D2239" s="2365"/>
      <c r="E2239" s="2365"/>
      <c r="F2239" s="2365"/>
      <c r="G2239" s="2365"/>
      <c r="H2239" s="2365"/>
      <c r="I2239" s="2365"/>
      <c r="J2239" s="2365"/>
      <c r="K2239" s="2365"/>
      <c r="L2239" s="1828"/>
    </row>
    <row r="2240" spans="1:22" s="1769" customFormat="1">
      <c r="A2240" s="1780"/>
      <c r="B2240" s="2366" t="s">
        <v>1769</v>
      </c>
      <c r="C2240" s="2366"/>
      <c r="D2240" s="1828"/>
      <c r="F2240" s="1828"/>
      <c r="G2240" s="1828" t="s">
        <v>134</v>
      </c>
      <c r="H2240" s="1828"/>
      <c r="I2240" s="1828"/>
      <c r="J2240" s="1828"/>
      <c r="K2240" s="1828"/>
      <c r="L2240" s="1828"/>
      <c r="M2240" s="1829"/>
      <c r="N2240" s="1830"/>
      <c r="O2240" s="1780"/>
    </row>
    <row r="2241" spans="1:14" s="1832" customFormat="1">
      <c r="A2241" s="1780"/>
      <c r="B2241" s="2367" t="s">
        <v>1970</v>
      </c>
      <c r="C2241" s="2367"/>
      <c r="D2241" s="1831"/>
      <c r="F2241" s="1833"/>
      <c r="G2241" s="1833" t="s">
        <v>1971</v>
      </c>
      <c r="H2241" s="1833"/>
      <c r="I2241" s="1833"/>
      <c r="J2241" s="1833"/>
      <c r="K2241" s="1833"/>
      <c r="L2241" s="1833"/>
      <c r="M2241" s="1831"/>
      <c r="N2241" s="1830"/>
    </row>
    <row r="2242" spans="1:14" s="1830" customFormat="1">
      <c r="B2242" s="1828" t="s">
        <v>2031</v>
      </c>
      <c r="G2242" s="1828" t="s">
        <v>2031</v>
      </c>
      <c r="L2242" s="1780"/>
      <c r="M2242" s="1780"/>
      <c r="N2242" s="1779"/>
    </row>
    <row r="2243" spans="1:14" s="1830" customFormat="1">
      <c r="A2243" s="1685"/>
      <c r="B2243" s="1721" t="s">
        <v>1984</v>
      </c>
      <c r="D2243" s="1685"/>
      <c r="E2243" s="1685"/>
      <c r="F2243" s="1685"/>
      <c r="G2243" s="1721" t="s">
        <v>1985</v>
      </c>
      <c r="H2243" s="1685"/>
      <c r="I2243" s="1685"/>
      <c r="J2243" s="1685"/>
      <c r="K2243" s="1685"/>
      <c r="L2243" s="1687"/>
      <c r="M2243" s="1687"/>
    </row>
    <row r="2244" spans="1:14" ht="24" customHeight="1">
      <c r="B2244" s="1828" t="s">
        <v>670</v>
      </c>
    </row>
    <row r="2245" spans="1:14" ht="24" customHeight="1">
      <c r="B2245" s="1721" t="s">
        <v>1972</v>
      </c>
    </row>
  </sheetData>
  <autoFilter ref="C1:C2245" xr:uid="{00000000-0001-0000-0800-000000000000}"/>
  <mergeCells count="657">
    <mergeCell ref="B2240:C2240"/>
    <mergeCell ref="B2241:C2241"/>
    <mergeCell ref="B188:C188"/>
    <mergeCell ref="B202:C202"/>
    <mergeCell ref="B1101:C1101"/>
    <mergeCell ref="B1300:C1300"/>
    <mergeCell ref="B2210:C2210"/>
    <mergeCell ref="B2211:C2211"/>
    <mergeCell ref="B1637:C1637"/>
    <mergeCell ref="B1643:C1643"/>
    <mergeCell ref="B1830:C1830"/>
    <mergeCell ref="B1843:C1843"/>
    <mergeCell ref="B2012:C2012"/>
    <mergeCell ref="B2013:C2013"/>
    <mergeCell ref="B2015:C2015"/>
    <mergeCell ref="B2028:C2028"/>
    <mergeCell ref="B2146:C2146"/>
    <mergeCell ref="B1614:C1614"/>
    <mergeCell ref="B1206:C1206"/>
    <mergeCell ref="B1242:C1242"/>
    <mergeCell ref="B208:C208"/>
    <mergeCell ref="B206:C206"/>
    <mergeCell ref="B2032:C2032"/>
    <mergeCell ref="B2036:C2036"/>
    <mergeCell ref="B1596:C1596"/>
    <mergeCell ref="D2239:K2239"/>
    <mergeCell ref="B1753:C1753"/>
    <mergeCell ref="B1093:C1093"/>
    <mergeCell ref="B1912:C1912"/>
    <mergeCell ref="B1127:C1127"/>
    <mergeCell ref="B1128:C1128"/>
    <mergeCell ref="B1457:C1457"/>
    <mergeCell ref="B1422:C1422"/>
    <mergeCell ref="B1148:C1148"/>
    <mergeCell ref="B1151:C1151"/>
    <mergeCell ref="B1437:C1437"/>
    <mergeCell ref="B1204:C1204"/>
    <mergeCell ref="B1320:C1320"/>
    <mergeCell ref="B1251:C1251"/>
    <mergeCell ref="B1481:C1481"/>
    <mergeCell ref="B1350:C1350"/>
    <mergeCell ref="B1323:C1323"/>
    <mergeCell ref="B1265:C1265"/>
    <mergeCell ref="B1267:C1267"/>
    <mergeCell ref="B1221:C1221"/>
    <mergeCell ref="B1502:C1502"/>
    <mergeCell ref="B1499:C1499"/>
    <mergeCell ref="B1500:C1500"/>
    <mergeCell ref="B1473:C1473"/>
    <mergeCell ref="B1228:C1228"/>
    <mergeCell ref="B1543:C1543"/>
    <mergeCell ref="B1188:C1188"/>
    <mergeCell ref="B1280:C1280"/>
    <mergeCell ref="B1334:C1334"/>
    <mergeCell ref="B1257:C1257"/>
    <mergeCell ref="B1264:C1264"/>
    <mergeCell ref="B1263:C1263"/>
    <mergeCell ref="B1329:C1329"/>
    <mergeCell ref="B1362:C1362"/>
    <mergeCell ref="B1508:C1508"/>
    <mergeCell ref="B1529:C1529"/>
    <mergeCell ref="B857:C857"/>
    <mergeCell ref="B859:C859"/>
    <mergeCell ref="B681:C681"/>
    <mergeCell ref="B702:C702"/>
    <mergeCell ref="B703:C703"/>
    <mergeCell ref="B711:C711"/>
    <mergeCell ref="B255:C255"/>
    <mergeCell ref="B331:C331"/>
    <mergeCell ref="B765:C765"/>
    <mergeCell ref="B843:C843"/>
    <mergeCell ref="B844:C844"/>
    <mergeCell ref="B852:C852"/>
    <mergeCell ref="B846:C846"/>
    <mergeCell ref="B645:C645"/>
    <mergeCell ref="B400:C400"/>
    <mergeCell ref="B629:C629"/>
    <mergeCell ref="B631:C631"/>
    <mergeCell ref="B451:C451"/>
    <mergeCell ref="B819:C819"/>
    <mergeCell ref="B697:C697"/>
    <mergeCell ref="B257:C257"/>
    <mergeCell ref="B319:C319"/>
    <mergeCell ref="B334:C334"/>
    <mergeCell ref="B546:C546"/>
    <mergeCell ref="B1408:C1408"/>
    <mergeCell ref="B1414:C1414"/>
    <mergeCell ref="B1421:C1421"/>
    <mergeCell ref="B1441:C1441"/>
    <mergeCell ref="B1487:C1487"/>
    <mergeCell ref="B1478:C1478"/>
    <mergeCell ref="B1442:C1442"/>
    <mergeCell ref="B1513:C1513"/>
    <mergeCell ref="B1534:C1534"/>
    <mergeCell ref="B1514:C1514"/>
    <mergeCell ref="B1479:C1479"/>
    <mergeCell ref="B1458:C1458"/>
    <mergeCell ref="B1467:C1467"/>
    <mergeCell ref="B1706:C1706"/>
    <mergeCell ref="B1707:C1707"/>
    <mergeCell ref="B1709:C1709"/>
    <mergeCell ref="B1755:C1755"/>
    <mergeCell ref="B1761:C1761"/>
    <mergeCell ref="B1766:C1766"/>
    <mergeCell ref="B1792:C1792"/>
    <mergeCell ref="B1817:C1817"/>
    <mergeCell ref="B1736:C1736"/>
    <mergeCell ref="B1752:C1752"/>
    <mergeCell ref="B1790:C1790"/>
    <mergeCell ref="B1730:C1730"/>
    <mergeCell ref="B1782:C1782"/>
    <mergeCell ref="B1727:C1727"/>
    <mergeCell ref="B1728:C1728"/>
    <mergeCell ref="B1722:C1722"/>
    <mergeCell ref="B1692:C1692"/>
    <mergeCell ref="B1693:C1693"/>
    <mergeCell ref="B1695:C1695"/>
    <mergeCell ref="B1660:C1660"/>
    <mergeCell ref="B1666:C1666"/>
    <mergeCell ref="B1615:C1615"/>
    <mergeCell ref="B1624:C1624"/>
    <mergeCell ref="B1687:C1687"/>
    <mergeCell ref="B1597:C1597"/>
    <mergeCell ref="B1630:C1630"/>
    <mergeCell ref="B1634:C1634"/>
    <mergeCell ref="B1635:C1635"/>
    <mergeCell ref="B1672:C1672"/>
    <mergeCell ref="B1674:C1674"/>
    <mergeCell ref="B1656:C1656"/>
    <mergeCell ref="B1657:C1657"/>
    <mergeCell ref="B1658:C1658"/>
    <mergeCell ref="B1599:C1599"/>
    <mergeCell ref="B1601:C1601"/>
    <mergeCell ref="B1607:C1607"/>
    <mergeCell ref="B936:C936"/>
    <mergeCell ref="B1321:C1321"/>
    <mergeCell ref="B1315:C1315"/>
    <mergeCell ref="B1294:C1294"/>
    <mergeCell ref="B1285:C1285"/>
    <mergeCell ref="B1286:C1286"/>
    <mergeCell ref="B1299:C1299"/>
    <mergeCell ref="B1055:C1055"/>
    <mergeCell ref="B1056:C1056"/>
    <mergeCell ref="B1058:C1058"/>
    <mergeCell ref="B1130:C1130"/>
    <mergeCell ref="B1136:C1136"/>
    <mergeCell ref="B1106:C1106"/>
    <mergeCell ref="B1203:C1203"/>
    <mergeCell ref="B1107:C1107"/>
    <mergeCell ref="B1190:C1190"/>
    <mergeCell ref="B1196:C1196"/>
    <mergeCell ref="B1116:C1116"/>
    <mergeCell ref="B1122:C1122"/>
    <mergeCell ref="B1229:C1229"/>
    <mergeCell ref="B1231:C1231"/>
    <mergeCell ref="B1237:C1237"/>
    <mergeCell ref="B1182:C1182"/>
    <mergeCell ref="B1215:C1215"/>
    <mergeCell ref="B345:C345"/>
    <mergeCell ref="B366:C366"/>
    <mergeCell ref="B367:C367"/>
    <mergeCell ref="B369:C369"/>
    <mergeCell ref="B471:C471"/>
    <mergeCell ref="B477:C477"/>
    <mergeCell ref="B348:C348"/>
    <mergeCell ref="B433:C433"/>
    <mergeCell ref="B384:C384"/>
    <mergeCell ref="B385:C385"/>
    <mergeCell ref="B346:C346"/>
    <mergeCell ref="B836:C836"/>
    <mergeCell ref="B644:C644"/>
    <mergeCell ref="B637:C637"/>
    <mergeCell ref="B627:C627"/>
    <mergeCell ref="B184:C184"/>
    <mergeCell ref="B205:C205"/>
    <mergeCell ref="B665:C665"/>
    <mergeCell ref="B583:C583"/>
    <mergeCell ref="B482:C482"/>
    <mergeCell ref="B523:C523"/>
    <mergeCell ref="B486:C486"/>
    <mergeCell ref="B532:C532"/>
    <mergeCell ref="B538:C538"/>
    <mergeCell ref="B441:C441"/>
    <mergeCell ref="B435:C435"/>
    <mergeCell ref="B464:C464"/>
    <mergeCell ref="B544:C544"/>
    <mergeCell ref="B682:C682"/>
    <mergeCell ref="B647:C647"/>
    <mergeCell ref="B332:C332"/>
    <mergeCell ref="B573:C573"/>
    <mergeCell ref="B543:C543"/>
    <mergeCell ref="B407:C407"/>
    <mergeCell ref="B564:C564"/>
    <mergeCell ref="B132:C132"/>
    <mergeCell ref="B213:C213"/>
    <mergeCell ref="B172:C172"/>
    <mergeCell ref="B173:C173"/>
    <mergeCell ref="B164:C164"/>
    <mergeCell ref="B737:C737"/>
    <mergeCell ref="B738:C738"/>
    <mergeCell ref="B782:C782"/>
    <mergeCell ref="B784:C784"/>
    <mergeCell ref="B565:C565"/>
    <mergeCell ref="B567:C567"/>
    <mergeCell ref="B604:C604"/>
    <mergeCell ref="B598:C598"/>
    <mergeCell ref="B603:C603"/>
    <mergeCell ref="B431:C431"/>
    <mergeCell ref="B448:C448"/>
    <mergeCell ref="B430:C430"/>
    <mergeCell ref="B409:C409"/>
    <mergeCell ref="B415:C415"/>
    <mergeCell ref="B483:C483"/>
    <mergeCell ref="B484:C484"/>
    <mergeCell ref="B387:C387"/>
    <mergeCell ref="B449:C449"/>
    <mergeCell ref="B340:C340"/>
    <mergeCell ref="B141:C141"/>
    <mergeCell ref="B148:C148"/>
    <mergeCell ref="B149:C149"/>
    <mergeCell ref="B151:C151"/>
    <mergeCell ref="B217:C217"/>
    <mergeCell ref="B218:C218"/>
    <mergeCell ref="B263:C263"/>
    <mergeCell ref="B179:C179"/>
    <mergeCell ref="B225:C225"/>
    <mergeCell ref="B239:C239"/>
    <mergeCell ref="B254:C254"/>
    <mergeCell ref="B241:C241"/>
    <mergeCell ref="B243:C243"/>
    <mergeCell ref="B240:C240"/>
    <mergeCell ref="B249:C249"/>
    <mergeCell ref="B30:C30"/>
    <mergeCell ref="B32:C32"/>
    <mergeCell ref="B133:C133"/>
    <mergeCell ref="A1:K1"/>
    <mergeCell ref="A2:A8"/>
    <mergeCell ref="A9:A10"/>
    <mergeCell ref="D9:D10"/>
    <mergeCell ref="K9:K10"/>
    <mergeCell ref="F9:G9"/>
    <mergeCell ref="H9:I9"/>
    <mergeCell ref="B9:C10"/>
    <mergeCell ref="E9:E10"/>
    <mergeCell ref="B13:C13"/>
    <mergeCell ref="B14:C14"/>
    <mergeCell ref="B24:C24"/>
    <mergeCell ref="B89:C89"/>
    <mergeCell ref="B90:C90"/>
    <mergeCell ref="B105:C105"/>
    <mergeCell ref="B77:C77"/>
    <mergeCell ref="B25:C25"/>
    <mergeCell ref="B44:C44"/>
    <mergeCell ref="B47:C47"/>
    <mergeCell ref="B49:C49"/>
    <mergeCell ref="B55:C55"/>
    <mergeCell ref="B1888:C1888"/>
    <mergeCell ref="B1013:C1013"/>
    <mergeCell ref="B1028:C1028"/>
    <mergeCell ref="B1167:C1167"/>
    <mergeCell ref="B1169:C1169"/>
    <mergeCell ref="B1071:C1071"/>
    <mergeCell ref="B1074:C1074"/>
    <mergeCell ref="B1823:C1823"/>
    <mergeCell ref="B1827:C1827"/>
    <mergeCell ref="B1828:C1828"/>
    <mergeCell ref="B1800:C1800"/>
    <mergeCell ref="B1789:C1789"/>
    <mergeCell ref="B1015:C1015"/>
    <mergeCell ref="B1399:C1399"/>
    <mergeCell ref="B1344:C1344"/>
    <mergeCell ref="B1383:C1383"/>
    <mergeCell ref="B1389:C1389"/>
    <mergeCell ref="B1288:C1288"/>
    <mergeCell ref="B1335:C1335"/>
    <mergeCell ref="B1874:C1874"/>
    <mergeCell ref="B1880:C1880"/>
    <mergeCell ref="B1814:C1814"/>
    <mergeCell ref="B1815:C1815"/>
    <mergeCell ref="B1865:C1865"/>
    <mergeCell ref="B1967:C1967"/>
    <mergeCell ref="B680:C680"/>
    <mergeCell ref="B740:C740"/>
    <mergeCell ref="B803:C803"/>
    <mergeCell ref="B805:C805"/>
    <mergeCell ref="B913:C913"/>
    <mergeCell ref="B973:C973"/>
    <mergeCell ref="B975:C975"/>
    <mergeCell ref="B989:C989"/>
    <mergeCell ref="B876:C876"/>
    <mergeCell ref="B877:C877"/>
    <mergeCell ref="B933:C933"/>
    <mergeCell ref="B1087:C1087"/>
    <mergeCell ref="B1070:C1070"/>
    <mergeCell ref="B1038:C1038"/>
    <mergeCell ref="B1044:C1044"/>
    <mergeCell ref="B1092:C1092"/>
    <mergeCell ref="B1886:C1886"/>
    <mergeCell ref="B1901:C1901"/>
    <mergeCell ref="B995:C995"/>
    <mergeCell ref="B1072:C1072"/>
    <mergeCell ref="B1937:C1937"/>
    <mergeCell ref="B1359:C1359"/>
    <mergeCell ref="B1360:C1360"/>
    <mergeCell ref="B2052:C2052"/>
    <mergeCell ref="B2058:C2058"/>
    <mergeCell ref="B2067:C2067"/>
    <mergeCell ref="B2068:C2068"/>
    <mergeCell ref="B2076:C2076"/>
    <mergeCell ref="B2160:C2160"/>
    <mergeCell ref="B2114:C2114"/>
    <mergeCell ref="B2115:C2115"/>
    <mergeCell ref="B2117:C2117"/>
    <mergeCell ref="B2123:C2123"/>
    <mergeCell ref="B2147:C2147"/>
    <mergeCell ref="B2149:C2149"/>
    <mergeCell ref="B2155:C2155"/>
    <mergeCell ref="B2127:C2127"/>
    <mergeCell ref="B2129:C2129"/>
    <mergeCell ref="B2142:C2142"/>
    <mergeCell ref="B2126:C2126"/>
    <mergeCell ref="B2161:C2161"/>
    <mergeCell ref="B275:C275"/>
    <mergeCell ref="B276:C276"/>
    <mergeCell ref="B278:C278"/>
    <mergeCell ref="B284:C284"/>
    <mergeCell ref="B289:C289"/>
    <mergeCell ref="B290:C290"/>
    <mergeCell ref="B299:C299"/>
    <mergeCell ref="B305:C305"/>
    <mergeCell ref="B310:C310"/>
    <mergeCell ref="B311:C311"/>
    <mergeCell ref="B626:C626"/>
    <mergeCell ref="B802:C802"/>
    <mergeCell ref="B1906:C1906"/>
    <mergeCell ref="B947:C947"/>
    <mergeCell ref="B948:C948"/>
    <mergeCell ref="B1951:C1951"/>
    <mergeCell ref="B2091:C2091"/>
    <mergeCell ref="B2097:C2097"/>
    <mergeCell ref="B1974:C1974"/>
    <mergeCell ref="B1975:C1975"/>
    <mergeCell ref="B1979:C1979"/>
    <mergeCell ref="B2102:C2102"/>
    <mergeCell ref="B1767:C1767"/>
    <mergeCell ref="B746:C746"/>
    <mergeCell ref="B756:C756"/>
    <mergeCell ref="B757:C757"/>
    <mergeCell ref="B818:C818"/>
    <mergeCell ref="B759:C759"/>
    <mergeCell ref="B997:C997"/>
    <mergeCell ref="B886:C886"/>
    <mergeCell ref="B1035:C1035"/>
    <mergeCell ref="B1036:C1036"/>
    <mergeCell ref="B1011:C1011"/>
    <mergeCell ref="B1010:C1010"/>
    <mergeCell ref="B823:C823"/>
    <mergeCell ref="B901:C901"/>
    <mergeCell ref="B907:C907"/>
    <mergeCell ref="B880:C880"/>
    <mergeCell ref="B994:C994"/>
    <mergeCell ref="B934:C934"/>
    <mergeCell ref="B811:C811"/>
    <mergeCell ref="B751:C751"/>
    <mergeCell ref="B928:C928"/>
    <mergeCell ref="B856:C856"/>
    <mergeCell ref="B878:C878"/>
    <mergeCell ref="B898:C898"/>
    <mergeCell ref="B899:C899"/>
    <mergeCell ref="D2223:K2223"/>
    <mergeCell ref="B2224:C2224"/>
    <mergeCell ref="B2225:C2225"/>
    <mergeCell ref="D2199:K2199"/>
    <mergeCell ref="B2200:C2200"/>
    <mergeCell ref="B2201:C2201"/>
    <mergeCell ref="D2169:K2169"/>
    <mergeCell ref="B2170:C2170"/>
    <mergeCell ref="B2171:C2171"/>
    <mergeCell ref="B2206:C2206"/>
    <mergeCell ref="B2176:C2176"/>
    <mergeCell ref="B2185:C2185"/>
    <mergeCell ref="B2186:C2186"/>
    <mergeCell ref="B2188:C2188"/>
    <mergeCell ref="D2135:K2135"/>
    <mergeCell ref="B2136:C2136"/>
    <mergeCell ref="B2137:C2137"/>
    <mergeCell ref="D2106:K2106"/>
    <mergeCell ref="B2107:C2107"/>
    <mergeCell ref="B2108:C2108"/>
    <mergeCell ref="D2081:K2081"/>
    <mergeCell ref="B2082:C2082"/>
    <mergeCell ref="B2083:C2083"/>
    <mergeCell ref="B2113:C2113"/>
    <mergeCell ref="B2088:C2088"/>
    <mergeCell ref="B2089:C2089"/>
    <mergeCell ref="D2044:K2044"/>
    <mergeCell ref="B2045:C2045"/>
    <mergeCell ref="B2046:C2046"/>
    <mergeCell ref="D2016:K2016"/>
    <mergeCell ref="B2017:C2017"/>
    <mergeCell ref="B2018:C2018"/>
    <mergeCell ref="D1985:K1985"/>
    <mergeCell ref="B1986:C1986"/>
    <mergeCell ref="B1987:C1987"/>
    <mergeCell ref="B2002:C2002"/>
    <mergeCell ref="B1992:C1992"/>
    <mergeCell ref="B2042:C2042"/>
    <mergeCell ref="B2043:C2043"/>
    <mergeCell ref="B1999:C1999"/>
    <mergeCell ref="B2000:C2000"/>
    <mergeCell ref="D1955:K1955"/>
    <mergeCell ref="B1956:C1956"/>
    <mergeCell ref="B1957:C1957"/>
    <mergeCell ref="D1926:K1926"/>
    <mergeCell ref="B1927:C1927"/>
    <mergeCell ref="B1928:C1928"/>
    <mergeCell ref="D1894:K1894"/>
    <mergeCell ref="B1895:C1895"/>
    <mergeCell ref="B1896:C1896"/>
    <mergeCell ref="B1952:C1952"/>
    <mergeCell ref="B1954:C1954"/>
    <mergeCell ref="B1940:C1940"/>
    <mergeCell ref="B1938:C1938"/>
    <mergeCell ref="B1921:C1921"/>
    <mergeCell ref="B1913:C1913"/>
    <mergeCell ref="D1866:K1866"/>
    <mergeCell ref="B1867:C1867"/>
    <mergeCell ref="B1868:C1868"/>
    <mergeCell ref="D1836:K1836"/>
    <mergeCell ref="B1837:C1837"/>
    <mergeCell ref="B1838:C1838"/>
    <mergeCell ref="D1807:K1807"/>
    <mergeCell ref="B1808:C1808"/>
    <mergeCell ref="B1809:C1809"/>
    <mergeCell ref="B1864:C1864"/>
    <mergeCell ref="B1859:C1859"/>
    <mergeCell ref="B1849:C1849"/>
    <mergeCell ref="B1850:C1850"/>
    <mergeCell ref="B1853:C1853"/>
    <mergeCell ref="B1851:C1851"/>
    <mergeCell ref="D1775:K1775"/>
    <mergeCell ref="B1776:C1776"/>
    <mergeCell ref="B1777:C1777"/>
    <mergeCell ref="D1745:K1745"/>
    <mergeCell ref="B1746:C1746"/>
    <mergeCell ref="B1747:C1747"/>
    <mergeCell ref="D1714:K1714"/>
    <mergeCell ref="B1715:C1715"/>
    <mergeCell ref="B1716:C1716"/>
    <mergeCell ref="B1769:C1769"/>
    <mergeCell ref="D1680:K1680"/>
    <mergeCell ref="B1681:C1681"/>
    <mergeCell ref="B1682:C1682"/>
    <mergeCell ref="D1649:K1649"/>
    <mergeCell ref="B1650:C1650"/>
    <mergeCell ref="B1651:C1651"/>
    <mergeCell ref="D1617:K1617"/>
    <mergeCell ref="B1618:C1618"/>
    <mergeCell ref="B1619:C1619"/>
    <mergeCell ref="D1589:K1589"/>
    <mergeCell ref="B1590:C1590"/>
    <mergeCell ref="B1591:C1591"/>
    <mergeCell ref="D1552:K1552"/>
    <mergeCell ref="B1553:C1553"/>
    <mergeCell ref="B1554:C1554"/>
    <mergeCell ref="D1522:K1522"/>
    <mergeCell ref="B1523:C1523"/>
    <mergeCell ref="B1524:C1524"/>
    <mergeCell ref="B1582:C1582"/>
    <mergeCell ref="B1535:C1535"/>
    <mergeCell ref="B1537:C1537"/>
    <mergeCell ref="B1574:C1574"/>
    <mergeCell ref="B1576:C1576"/>
    <mergeCell ref="B1560:C1560"/>
    <mergeCell ref="B1573:C1573"/>
    <mergeCell ref="B1568:C1568"/>
    <mergeCell ref="B1559:C1559"/>
    <mergeCell ref="B1562:C1562"/>
    <mergeCell ref="D1492:K1492"/>
    <mergeCell ref="B1493:C1493"/>
    <mergeCell ref="B1494:C1494"/>
    <mergeCell ref="D1460:K1460"/>
    <mergeCell ref="B1461:C1461"/>
    <mergeCell ref="B1462:C1462"/>
    <mergeCell ref="D1430:K1430"/>
    <mergeCell ref="B1431:C1431"/>
    <mergeCell ref="B1432:C1432"/>
    <mergeCell ref="B1456:C1456"/>
    <mergeCell ref="B1444:C1444"/>
    <mergeCell ref="B1450:C1450"/>
    <mergeCell ref="D1401:K1401"/>
    <mergeCell ref="B1402:C1402"/>
    <mergeCell ref="B1403:C1403"/>
    <mergeCell ref="D1368:K1368"/>
    <mergeCell ref="B1369:C1369"/>
    <mergeCell ref="B1370:C1370"/>
    <mergeCell ref="D1336:K1336"/>
    <mergeCell ref="B1337:C1337"/>
    <mergeCell ref="B1338:C1338"/>
    <mergeCell ref="B1396:C1396"/>
    <mergeCell ref="B1397:C1397"/>
    <mergeCell ref="B1375:C1375"/>
    <mergeCell ref="B1380:C1380"/>
    <mergeCell ref="B1381:C1381"/>
    <mergeCell ref="D1302:K1302"/>
    <mergeCell ref="B1303:C1303"/>
    <mergeCell ref="B1304:C1304"/>
    <mergeCell ref="D1273:K1273"/>
    <mergeCell ref="B1274:C1274"/>
    <mergeCell ref="B1275:C1275"/>
    <mergeCell ref="D1244:K1244"/>
    <mergeCell ref="B1245:C1245"/>
    <mergeCell ref="B1246:C1246"/>
    <mergeCell ref="D1208:K1208"/>
    <mergeCell ref="B1209:C1209"/>
    <mergeCell ref="B1210:C1210"/>
    <mergeCell ref="D1171:K1171"/>
    <mergeCell ref="B1172:C1172"/>
    <mergeCell ref="B1173:C1173"/>
    <mergeCell ref="D1140:K1140"/>
    <mergeCell ref="B1141:C1141"/>
    <mergeCell ref="B1142:C1142"/>
    <mergeCell ref="B1166:C1166"/>
    <mergeCell ref="B1149:C1149"/>
    <mergeCell ref="D1109:K1109"/>
    <mergeCell ref="B1110:C1110"/>
    <mergeCell ref="B1111:C1111"/>
    <mergeCell ref="D1079:K1079"/>
    <mergeCell ref="B1080:C1080"/>
    <mergeCell ref="B1081:C1081"/>
    <mergeCell ref="D1048:K1048"/>
    <mergeCell ref="B1049:C1049"/>
    <mergeCell ref="B1050:C1050"/>
    <mergeCell ref="D1018:K1018"/>
    <mergeCell ref="B1019:C1019"/>
    <mergeCell ref="B1020:C1020"/>
    <mergeCell ref="D982:K982"/>
    <mergeCell ref="B983:C983"/>
    <mergeCell ref="B984:C984"/>
    <mergeCell ref="D949:K949"/>
    <mergeCell ref="B950:C950"/>
    <mergeCell ref="B951:C951"/>
    <mergeCell ref="B957:C957"/>
    <mergeCell ref="B963:C963"/>
    <mergeCell ref="D921:K921"/>
    <mergeCell ref="B922:C922"/>
    <mergeCell ref="B923:C923"/>
    <mergeCell ref="D891:K891"/>
    <mergeCell ref="B892:C892"/>
    <mergeCell ref="B893:C893"/>
    <mergeCell ref="D860:K860"/>
    <mergeCell ref="B861:C861"/>
    <mergeCell ref="B862:C862"/>
    <mergeCell ref="B872:C872"/>
    <mergeCell ref="B915:C915"/>
    <mergeCell ref="D829:K829"/>
    <mergeCell ref="B830:C830"/>
    <mergeCell ref="B831:C831"/>
    <mergeCell ref="D795:K795"/>
    <mergeCell ref="B796:C796"/>
    <mergeCell ref="B797:C797"/>
    <mergeCell ref="D766:K766"/>
    <mergeCell ref="B767:C767"/>
    <mergeCell ref="B768:C768"/>
    <mergeCell ref="B781:C781"/>
    <mergeCell ref="D730:K730"/>
    <mergeCell ref="B731:C731"/>
    <mergeCell ref="B732:C732"/>
    <mergeCell ref="D690:K690"/>
    <mergeCell ref="B691:C691"/>
    <mergeCell ref="B692:C692"/>
    <mergeCell ref="D654:K654"/>
    <mergeCell ref="B655:C655"/>
    <mergeCell ref="B656:C656"/>
    <mergeCell ref="B684:C684"/>
    <mergeCell ref="B661:C661"/>
    <mergeCell ref="B716:C716"/>
    <mergeCell ref="B717:C717"/>
    <mergeCell ref="B719:C719"/>
    <mergeCell ref="B725:C725"/>
    <mergeCell ref="B666:C666"/>
    <mergeCell ref="B668:C668"/>
    <mergeCell ref="D619:K619"/>
    <mergeCell ref="B620:C620"/>
    <mergeCell ref="B621:C621"/>
    <mergeCell ref="D591:K591"/>
    <mergeCell ref="B592:C592"/>
    <mergeCell ref="B593:C593"/>
    <mergeCell ref="D557:K557"/>
    <mergeCell ref="B558:C558"/>
    <mergeCell ref="B559:C559"/>
    <mergeCell ref="B585:C585"/>
    <mergeCell ref="B606:C606"/>
    <mergeCell ref="D525:K525"/>
    <mergeCell ref="B526:C526"/>
    <mergeCell ref="B527:C527"/>
    <mergeCell ref="D492:K492"/>
    <mergeCell ref="B493:C493"/>
    <mergeCell ref="B494:C494"/>
    <mergeCell ref="D457:K457"/>
    <mergeCell ref="B458:C458"/>
    <mergeCell ref="B459:C459"/>
    <mergeCell ref="B504:C504"/>
    <mergeCell ref="B505:C505"/>
    <mergeCell ref="B507:C507"/>
    <mergeCell ref="B513:C513"/>
    <mergeCell ref="B469:C469"/>
    <mergeCell ref="D423:K423"/>
    <mergeCell ref="B424:C424"/>
    <mergeCell ref="B425:C425"/>
    <mergeCell ref="D393:K393"/>
    <mergeCell ref="B394:C394"/>
    <mergeCell ref="B395:C395"/>
    <mergeCell ref="D354:K354"/>
    <mergeCell ref="B355:C355"/>
    <mergeCell ref="B356:C356"/>
    <mergeCell ref="B361:C361"/>
    <mergeCell ref="D324:K324"/>
    <mergeCell ref="B325:C325"/>
    <mergeCell ref="B326:C326"/>
    <mergeCell ref="D292:K292"/>
    <mergeCell ref="B293:C293"/>
    <mergeCell ref="B294:C294"/>
    <mergeCell ref="D264:K264"/>
    <mergeCell ref="B265:C265"/>
    <mergeCell ref="B266:C266"/>
    <mergeCell ref="D232:K232"/>
    <mergeCell ref="B233:C233"/>
    <mergeCell ref="B234:C234"/>
    <mergeCell ref="D195:K195"/>
    <mergeCell ref="B196:C196"/>
    <mergeCell ref="B197:C197"/>
    <mergeCell ref="D156:K156"/>
    <mergeCell ref="B157:C157"/>
    <mergeCell ref="B158:C158"/>
    <mergeCell ref="B177:C177"/>
    <mergeCell ref="B187:C187"/>
    <mergeCell ref="D34:K34"/>
    <mergeCell ref="B35:C35"/>
    <mergeCell ref="B36:C36"/>
    <mergeCell ref="D125:K125"/>
    <mergeCell ref="B126:C126"/>
    <mergeCell ref="B127:C127"/>
    <mergeCell ref="D96:K96"/>
    <mergeCell ref="B97:C97"/>
    <mergeCell ref="B98:C98"/>
    <mergeCell ref="D65:K65"/>
    <mergeCell ref="B66:C66"/>
    <mergeCell ref="B67:C67"/>
    <mergeCell ref="B109:C109"/>
    <mergeCell ref="B110:C110"/>
    <mergeCell ref="B112:C112"/>
    <mergeCell ref="B118:C118"/>
    <mergeCell ref="B92:C92"/>
    <mergeCell ref="B63:C63"/>
    <mergeCell ref="B75:C75"/>
    <mergeCell ref="B83:C83"/>
  </mergeCells>
  <phoneticPr fontId="17" type="noConversion"/>
  <printOptions horizontalCentered="1"/>
  <pageMargins left="0.2" right="0.2" top="0.511811023622047" bottom="0.27559055118110198" header="0.511811023622047" footer="0.31496062992126"/>
  <pageSetup paperSize="9" scale="44" fitToHeight="0" orientation="landscape" r:id="rId1"/>
  <headerFooter alignWithMargins="0">
    <oddHeader>&amp;R&amp;"TH Sarabun New,ตัวหนา"&amp;16แบบ ปร.4 หน้าที่ &amp;P จาก &amp;N</oddHeader>
  </headerFooter>
  <rowBreaks count="71" manualBreakCount="71">
    <brk id="40" max="10" man="1"/>
    <brk id="71" max="10" man="1"/>
    <brk id="102" max="10" man="1"/>
    <brk id="131" max="10" man="1"/>
    <brk id="162" max="10" man="1"/>
    <brk id="201" max="10" man="1"/>
    <brk id="238" max="10" man="1"/>
    <brk id="270" max="10" man="1"/>
    <brk id="298" max="10" man="1"/>
    <brk id="330" max="10" man="1"/>
    <brk id="360" max="10" man="1"/>
    <brk id="399" max="10" man="1"/>
    <brk id="429" max="10" man="1"/>
    <brk id="463" max="10" man="1"/>
    <brk id="498" max="10" man="1"/>
    <brk id="531" max="10" man="1"/>
    <brk id="563" max="10" man="1"/>
    <brk id="597" max="10" man="1"/>
    <brk id="625" max="10" man="1"/>
    <brk id="660" max="10" man="1"/>
    <brk id="696" max="10" man="1"/>
    <brk id="736" max="10" man="1"/>
    <brk id="772" max="10" man="1"/>
    <brk id="801" max="10" man="1"/>
    <brk id="835" max="10" man="1"/>
    <brk id="866" max="10" man="1"/>
    <brk id="897" max="10" man="1"/>
    <brk id="927" max="10" man="1"/>
    <brk id="955" max="10" man="1"/>
    <brk id="988" max="10" man="1"/>
    <brk id="1024" max="10" man="1"/>
    <brk id="1054" max="10" man="1"/>
    <brk id="1085" max="10" man="1"/>
    <brk id="1115" max="10" man="1"/>
    <brk id="1146" max="10" man="1"/>
    <brk id="1177" max="10" man="1"/>
    <brk id="1214" max="10" man="1"/>
    <brk id="1250" max="10" man="1"/>
    <brk id="1279" max="10" man="1"/>
    <brk id="1308" max="10" man="1"/>
    <brk id="1342" max="10" man="1"/>
    <brk id="1374" max="10" man="1"/>
    <brk id="1407" max="10" man="1"/>
    <brk id="1436" max="10" man="1"/>
    <brk id="1466" max="10" man="1"/>
    <brk id="1498" max="10" man="1"/>
    <brk id="1528" max="10" man="1"/>
    <brk id="1558" max="10" man="1"/>
    <brk id="1595" max="10" man="1"/>
    <brk id="1623" max="10" man="1"/>
    <brk id="1655" max="10" man="1"/>
    <brk id="1686" max="10" man="1"/>
    <brk id="1720" max="10" man="1"/>
    <brk id="1751" max="10" man="1"/>
    <brk id="1781" max="10" man="1"/>
    <brk id="1813" max="10" man="1"/>
    <brk id="1842" max="10" man="1"/>
    <brk id="1872" max="10" man="1"/>
    <brk id="1900" max="10" man="1"/>
    <brk id="1932" max="10" man="1"/>
    <brk id="1961" max="10" man="1"/>
    <brk id="1991" max="10" man="1"/>
    <brk id="2022" max="10" man="1"/>
    <brk id="2050" max="10" man="1"/>
    <brk id="2087" max="10" man="1"/>
    <brk id="2112" max="10" man="1"/>
    <brk id="2141" max="10" man="1"/>
    <brk id="2175" max="10" man="1"/>
    <brk id="2205" max="10" man="1"/>
    <brk id="2229" max="10" man="1"/>
    <brk id="2245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45</vt:i4>
      </vt:variant>
    </vt:vector>
  </HeadingPairs>
  <TitlesOfParts>
    <vt:vector size="67" baseType="lpstr">
      <vt:lpstr>SUMMARY (f)</vt:lpstr>
      <vt:lpstr>SUMMARY (3)ใช้</vt:lpstr>
      <vt:lpstr>SUMMARY (f) (ใช้)</vt:lpstr>
      <vt:lpstr>ปร6</vt:lpstr>
      <vt:lpstr>ปร5.ก</vt:lpstr>
      <vt:lpstr>ปร5ข</vt:lpstr>
      <vt:lpstr>ปร4 พ</vt:lpstr>
      <vt:lpstr>ส่วนงานที่1 </vt:lpstr>
      <vt:lpstr>1.งานวิศวกรรมโครงสร้าง</vt:lpstr>
      <vt:lpstr>2.งานสถาปัตยกรรม </vt:lpstr>
      <vt:lpstr>3.งานระบบสุขาภิบาลและดับเพลิง</vt:lpstr>
      <vt:lpstr>4.งานระบบไฟฟ้าและสื่อสาร</vt:lpstr>
      <vt:lpstr>5.งานระบบปรับอากาศและระบายอากาศ</vt:lpstr>
      <vt:lpstr>6.งานระบบลิฟต์</vt:lpstr>
      <vt:lpstr>7.กลุ่มงานที่ 2</vt:lpstr>
      <vt:lpstr>งานครุภัณฑ์จัดจ้างหรือสั่งทำ</vt:lpstr>
      <vt:lpstr>8.กลุ่มงานที่ 3</vt:lpstr>
      <vt:lpstr>งานภูมิทัศน์</vt:lpstr>
      <vt:lpstr>9.ส่วนงานที่2</vt:lpstr>
      <vt:lpstr>งานครุภัณฑ์จัดชื้อ</vt:lpstr>
      <vt:lpstr>ค่าใช้จ่ายพิเศษ</vt:lpstr>
      <vt:lpstr>10.ส่วนงานที่3 </vt:lpstr>
      <vt:lpstr>ปร6!cost</vt:lpstr>
      <vt:lpstr>'1.งานวิศวกรรมโครงสร้าง'!Print_Area</vt:lpstr>
      <vt:lpstr>'10.ส่วนงานที่3 '!Print_Area</vt:lpstr>
      <vt:lpstr>'2.งานสถาปัตยกรรม '!Print_Area</vt:lpstr>
      <vt:lpstr>'3.งานระบบสุขาภิบาลและดับเพลิง'!Print_Area</vt:lpstr>
      <vt:lpstr>'4.งานระบบไฟฟ้าและสื่อสาร'!Print_Area</vt:lpstr>
      <vt:lpstr>'5.งานระบบปรับอากาศและระบายอากาศ'!Print_Area</vt:lpstr>
      <vt:lpstr>'6.งานระบบลิฟต์'!Print_Area</vt:lpstr>
      <vt:lpstr>'7.กลุ่มงานที่ 2'!Print_Area</vt:lpstr>
      <vt:lpstr>'8.กลุ่มงานที่ 3'!Print_Area</vt:lpstr>
      <vt:lpstr>'9.ส่วนงานที่2'!Print_Area</vt:lpstr>
      <vt:lpstr>'SUMMARY (3)ใช้'!Print_Area</vt:lpstr>
      <vt:lpstr>'SUMMARY (f)'!Print_Area</vt:lpstr>
      <vt:lpstr>'SUMMARY (f) (ใช้)'!Print_Area</vt:lpstr>
      <vt:lpstr>ค่าใช้จ่ายพิเศษ!Print_Area</vt:lpstr>
      <vt:lpstr>งานครุภัณฑ์จัดจ้างหรือสั่งทำ!Print_Area</vt:lpstr>
      <vt:lpstr>งานครุภัณฑ์จัดชื้อ!Print_Area</vt:lpstr>
      <vt:lpstr>งานภูมิทัศน์!Print_Area</vt:lpstr>
      <vt:lpstr>'ปร4 พ'!Print_Area</vt:lpstr>
      <vt:lpstr>ปร5.ก!Print_Area</vt:lpstr>
      <vt:lpstr>ปร5ข!Print_Area</vt:lpstr>
      <vt:lpstr>ปร6!Print_Area</vt:lpstr>
      <vt:lpstr>'ส่วนงานที่1 '!Print_Area</vt:lpstr>
      <vt:lpstr>'1.งานวิศวกรรมโครงสร้าง'!Print_Titles</vt:lpstr>
      <vt:lpstr>'10.ส่วนงานที่3 '!Print_Titles</vt:lpstr>
      <vt:lpstr>'2.งานสถาปัตยกรรม '!Print_Titles</vt:lpstr>
      <vt:lpstr>'3.งานระบบสุขาภิบาลและดับเพลิง'!Print_Titles</vt:lpstr>
      <vt:lpstr>'4.งานระบบไฟฟ้าและสื่อสาร'!Print_Titles</vt:lpstr>
      <vt:lpstr>'5.งานระบบปรับอากาศและระบายอากาศ'!Print_Titles</vt:lpstr>
      <vt:lpstr>'6.งานระบบลิฟต์'!Print_Titles</vt:lpstr>
      <vt:lpstr>'7.กลุ่มงานที่ 2'!Print_Titles</vt:lpstr>
      <vt:lpstr>'8.กลุ่มงานที่ 3'!Print_Titles</vt:lpstr>
      <vt:lpstr>'9.ส่วนงานที่2'!Print_Titles</vt:lpstr>
      <vt:lpstr>'SUMMARY (3)ใช้'!Print_Titles</vt:lpstr>
      <vt:lpstr>'SUMMARY (f)'!Print_Titles</vt:lpstr>
      <vt:lpstr>'SUMMARY (f) (ใช้)'!Print_Titles</vt:lpstr>
      <vt:lpstr>ค่าใช้จ่ายพิเศษ!Print_Titles</vt:lpstr>
      <vt:lpstr>งานครุภัณฑ์จัดจ้างหรือสั่งทำ!Print_Titles</vt:lpstr>
      <vt:lpstr>งานครุภัณฑ์จัดชื้อ!Print_Titles</vt:lpstr>
      <vt:lpstr>งานภูมิทัศน์!Print_Titles</vt:lpstr>
      <vt:lpstr>'ปร4 พ'!Print_Titles</vt:lpstr>
      <vt:lpstr>ปร5.ก!Print_Titles</vt:lpstr>
      <vt:lpstr>ปร5ข!Print_Titles</vt:lpstr>
      <vt:lpstr>ปร6!Print_Titles</vt:lpstr>
      <vt:lpstr>'ส่วนงานที่1 '!Print_Titles</vt:lpstr>
    </vt:vector>
  </TitlesOfParts>
  <Company>siriraj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Interpac</dc:creator>
  <cp:lastModifiedBy>อัญชนา ศิลปวรณ์วิวัฒน์</cp:lastModifiedBy>
  <cp:lastPrinted>2024-08-20T06:38:12Z</cp:lastPrinted>
  <dcterms:created xsi:type="dcterms:W3CDTF">2009-06-07T08:09:29Z</dcterms:created>
  <dcterms:modified xsi:type="dcterms:W3CDTF">2024-09-04T08:09:43Z</dcterms:modified>
</cp:coreProperties>
</file>